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Snake steelhead\"/>
    </mc:Choice>
  </mc:AlternateContent>
  <xr:revisionPtr revIDLastSave="0" documentId="13_ncr:1_{D6CBFB7D-CE4C-44C8-97B4-468B46232DF4}" xr6:coauthVersionLast="45" xr6:coauthVersionMax="45" xr10:uidLastSave="{00000000-0000-0000-0000-000000000000}"/>
  <bookViews>
    <workbookView xWindow="28680" yWindow="-120" windowWidth="29040" windowHeight="15840" activeTab="3" xr2:uid="{00000000-000D-0000-FFFF-FFFF00000000}"/>
  </bookViews>
  <sheets>
    <sheet name="Summary" sheetId="1" r:id="rId1"/>
    <sheet name="Documentation" sheetId="5" r:id="rId2"/>
    <sheet name="Natl Spnr" sheetId="6" r:id="rId3"/>
    <sheet name="pHOS" sheetId="9" r:id="rId4"/>
    <sheet name="Run" sheetId="4" r:id="rId5"/>
    <sheet name="Conv" sheetId="7" r:id="rId6"/>
    <sheet name="Blocked" sheetId="8" r:id="rId7"/>
  </sheets>
  <definedNames>
    <definedName name="_Ref67714019" localSheetId="5">#REF!</definedName>
    <definedName name="_Ref67714019">#REF!</definedName>
    <definedName name="solver_adj" localSheetId="5" hidden="1">Conv!$W$25</definedName>
    <definedName name="solver_cvg" localSheetId="5" hidden="1">0.0001</definedName>
    <definedName name="solver_drv" localSheetId="5" hidden="1">1</definedName>
    <definedName name="solver_eng" localSheetId="5" hidden="1">1</definedName>
    <definedName name="solver_est" localSheetId="5" hidden="1">1</definedName>
    <definedName name="solver_itr" localSheetId="5" hidden="1">2147483647</definedName>
    <definedName name="solver_mip" localSheetId="5" hidden="1">2147483647</definedName>
    <definedName name="solver_mni" localSheetId="5" hidden="1">30</definedName>
    <definedName name="solver_mrt" localSheetId="5" hidden="1">0.075</definedName>
    <definedName name="solver_msl" localSheetId="5" hidden="1">2</definedName>
    <definedName name="solver_neg" localSheetId="5" hidden="1">1</definedName>
    <definedName name="solver_nod" localSheetId="5" hidden="1">2147483647</definedName>
    <definedName name="solver_num" localSheetId="5" hidden="1">0</definedName>
    <definedName name="solver_nwt" localSheetId="5" hidden="1">1</definedName>
    <definedName name="solver_opt" localSheetId="5" hidden="1">Conv!$Y$19</definedName>
    <definedName name="solver_pre" localSheetId="5" hidden="1">0.000001</definedName>
    <definedName name="solver_rbv" localSheetId="5" hidden="1">1</definedName>
    <definedName name="solver_rlx" localSheetId="5" hidden="1">2</definedName>
    <definedName name="solver_rsd" localSheetId="5" hidden="1">0</definedName>
    <definedName name="solver_scl" localSheetId="5" hidden="1">1</definedName>
    <definedName name="solver_sho" localSheetId="5" hidden="1">2</definedName>
    <definedName name="solver_ssz" localSheetId="5" hidden="1">100</definedName>
    <definedName name="solver_tim" localSheetId="5" hidden="1">2147483647</definedName>
    <definedName name="solver_tol" localSheetId="5" hidden="1">0.01</definedName>
    <definedName name="solver_typ" localSheetId="5" hidden="1">3</definedName>
    <definedName name="solver_val" localSheetId="5" hidden="1">0.207</definedName>
    <definedName name="solver_ver" localSheetId="5" hidden="1">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9" l="1"/>
  <c r="O30" i="9"/>
  <c r="N30" i="9"/>
  <c r="O29" i="9"/>
  <c r="O28" i="9"/>
  <c r="O27" i="9"/>
  <c r="O26" i="9"/>
  <c r="O25" i="9"/>
  <c r="O24" i="9"/>
  <c r="O23" i="9"/>
  <c r="O22" i="9"/>
  <c r="O21" i="9"/>
  <c r="O20" i="9"/>
  <c r="O19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N29" i="9"/>
  <c r="N28" i="9"/>
  <c r="N27" i="9"/>
  <c r="N26" i="9"/>
  <c r="N25" i="9"/>
  <c r="N24" i="9"/>
  <c r="N23" i="9"/>
  <c r="N22" i="9"/>
  <c r="N21" i="9"/>
  <c r="N20" i="9"/>
  <c r="N19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M26" i="9"/>
  <c r="M7" i="9"/>
  <c r="M27" i="9"/>
  <c r="M25" i="9"/>
  <c r="M19" i="9"/>
  <c r="M17" i="9"/>
  <c r="M12" i="9"/>
  <c r="M10" i="9"/>
  <c r="J27" i="9"/>
  <c r="J25" i="9"/>
  <c r="J21" i="9"/>
  <c r="M21" i="9" s="1"/>
  <c r="J20" i="9"/>
  <c r="M20" i="9" s="1"/>
  <c r="J19" i="9"/>
  <c r="J17" i="9"/>
  <c r="J16" i="9"/>
  <c r="M16" i="9" s="1"/>
  <c r="J13" i="9"/>
  <c r="M13" i="9" s="1"/>
  <c r="J12" i="9"/>
  <c r="J10" i="9"/>
  <c r="J6" i="9"/>
  <c r="M6" i="9" s="1"/>
  <c r="J5" i="9"/>
  <c r="M5" i="9" s="1"/>
  <c r="L16" i="9"/>
  <c r="L12" i="9"/>
  <c r="L28" i="9"/>
  <c r="L27" i="9"/>
  <c r="L26" i="9"/>
  <c r="L25" i="9"/>
  <c r="L24" i="9"/>
  <c r="L22" i="9"/>
  <c r="L21" i="9"/>
  <c r="L20" i="9"/>
  <c r="L10" i="9"/>
  <c r="L9" i="9"/>
  <c r="L8" i="9"/>
  <c r="L17" i="9"/>
  <c r="L13" i="9"/>
  <c r="L19" i="9"/>
  <c r="L7" i="9"/>
  <c r="L6" i="9"/>
  <c r="M14" i="9"/>
  <c r="L15" i="9"/>
  <c r="M15" i="9" s="1"/>
  <c r="L14" i="9"/>
  <c r="L5" i="9"/>
  <c r="M1" i="9" l="1"/>
  <c r="V68" i="4"/>
  <c r="V64" i="4"/>
  <c r="V63" i="4"/>
  <c r="V62" i="4"/>
  <c r="V61" i="4"/>
  <c r="V60" i="4"/>
  <c r="V59" i="4"/>
  <c r="V58" i="4"/>
  <c r="V57" i="4"/>
  <c r="V56" i="4"/>
  <c r="V55" i="4"/>
  <c r="V65" i="4"/>
  <c r="U65" i="4"/>
  <c r="U68" i="4"/>
  <c r="T68" i="4"/>
  <c r="S68" i="4"/>
  <c r="Y63" i="1" l="1"/>
  <c r="X63" i="1"/>
  <c r="W51" i="1"/>
  <c r="AA49" i="1" l="1"/>
  <c r="Z49" i="1"/>
  <c r="Y49" i="1"/>
  <c r="V49" i="1"/>
  <c r="C39" i="8" l="1"/>
  <c r="W38" i="7" l="1"/>
  <c r="W37" i="7"/>
  <c r="W35" i="7"/>
  <c r="W33" i="7"/>
  <c r="W30" i="7"/>
  <c r="W29" i="7"/>
  <c r="S38" i="7"/>
  <c r="S35" i="7"/>
  <c r="S30" i="7"/>
  <c r="S37" i="7"/>
  <c r="S33" i="7"/>
  <c r="S29" i="7"/>
  <c r="O38" i="7" l="1"/>
  <c r="O37" i="7"/>
  <c r="O35" i="7"/>
  <c r="O33" i="7"/>
  <c r="O30" i="7"/>
  <c r="O29" i="7"/>
  <c r="K38" i="7" l="1"/>
  <c r="K37" i="7"/>
  <c r="K35" i="7"/>
  <c r="K33" i="7"/>
  <c r="K30" i="7"/>
  <c r="K29" i="7"/>
  <c r="K15" i="7"/>
  <c r="K14" i="7"/>
  <c r="K12" i="7"/>
  <c r="K10" i="7"/>
  <c r="K7" i="7"/>
  <c r="K6" i="7"/>
  <c r="E38" i="7"/>
  <c r="E37" i="7"/>
  <c r="E35" i="7"/>
  <c r="D34" i="7"/>
  <c r="E33" i="7"/>
  <c r="D32" i="7"/>
  <c r="E30" i="7"/>
  <c r="E29" i="7"/>
  <c r="W15" i="7"/>
  <c r="W14" i="7"/>
  <c r="W12" i="7"/>
  <c r="W10" i="7"/>
  <c r="W7" i="7"/>
  <c r="W6" i="7"/>
  <c r="S15" i="7"/>
  <c r="S12" i="7"/>
  <c r="S7" i="7"/>
  <c r="S14" i="7"/>
  <c r="S10" i="7"/>
  <c r="S6" i="7"/>
  <c r="Q23" i="7"/>
  <c r="W34" i="7" l="1"/>
  <c r="S34" i="7"/>
  <c r="O34" i="7"/>
  <c r="E34" i="7"/>
  <c r="E43" i="7" s="1"/>
  <c r="K34" i="7"/>
  <c r="E32" i="7"/>
  <c r="W32" i="7"/>
  <c r="S32" i="7"/>
  <c r="O32" i="7"/>
  <c r="K32" i="7"/>
  <c r="F38" i="7"/>
  <c r="F37" i="7" s="1"/>
  <c r="F35" i="7" s="1"/>
  <c r="F34" i="7" l="1"/>
  <c r="F33" i="7" s="1"/>
  <c r="F32" i="7" s="1"/>
  <c r="F30" i="7" s="1"/>
  <c r="F29" i="7" s="1"/>
  <c r="O15" i="7" l="1"/>
  <c r="O14" i="7"/>
  <c r="O12" i="7"/>
  <c r="O10" i="7"/>
  <c r="O7" i="7"/>
  <c r="O6" i="7"/>
  <c r="AO35" i="1"/>
  <c r="CB67" i="4"/>
  <c r="E4" i="6" s="1"/>
  <c r="V4" i="1" s="1"/>
  <c r="CI67" i="4"/>
  <c r="CH67" i="4"/>
  <c r="CG67" i="4"/>
  <c r="E21" i="6" s="1"/>
  <c r="V21" i="1" s="1"/>
  <c r="F20" i="5" s="1"/>
  <c r="CF67" i="4"/>
  <c r="E14" i="6" s="1"/>
  <c r="V14" i="1" s="1"/>
  <c r="CE67" i="4"/>
  <c r="CD67" i="4"/>
  <c r="CC67" i="4"/>
  <c r="E7" i="6" s="1"/>
  <c r="V7" i="1" s="1"/>
  <c r="F8" i="5" s="1"/>
  <c r="E27" i="6"/>
  <c r="V27" i="1" s="1"/>
  <c r="E13" i="6"/>
  <c r="V13" i="1" s="1"/>
  <c r="E11" i="6"/>
  <c r="V11" i="1" s="1"/>
  <c r="CA41" i="4"/>
  <c r="CA42" i="4" s="1"/>
  <c r="CA43" i="4" s="1"/>
  <c r="CA44" i="4" s="1"/>
  <c r="CA45" i="4" s="1"/>
  <c r="CA46" i="4" s="1"/>
  <c r="CA47" i="4" s="1"/>
  <c r="CA48" i="4" s="1"/>
  <c r="CA49" i="4" s="1"/>
  <c r="CA50" i="4" s="1"/>
  <c r="CA51" i="4" s="1"/>
  <c r="CA52" i="4" s="1"/>
  <c r="CA53" i="4" s="1"/>
  <c r="CA54" i="4" s="1"/>
  <c r="CA55" i="4" s="1"/>
  <c r="CA56" i="4" s="1"/>
  <c r="CA57" i="4" s="1"/>
  <c r="CA58" i="4" s="1"/>
  <c r="CA59" i="4" s="1"/>
  <c r="CA60" i="4" s="1"/>
  <c r="CA61" i="4" s="1"/>
  <c r="CA62" i="4" s="1"/>
  <c r="F19" i="5" l="1"/>
  <c r="D11" i="7" l="1"/>
  <c r="D9" i="7"/>
  <c r="K9" i="7" l="1"/>
  <c r="W9" i="7"/>
  <c r="S9" i="7"/>
  <c r="O9" i="7"/>
  <c r="S11" i="7"/>
  <c r="K11" i="7"/>
  <c r="W11" i="7"/>
  <c r="O11" i="7"/>
  <c r="E6" i="7"/>
  <c r="E7" i="7"/>
  <c r="E9" i="7"/>
  <c r="E10" i="7"/>
  <c r="E11" i="7"/>
  <c r="E12" i="7"/>
  <c r="E14" i="7"/>
  <c r="E15" i="7"/>
  <c r="F15" i="7" s="1"/>
  <c r="F14" i="7" l="1"/>
  <c r="F12" i="7"/>
  <c r="F11" i="7" s="1"/>
  <c r="F10" i="7" s="1"/>
  <c r="F9" i="7" s="1"/>
  <c r="F7" i="7" s="1"/>
  <c r="F6" i="7" s="1"/>
  <c r="AJ29" i="1" l="1"/>
  <c r="AH51" i="1" s="1"/>
  <c r="AI51" i="1" l="1"/>
  <c r="C41" i="7"/>
  <c r="AH39" i="1"/>
  <c r="AH38" i="1"/>
  <c r="AG37" i="1"/>
  <c r="AG40" i="1" s="1"/>
  <c r="AF37" i="1"/>
  <c r="AF40" i="1" s="1"/>
  <c r="AG33" i="1"/>
  <c r="AG36" i="1" s="1"/>
  <c r="AF33" i="1"/>
  <c r="AF36" i="1" s="1"/>
  <c r="AH35" i="1"/>
  <c r="AH34" i="1"/>
  <c r="AI34" i="1" s="1"/>
  <c r="K72" i="4"/>
  <c r="I72" i="4"/>
  <c r="H72" i="4"/>
  <c r="F72" i="4"/>
  <c r="D72" i="4"/>
  <c r="K71" i="4"/>
  <c r="I71" i="4"/>
  <c r="H71" i="4"/>
  <c r="F71" i="4"/>
  <c r="D71" i="4"/>
  <c r="K69" i="4"/>
  <c r="I69" i="4"/>
  <c r="H69" i="4"/>
  <c r="F69" i="4"/>
  <c r="D69" i="4"/>
  <c r="K68" i="4"/>
  <c r="AG42" i="1" s="1"/>
  <c r="I68" i="4"/>
  <c r="H68" i="4"/>
  <c r="F68" i="4"/>
  <c r="AF42" i="1" s="1"/>
  <c r="D68" i="4"/>
  <c r="C72" i="4"/>
  <c r="C71" i="4"/>
  <c r="C69" i="4"/>
  <c r="C68" i="4"/>
  <c r="AI39" i="1" l="1"/>
  <c r="C36" i="7"/>
  <c r="C13" i="7"/>
  <c r="AI38" i="1"/>
  <c r="AI35" i="1"/>
  <c r="L39" i="7"/>
  <c r="L37" i="7" s="1"/>
  <c r="L36" i="7" s="1"/>
  <c r="L34" i="7" s="1"/>
  <c r="L33" i="7" s="1"/>
  <c r="L32" i="7" s="1"/>
  <c r="L31" i="7" s="1"/>
  <c r="L29" i="7" s="1"/>
  <c r="L28" i="7" s="1"/>
  <c r="T39" i="7"/>
  <c r="X39" i="7"/>
  <c r="P39" i="7"/>
  <c r="C39" i="7"/>
  <c r="H39" i="7"/>
  <c r="AH37" i="1"/>
  <c r="AH40" i="1" s="1"/>
  <c r="AH33" i="1"/>
  <c r="AH36" i="1" s="1"/>
  <c r="C16" i="7"/>
  <c r="AF27" i="1"/>
  <c r="AF28" i="1"/>
  <c r="AH42" i="1"/>
  <c r="AI42" i="1" s="1"/>
  <c r="AK35" i="1" l="1"/>
  <c r="X37" i="7"/>
  <c r="Y38" i="7" s="1"/>
  <c r="AJ35" i="1"/>
  <c r="T37" i="7"/>
  <c r="U38" i="7" s="1"/>
  <c r="H37" i="7"/>
  <c r="I38" i="7" s="1"/>
  <c r="P37" i="7"/>
  <c r="Q38" i="7" s="1"/>
  <c r="AJ22" i="1"/>
  <c r="AJ23" i="1" s="1"/>
  <c r="AH50" i="1" s="1"/>
  <c r="C8" i="7"/>
  <c r="L5" i="7" s="1"/>
  <c r="P5" i="7" s="1"/>
  <c r="P65" i="4"/>
  <c r="N65" i="4"/>
  <c r="M65" i="4"/>
  <c r="P64" i="4"/>
  <c r="N64" i="4"/>
  <c r="M64" i="4"/>
  <c r="P63" i="4"/>
  <c r="N63" i="4"/>
  <c r="M63" i="4"/>
  <c r="P62" i="4"/>
  <c r="N62" i="4"/>
  <c r="M62" i="4"/>
  <c r="P61" i="4"/>
  <c r="N61" i="4"/>
  <c r="M61" i="4"/>
  <c r="P60" i="4"/>
  <c r="N60" i="4"/>
  <c r="M60" i="4"/>
  <c r="P59" i="4"/>
  <c r="N59" i="4"/>
  <c r="M59" i="4"/>
  <c r="P58" i="4"/>
  <c r="N58" i="4"/>
  <c r="M58" i="4"/>
  <c r="P57" i="4"/>
  <c r="N57" i="4"/>
  <c r="M57" i="4"/>
  <c r="P56" i="4"/>
  <c r="N56" i="4"/>
  <c r="M56" i="4"/>
  <c r="P55" i="4"/>
  <c r="N55" i="4"/>
  <c r="M55" i="4"/>
  <c r="P54" i="4"/>
  <c r="N54" i="4"/>
  <c r="M54" i="4"/>
  <c r="P53" i="4"/>
  <c r="N53" i="4"/>
  <c r="M53" i="4"/>
  <c r="P52" i="4"/>
  <c r="N52" i="4"/>
  <c r="M52" i="4"/>
  <c r="P51" i="4"/>
  <c r="N51" i="4"/>
  <c r="M51" i="4"/>
  <c r="P50" i="4"/>
  <c r="N50" i="4"/>
  <c r="M50" i="4"/>
  <c r="P49" i="4"/>
  <c r="N49" i="4"/>
  <c r="M49" i="4"/>
  <c r="P48" i="4"/>
  <c r="N48" i="4"/>
  <c r="M48" i="4"/>
  <c r="P47" i="4"/>
  <c r="N47" i="4"/>
  <c r="M47" i="4"/>
  <c r="P46" i="4"/>
  <c r="N46" i="4"/>
  <c r="M46" i="4"/>
  <c r="P45" i="4"/>
  <c r="N45" i="4"/>
  <c r="M45" i="4"/>
  <c r="P44" i="4"/>
  <c r="N44" i="4"/>
  <c r="M44" i="4"/>
  <c r="P43" i="4"/>
  <c r="N43" i="4"/>
  <c r="M43" i="4"/>
  <c r="P42" i="4"/>
  <c r="N42" i="4"/>
  <c r="M42" i="4"/>
  <c r="P41" i="4"/>
  <c r="N41" i="4"/>
  <c r="M41" i="4"/>
  <c r="P40" i="4"/>
  <c r="N40" i="4"/>
  <c r="M40" i="4"/>
  <c r="P39" i="4"/>
  <c r="N39" i="4"/>
  <c r="M39" i="4"/>
  <c r="J65" i="4"/>
  <c r="L65" i="4" s="1"/>
  <c r="J64" i="4"/>
  <c r="J63" i="4"/>
  <c r="L63" i="4" s="1"/>
  <c r="J62" i="4"/>
  <c r="L62" i="4" s="1"/>
  <c r="J61" i="4"/>
  <c r="L61" i="4" s="1"/>
  <c r="J60" i="4"/>
  <c r="J59" i="4"/>
  <c r="L59" i="4" s="1"/>
  <c r="J58" i="4"/>
  <c r="L58" i="4" s="1"/>
  <c r="J57" i="4"/>
  <c r="L57" i="4" s="1"/>
  <c r="J56" i="4"/>
  <c r="J55" i="4"/>
  <c r="J54" i="4"/>
  <c r="L54" i="4" s="1"/>
  <c r="J53" i="4"/>
  <c r="L53" i="4" s="1"/>
  <c r="J52" i="4"/>
  <c r="J51" i="4"/>
  <c r="L51" i="4" s="1"/>
  <c r="J50" i="4"/>
  <c r="L50" i="4" s="1"/>
  <c r="J49" i="4"/>
  <c r="L49" i="4" s="1"/>
  <c r="J48" i="4"/>
  <c r="J47" i="4"/>
  <c r="L47" i="4" s="1"/>
  <c r="J46" i="4"/>
  <c r="L46" i="4" s="1"/>
  <c r="J45" i="4"/>
  <c r="L45" i="4" s="1"/>
  <c r="J44" i="4"/>
  <c r="J43" i="4"/>
  <c r="L43" i="4" s="1"/>
  <c r="J42" i="4"/>
  <c r="L42" i="4" s="1"/>
  <c r="J41" i="4"/>
  <c r="L41" i="4" s="1"/>
  <c r="J40" i="4"/>
  <c r="J39" i="4"/>
  <c r="L39" i="4" s="1"/>
  <c r="G64" i="4"/>
  <c r="G56" i="4"/>
  <c r="G48" i="4"/>
  <c r="G40" i="4"/>
  <c r="E64" i="4"/>
  <c r="E63" i="4"/>
  <c r="O63" i="4" s="1"/>
  <c r="E62" i="4"/>
  <c r="G62" i="4" s="1"/>
  <c r="Q62" i="4" s="1"/>
  <c r="E61" i="4"/>
  <c r="G61" i="4" s="1"/>
  <c r="Q61" i="4" s="1"/>
  <c r="E60" i="4"/>
  <c r="G60" i="4" s="1"/>
  <c r="E59" i="4"/>
  <c r="O59" i="4" s="1"/>
  <c r="E58" i="4"/>
  <c r="G58" i="4" s="1"/>
  <c r="Q58" i="4" s="1"/>
  <c r="E57" i="4"/>
  <c r="O57" i="4" s="1"/>
  <c r="E56" i="4"/>
  <c r="E55" i="4"/>
  <c r="G55" i="4" s="1"/>
  <c r="E54" i="4"/>
  <c r="G54" i="4" s="1"/>
  <c r="Q54" i="4" s="1"/>
  <c r="E53" i="4"/>
  <c r="G53" i="4" s="1"/>
  <c r="Q53" i="4" s="1"/>
  <c r="E52" i="4"/>
  <c r="G52" i="4" s="1"/>
  <c r="E51" i="4"/>
  <c r="O51" i="4" s="1"/>
  <c r="E50" i="4"/>
  <c r="G50" i="4" s="1"/>
  <c r="Q50" i="4" s="1"/>
  <c r="E49" i="4"/>
  <c r="G49" i="4" s="1"/>
  <c r="Q49" i="4" s="1"/>
  <c r="E48" i="4"/>
  <c r="E47" i="4"/>
  <c r="O47" i="4" s="1"/>
  <c r="E46" i="4"/>
  <c r="G46" i="4" s="1"/>
  <c r="Q46" i="4" s="1"/>
  <c r="E45" i="4"/>
  <c r="G45" i="4" s="1"/>
  <c r="Q45" i="4" s="1"/>
  <c r="E44" i="4"/>
  <c r="G44" i="4" s="1"/>
  <c r="E43" i="4"/>
  <c r="O43" i="4" s="1"/>
  <c r="E42" i="4"/>
  <c r="G42" i="4" s="1"/>
  <c r="Q42" i="4" s="1"/>
  <c r="E41" i="4"/>
  <c r="G41" i="4" s="1"/>
  <c r="Q41" i="4" s="1"/>
  <c r="E40" i="4"/>
  <c r="E39" i="4"/>
  <c r="O39" i="4" s="1"/>
  <c r="E65" i="4"/>
  <c r="O65" i="4" s="1"/>
  <c r="G43" i="4" l="1"/>
  <c r="Q43" i="4" s="1"/>
  <c r="G51" i="4"/>
  <c r="Q51" i="4" s="1"/>
  <c r="G59" i="4"/>
  <c r="Q59" i="4" s="1"/>
  <c r="O40" i="4"/>
  <c r="O44" i="4"/>
  <c r="O48" i="4"/>
  <c r="O52" i="4"/>
  <c r="O60" i="4"/>
  <c r="O64" i="4"/>
  <c r="G39" i="4"/>
  <c r="G47" i="4"/>
  <c r="Q47" i="4" s="1"/>
  <c r="G63" i="4"/>
  <c r="G68" i="4" s="1"/>
  <c r="Q39" i="4"/>
  <c r="Q63" i="4"/>
  <c r="O41" i="4"/>
  <c r="O45" i="4"/>
  <c r="O53" i="4"/>
  <c r="H36" i="7"/>
  <c r="I37" i="7" s="1"/>
  <c r="G57" i="4"/>
  <c r="Q57" i="4" s="1"/>
  <c r="G65" i="4"/>
  <c r="Q65" i="4" s="1"/>
  <c r="O42" i="4"/>
  <c r="O46" i="4"/>
  <c r="O50" i="4"/>
  <c r="O54" i="4"/>
  <c r="N71" i="4"/>
  <c r="N68" i="4"/>
  <c r="M69" i="4"/>
  <c r="M72" i="4"/>
  <c r="O58" i="4"/>
  <c r="O62" i="4"/>
  <c r="J72" i="4"/>
  <c r="J69" i="4"/>
  <c r="L40" i="4"/>
  <c r="Q40" i="4" s="1"/>
  <c r="L44" i="4"/>
  <c r="Q44" i="4" s="1"/>
  <c r="L48" i="4"/>
  <c r="Q48" i="4" s="1"/>
  <c r="L52" i="4"/>
  <c r="Q52" i="4" s="1"/>
  <c r="L56" i="4"/>
  <c r="Q56" i="4" s="1"/>
  <c r="L60" i="4"/>
  <c r="Q60" i="4" s="1"/>
  <c r="L64" i="4"/>
  <c r="Q64" i="4" s="1"/>
  <c r="P71" i="4"/>
  <c r="P68" i="4"/>
  <c r="O56" i="4"/>
  <c r="O49" i="4"/>
  <c r="M71" i="4"/>
  <c r="M68" i="4"/>
  <c r="P72" i="4"/>
  <c r="V30" i="1" s="1"/>
  <c r="V51" i="1" s="1"/>
  <c r="P69" i="4"/>
  <c r="O61" i="4"/>
  <c r="X36" i="7"/>
  <c r="Y37" i="7"/>
  <c r="E71" i="4"/>
  <c r="E68" i="4"/>
  <c r="AF43" i="1" s="1"/>
  <c r="E69" i="4"/>
  <c r="E72" i="4"/>
  <c r="J71" i="4"/>
  <c r="J68" i="4"/>
  <c r="AG43" i="1" s="1"/>
  <c r="AH43" i="1" s="1"/>
  <c r="L55" i="4"/>
  <c r="O55" i="4"/>
  <c r="N72" i="4"/>
  <c r="N69" i="4"/>
  <c r="P36" i="7"/>
  <c r="P34" i="7" s="1"/>
  <c r="Q37" i="7"/>
  <c r="T36" i="7"/>
  <c r="U37" i="7" s="1"/>
  <c r="AH49" i="1"/>
  <c r="AH52" i="1" s="1"/>
  <c r="C18" i="7"/>
  <c r="F29" i="5"/>
  <c r="F28" i="5"/>
  <c r="F39" i="5"/>
  <c r="F38" i="5"/>
  <c r="F37" i="5"/>
  <c r="F36" i="5"/>
  <c r="G71" i="4" l="1"/>
  <c r="Q72" i="4"/>
  <c r="Q69" i="4"/>
  <c r="O71" i="4"/>
  <c r="O68" i="4"/>
  <c r="Q35" i="7"/>
  <c r="P33" i="7"/>
  <c r="Q34" i="7" s="1"/>
  <c r="L71" i="4"/>
  <c r="L68" i="4"/>
  <c r="AK39" i="1"/>
  <c r="X34" i="7"/>
  <c r="Q55" i="4"/>
  <c r="O72" i="4"/>
  <c r="O69" i="4"/>
  <c r="H34" i="7"/>
  <c r="H33" i="7" s="1"/>
  <c r="I35" i="7"/>
  <c r="G69" i="4"/>
  <c r="L72" i="4"/>
  <c r="L69" i="4"/>
  <c r="G72" i="4"/>
  <c r="AI43" i="1"/>
  <c r="AI41" i="1" s="1"/>
  <c r="AI44" i="1" s="1"/>
  <c r="C31" i="7"/>
  <c r="AH41" i="1"/>
  <c r="AH44" i="1" s="1"/>
  <c r="AJ39" i="1"/>
  <c r="T34" i="7"/>
  <c r="F27" i="5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Q71" i="4" l="1"/>
  <c r="Q68" i="4"/>
  <c r="I34" i="7"/>
  <c r="H32" i="7"/>
  <c r="Y35" i="7"/>
  <c r="X33" i="7"/>
  <c r="Y34" i="7" s="1"/>
  <c r="P32" i="7"/>
  <c r="U35" i="7"/>
  <c r="T33" i="7"/>
  <c r="U34" i="7" s="1"/>
  <c r="A38" i="4"/>
  <c r="A37" i="4" s="1"/>
  <c r="A36" i="4" s="1"/>
  <c r="A35" i="4" s="1"/>
  <c r="A34" i="4" s="1"/>
  <c r="A33" i="4" s="1"/>
  <c r="A32" i="4" s="1"/>
  <c r="A31" i="4" s="1"/>
  <c r="A30" i="4" s="1"/>
  <c r="A29" i="4" s="1"/>
  <c r="A28" i="4" s="1"/>
  <c r="A27" i="4" s="1"/>
  <c r="A26" i="4" s="1"/>
  <c r="A25" i="4" s="1"/>
  <c r="A24" i="4" s="1"/>
  <c r="A23" i="4" s="1"/>
  <c r="A22" i="4" s="1"/>
  <c r="A21" i="4" s="1"/>
  <c r="A20" i="4" s="1"/>
  <c r="A19" i="4" s="1"/>
  <c r="A18" i="4" s="1"/>
  <c r="A17" i="4" s="1"/>
  <c r="A16" i="4" s="1"/>
  <c r="A15" i="4" s="1"/>
  <c r="A14" i="4" s="1"/>
  <c r="A13" i="4" s="1"/>
  <c r="A12" i="4" s="1"/>
  <c r="A11" i="4" s="1"/>
  <c r="A10" i="4" s="1"/>
  <c r="A9" i="4" s="1"/>
  <c r="P31" i="7" l="1"/>
  <c r="P29" i="7" s="1"/>
  <c r="T32" i="7"/>
  <c r="U33" i="7"/>
  <c r="I33" i="7"/>
  <c r="H31" i="7"/>
  <c r="I32" i="7" s="1"/>
  <c r="X32" i="7"/>
  <c r="Q33" i="7"/>
  <c r="BY102" i="4"/>
  <c r="H14" i="7"/>
  <c r="I15" i="7" s="1"/>
  <c r="P6" i="7"/>
  <c r="L6" i="7"/>
  <c r="Q32" i="7" l="1"/>
  <c r="X31" i="7"/>
  <c r="Y32" i="7" s="1"/>
  <c r="H29" i="7"/>
  <c r="H28" i="7" s="1"/>
  <c r="I29" i="7" s="1"/>
  <c r="I43" i="7" s="1"/>
  <c r="I44" i="7" s="1"/>
  <c r="T31" i="7"/>
  <c r="U32" i="7" s="1"/>
  <c r="Y33" i="7"/>
  <c r="Q30" i="7"/>
  <c r="Q41" i="7" s="1"/>
  <c r="Q42" i="7" s="1"/>
  <c r="P28" i="7"/>
  <c r="Q29" i="7"/>
  <c r="P8" i="7"/>
  <c r="Q6" i="7"/>
  <c r="L8" i="7"/>
  <c r="M6" i="7"/>
  <c r="H13" i="7"/>
  <c r="Q43" i="7" l="1"/>
  <c r="Q44" i="7" s="1"/>
  <c r="I30" i="7"/>
  <c r="I41" i="7" s="1"/>
  <c r="I42" i="7" s="1"/>
  <c r="T29" i="7"/>
  <c r="AJ43" i="1"/>
  <c r="AK43" i="1"/>
  <c r="X29" i="7"/>
  <c r="P9" i="7"/>
  <c r="Q7" i="7"/>
  <c r="I14" i="7"/>
  <c r="H11" i="7"/>
  <c r="M7" i="7"/>
  <c r="L9" i="7"/>
  <c r="Y30" i="7" l="1"/>
  <c r="Y41" i="7" s="1"/>
  <c r="X28" i="7"/>
  <c r="Y29" i="7" s="1"/>
  <c r="Y43" i="7" s="1"/>
  <c r="Y44" i="7" s="1"/>
  <c r="U30" i="7"/>
  <c r="U41" i="7" s="1"/>
  <c r="T28" i="7"/>
  <c r="U29" i="7" s="1"/>
  <c r="U43" i="7" s="1"/>
  <c r="U44" i="7" s="1"/>
  <c r="L10" i="7"/>
  <c r="M9" i="7"/>
  <c r="P10" i="7"/>
  <c r="Q9" i="7"/>
  <c r="H10" i="7"/>
  <c r="I11" i="7" s="1"/>
  <c r="I12" i="7"/>
  <c r="U42" i="7" l="1"/>
  <c r="AJ51" i="1"/>
  <c r="Y42" i="7"/>
  <c r="AK51" i="1"/>
  <c r="AK29" i="1" s="1"/>
  <c r="AK25" i="1" s="1"/>
  <c r="Q10" i="7"/>
  <c r="P11" i="7"/>
  <c r="L11" i="7"/>
  <c r="M10" i="7"/>
  <c r="H9" i="7"/>
  <c r="I10" i="7" s="1"/>
  <c r="P13" i="7" l="1"/>
  <c r="AI37" i="1" s="1"/>
  <c r="AI40" i="1" s="1"/>
  <c r="Q11" i="7"/>
  <c r="H8" i="7"/>
  <c r="I9" i="7" s="1"/>
  <c r="L13" i="7"/>
  <c r="M11" i="7"/>
  <c r="P14" i="7" l="1"/>
  <c r="Q12" i="7"/>
  <c r="M12" i="7"/>
  <c r="L14" i="7"/>
  <c r="L16" i="7" s="1"/>
  <c r="H6" i="7"/>
  <c r="I7" i="7" s="1"/>
  <c r="I18" i="7" s="1"/>
  <c r="I19" i="7" s="1"/>
  <c r="P16" i="7" l="1"/>
  <c r="Q14" i="7"/>
  <c r="Q20" i="7" s="1"/>
  <c r="M15" i="7"/>
  <c r="M18" i="7" s="1"/>
  <c r="M19" i="7" s="1"/>
  <c r="M24" i="7" s="1"/>
  <c r="Q24" i="7" s="1"/>
  <c r="M14" i="7"/>
  <c r="M20" i="7" s="1"/>
  <c r="H5" i="7"/>
  <c r="I6" i="7" s="1"/>
  <c r="I20" i="7" s="1"/>
  <c r="I21" i="7" s="1"/>
  <c r="Q15" i="7" l="1"/>
  <c r="Q18" i="7" s="1"/>
  <c r="AI33" i="1"/>
  <c r="AI36" i="1" s="1"/>
  <c r="Q21" i="7"/>
  <c r="U24" i="7"/>
  <c r="Y24" i="7"/>
  <c r="M21" i="7"/>
  <c r="Q19" i="7" l="1"/>
  <c r="AI50" i="1"/>
  <c r="AI49" i="1" s="1"/>
  <c r="AI52" i="1" s="1"/>
  <c r="BZ100" i="4"/>
  <c r="W17" i="1"/>
  <c r="F58" i="5" s="1"/>
  <c r="W16" i="1"/>
  <c r="F57" i="5" s="1"/>
  <c r="W12" i="1"/>
  <c r="F56" i="5" s="1"/>
  <c r="W6" i="1"/>
  <c r="F55" i="5" s="1"/>
  <c r="W5" i="1"/>
  <c r="F54" i="5" s="1"/>
  <c r="W4" i="1"/>
  <c r="F53" i="5" s="1"/>
  <c r="I30" i="6"/>
  <c r="W29" i="1" s="1"/>
  <c r="F59" i="5" s="1"/>
  <c r="I32" i="6" l="1"/>
  <c r="W30" i="1"/>
  <c r="F60" i="5" s="1"/>
  <c r="V5" i="1" l="1"/>
  <c r="V15" i="1" l="1"/>
  <c r="F13" i="5" s="1"/>
  <c r="F12" i="5"/>
  <c r="F11" i="5"/>
  <c r="V12" i="1"/>
  <c r="F10" i="5" s="1"/>
  <c r="F142" i="5"/>
  <c r="F117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26" i="5"/>
  <c r="F25" i="5"/>
  <c r="F24" i="5"/>
  <c r="F23" i="5"/>
  <c r="F22" i="5"/>
  <c r="F21" i="5"/>
  <c r="F18" i="5"/>
  <c r="F17" i="5"/>
  <c r="F16" i="5"/>
  <c r="F15" i="5"/>
  <c r="F14" i="5"/>
  <c r="F9" i="5"/>
  <c r="F7" i="5"/>
  <c r="F6" i="5"/>
  <c r="F5" i="5"/>
  <c r="F4" i="5"/>
  <c r="F3" i="5"/>
  <c r="F2" i="5"/>
  <c r="AO34" i="1" l="1"/>
  <c r="X30" i="1"/>
  <c r="F86" i="5" s="1"/>
  <c r="AI23" i="1" l="1"/>
  <c r="AK12" i="1" l="1"/>
  <c r="AK11" i="1"/>
  <c r="AK10" i="1"/>
  <c r="AK9" i="1"/>
  <c r="AK8" i="1"/>
  <c r="AK7" i="1"/>
  <c r="AK6" i="1"/>
  <c r="AK5" i="1"/>
  <c r="AK4" i="1"/>
  <c r="AK13" i="1" l="1"/>
  <c r="E27" i="1" l="1"/>
  <c r="BE66" i="4" l="1"/>
  <c r="E23" i="1" l="1"/>
  <c r="AF41" i="1" l="1"/>
  <c r="AF44" i="1" s="1"/>
  <c r="AG41" i="1" l="1"/>
  <c r="BZ98" i="4"/>
  <c r="BZ97" i="4"/>
  <c r="BZ96" i="4"/>
  <c r="BZ95" i="4"/>
  <c r="BZ94" i="4"/>
  <c r="BZ93" i="4"/>
  <c r="BZ92" i="4"/>
  <c r="BZ90" i="4"/>
  <c r="BZ89" i="4"/>
  <c r="BZ88" i="4"/>
  <c r="BZ87" i="4"/>
  <c r="BZ86" i="4"/>
  <c r="BZ85" i="4"/>
  <c r="BZ84" i="4"/>
  <c r="BZ83" i="4"/>
  <c r="BZ82" i="4"/>
  <c r="BZ81" i="4"/>
  <c r="BZ80" i="4"/>
  <c r="BZ79" i="4"/>
  <c r="BZ78" i="4"/>
  <c r="BZ77" i="4"/>
  <c r="BZ76" i="4"/>
  <c r="BZ75" i="4"/>
  <c r="BZ74" i="4"/>
  <c r="BZ99" i="4"/>
  <c r="AI29" i="1"/>
  <c r="AH29" i="1"/>
  <c r="BZ91" i="4" l="1"/>
  <c r="BZ102" i="4" s="1"/>
  <c r="AG44" i="1"/>
  <c r="AI13" i="1"/>
  <c r="AH13" i="1"/>
  <c r="M72" i="1" s="1"/>
  <c r="AG13" i="1"/>
  <c r="AA5" i="1" l="1"/>
  <c r="AA6" i="1"/>
  <c r="AA7" i="1"/>
  <c r="AA9" i="1"/>
  <c r="AA8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4" i="1"/>
  <c r="Z4" i="1" l="1"/>
  <c r="F112" i="5" s="1"/>
  <c r="F137" i="5"/>
  <c r="Z21" i="1"/>
  <c r="F129" i="5" s="1"/>
  <c r="F154" i="5"/>
  <c r="Z9" i="1"/>
  <c r="F116" i="5" s="1"/>
  <c r="F141" i="5"/>
  <c r="Z20" i="1"/>
  <c r="F128" i="5" s="1"/>
  <c r="F153" i="5"/>
  <c r="Z12" i="1"/>
  <c r="F120" i="5" s="1"/>
  <c r="F145" i="5"/>
  <c r="Z7" i="1"/>
  <c r="F115" i="5" s="1"/>
  <c r="F140" i="5"/>
  <c r="Z17" i="1"/>
  <c r="F125" i="5" s="1"/>
  <c r="F150" i="5"/>
  <c r="Z24" i="1"/>
  <c r="F132" i="5" s="1"/>
  <c r="F157" i="5"/>
  <c r="Z23" i="1"/>
  <c r="F131" i="5" s="1"/>
  <c r="F156" i="5"/>
  <c r="Z15" i="1"/>
  <c r="F123" i="5" s="1"/>
  <c r="F148" i="5"/>
  <c r="Z11" i="1"/>
  <c r="F119" i="5" s="1"/>
  <c r="F144" i="5"/>
  <c r="Z6" i="1"/>
  <c r="F114" i="5" s="1"/>
  <c r="F139" i="5"/>
  <c r="Z25" i="1"/>
  <c r="F133" i="5" s="1"/>
  <c r="F158" i="5"/>
  <c r="Z13" i="1"/>
  <c r="F121" i="5" s="1"/>
  <c r="F146" i="5"/>
  <c r="Z28" i="1"/>
  <c r="F136" i="5" s="1"/>
  <c r="F161" i="5"/>
  <c r="Z16" i="1"/>
  <c r="F124" i="5" s="1"/>
  <c r="F149" i="5"/>
  <c r="Z27" i="1"/>
  <c r="F135" i="5" s="1"/>
  <c r="F160" i="5"/>
  <c r="Z19" i="1"/>
  <c r="F127" i="5" s="1"/>
  <c r="F152" i="5"/>
  <c r="Z26" i="1"/>
  <c r="F134" i="5" s="1"/>
  <c r="F159" i="5"/>
  <c r="Z22" i="1"/>
  <c r="F130" i="5" s="1"/>
  <c r="F155" i="5"/>
  <c r="Z18" i="1"/>
  <c r="F126" i="5" s="1"/>
  <c r="F151" i="5"/>
  <c r="Z14" i="1"/>
  <c r="F122" i="5" s="1"/>
  <c r="F147" i="5"/>
  <c r="Z8" i="1"/>
  <c r="F118" i="5" s="1"/>
  <c r="F143" i="5"/>
  <c r="Z5" i="1"/>
  <c r="F113" i="5" s="1"/>
  <c r="F138" i="5"/>
  <c r="AG29" i="1"/>
  <c r="BE64" i="4"/>
  <c r="AF20" i="1" s="1"/>
  <c r="AF29" i="1" s="1"/>
  <c r="BD66" i="4"/>
  <c r="BD64" i="4"/>
  <c r="A40" i="4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F23" i="1" l="1"/>
  <c r="E72" i="1" s="1"/>
  <c r="AG23" i="1"/>
  <c r="G72" i="1" s="1"/>
  <c r="AA30" i="1"/>
  <c r="Z30" i="1"/>
  <c r="Y30" i="1"/>
  <c r="Y51" i="1" s="1"/>
  <c r="AA51" i="1" l="1"/>
  <c r="X5" i="7" s="1"/>
  <c r="X6" i="7" s="1"/>
  <c r="Z51" i="1"/>
  <c r="T5" i="7" s="1"/>
  <c r="T6" i="7" s="1"/>
  <c r="E24" i="1"/>
  <c r="AI46" i="1"/>
  <c r="E25" i="1"/>
  <c r="AJ46" i="1"/>
  <c r="E26" i="1"/>
  <c r="AK46" i="1"/>
  <c r="Y6" i="7" l="1"/>
  <c r="X8" i="7"/>
  <c r="AK42" i="1" s="1"/>
  <c r="AK41" i="1" s="1"/>
  <c r="AK44" i="1" s="1"/>
  <c r="T8" i="7"/>
  <c r="AJ42" i="1" s="1"/>
  <c r="AJ41" i="1" s="1"/>
  <c r="AJ44" i="1" s="1"/>
  <c r="U6" i="7"/>
  <c r="T9" i="7" l="1"/>
  <c r="T10" i="7" s="1"/>
  <c r="U7" i="7"/>
  <c r="Y7" i="7"/>
  <c r="X9" i="7"/>
  <c r="Y9" i="7" s="1"/>
  <c r="U9" i="7"/>
  <c r="X10" i="7" l="1"/>
  <c r="Y10" i="7"/>
  <c r="X11" i="7"/>
  <c r="T11" i="7"/>
  <c r="U10" i="7"/>
  <c r="T13" i="7" l="1"/>
  <c r="AJ38" i="1" s="1"/>
  <c r="AJ37" i="1" s="1"/>
  <c r="AJ40" i="1" s="1"/>
  <c r="U11" i="7"/>
  <c r="Y11" i="7"/>
  <c r="X13" i="7"/>
  <c r="AK38" i="1" s="1"/>
  <c r="AK37" i="1" s="1"/>
  <c r="AK40" i="1" s="1"/>
  <c r="X14" i="7" l="1"/>
  <c r="Y12" i="7"/>
  <c r="U12" i="7"/>
  <c r="T14" i="7"/>
  <c r="T16" i="7" l="1"/>
  <c r="U14" i="7"/>
  <c r="U20" i="7" s="1"/>
  <c r="U21" i="7" s="1"/>
  <c r="X16" i="7"/>
  <c r="Y14" i="7"/>
  <c r="Y20" i="7" s="1"/>
  <c r="Y21" i="7" l="1"/>
  <c r="Y15" i="7"/>
  <c r="Y18" i="7" s="1"/>
  <c r="AK34" i="1"/>
  <c r="AK33" i="1" s="1"/>
  <c r="AK36" i="1" s="1"/>
  <c r="U15" i="7"/>
  <c r="U18" i="7" s="1"/>
  <c r="AJ34" i="1"/>
  <c r="AJ33" i="1" s="1"/>
  <c r="AJ36" i="1" s="1"/>
  <c r="U19" i="7" l="1"/>
  <c r="AJ50" i="1"/>
  <c r="AJ49" i="1" s="1"/>
  <c r="AJ52" i="1" s="1"/>
  <c r="Y19" i="7"/>
  <c r="AK50" i="1"/>
  <c r="M32" i="7"/>
  <c r="M29" i="7"/>
  <c r="M33" i="7"/>
  <c r="AK49" i="1" l="1"/>
  <c r="AK52" i="1" s="1"/>
  <c r="AK23" i="1"/>
  <c r="AK19" i="1" s="1"/>
  <c r="M30" i="7"/>
  <c r="M35" i="7"/>
  <c r="M34" i="7"/>
  <c r="M38" i="7" l="1"/>
  <c r="M41" i="7" s="1"/>
  <c r="M42" i="7" s="1"/>
  <c r="M37" i="7"/>
  <c r="M43" i="7" s="1"/>
  <c r="M44" i="7" s="1"/>
  <c r="AD22" i="9" l="1"/>
  <c r="L23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I1" authorId="0" shapeId="0" xr:uid="{24FEDCC4-A893-4CF1-BF40-694827B4EFB7}">
      <text>
        <r>
          <rPr>
            <b/>
            <u/>
            <sz val="9"/>
            <color indexed="81"/>
            <rFont val="Tahoma"/>
            <family val="2"/>
          </rPr>
          <t>Natural Production (eg)</t>
        </r>
        <r>
          <rPr>
            <b/>
            <sz val="9"/>
            <color indexed="81"/>
            <rFont val="Tahoma"/>
            <family val="2"/>
          </rPr>
          <t xml:space="preserve">
(current)
spawning ground survey 
dam count
weir count
EDT model (patient)
expert judgement
(historical)
Reference period estimate
EDT model (template)
Other model
Harvest expansion
???
(goals)
</t>
        </r>
        <r>
          <rPr>
            <b/>
            <u/>
            <sz val="9"/>
            <color indexed="81"/>
            <rFont val="Tahoma"/>
            <family val="2"/>
          </rPr>
          <t>Hatchery</t>
        </r>
        <r>
          <rPr>
            <b/>
            <sz val="9"/>
            <color indexed="81"/>
            <rFont val="Tahoma"/>
            <family val="2"/>
          </rPr>
          <t xml:space="preserve">
release
adult return</t>
        </r>
      </text>
    </comment>
    <comment ref="J1" authorId="0" shapeId="0" xr:uid="{DA6DA85F-0216-47D7-AD56-EFD83B32A4E1}">
      <text>
        <r>
          <rPr>
            <b/>
            <sz val="9"/>
            <color indexed="81"/>
            <rFont val="Tahoma"/>
            <family val="2"/>
          </rPr>
          <t>if applicable</t>
        </r>
      </text>
    </comment>
    <comment ref="L1" authorId="0" shapeId="0" xr:uid="{8C4EDC5E-5B42-41EF-8D31-0F6FFCA0D5F9}">
      <text>
        <r>
          <rPr>
            <b/>
            <u/>
            <sz val="9"/>
            <color indexed="81"/>
            <rFont val="Tahoma"/>
            <family val="2"/>
          </rPr>
          <t>Reference (short form)</t>
        </r>
        <r>
          <rPr>
            <b/>
            <sz val="9"/>
            <color indexed="81"/>
            <rFont val="Tahoma"/>
            <family val="2"/>
          </rPr>
          <t xml:space="preserve">
Recovery plan
Subbasin plan
Technical report
Website
Agency unpublished
etc.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E7" authorId="0" shapeId="0" xr:uid="{1E009C0E-5C1E-407A-8A93-F47EEE77E8FB}">
      <text>
        <r>
          <rPr>
            <b/>
            <sz val="9"/>
            <color indexed="81"/>
            <rFont val="Tahoma"/>
            <family val="2"/>
          </rPr>
          <t xml:space="preserve">includes selway
</t>
        </r>
      </text>
    </comment>
    <comment ref="E21" authorId="0" shapeId="0" xr:uid="{C9A4E5D5-2645-4C75-B065-A34DF12A3EB8}">
      <text>
        <r>
          <rPr>
            <b/>
            <sz val="9"/>
            <color indexed="81"/>
            <rFont val="Tahoma"/>
            <family val="2"/>
          </rPr>
          <t>includes lower &amp; upper middle fork</t>
        </r>
      </text>
    </comment>
    <comment ref="E27" authorId="0" shapeId="0" xr:uid="{9F7E71DE-8643-489D-949A-57AD84A8B4A5}">
      <text>
        <r>
          <rPr>
            <b/>
            <sz val="9"/>
            <color indexed="81"/>
            <rFont val="Tahoma"/>
            <family val="2"/>
          </rPr>
          <t>includes S Fork &amp; secesh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O4" authorId="0" shapeId="0" xr:uid="{D993F2E4-7C81-4CF4-A28A-2CDDCB2B911E}">
      <text>
        <r>
          <rPr>
            <b/>
            <sz val="9"/>
            <color indexed="81"/>
            <rFont val="Tahoma"/>
            <family val="2"/>
          </rPr>
          <t>assumed from pHOS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U3" authorId="0" shapeId="0" xr:uid="{76F3453E-0CDB-4610-9A9D-C1F4F5C855A3}">
      <text>
        <r>
          <rPr>
            <b/>
            <sz val="9"/>
            <color indexed="81"/>
            <rFont val="Tahoma"/>
            <family val="2"/>
          </rPr>
          <t>Adult returns of salmon and steelhead to the uppermost Snake River dam
(Ice Harbor 1962-68, Lower Monumental 1969, Little Goose 1970-74, Lower Granite 1975 - present)</t>
        </r>
      </text>
    </comment>
    <comment ref="BZ5" authorId="0" shapeId="0" xr:uid="{814590EF-944C-4080-B742-28020928A1D2}">
      <text>
        <r>
          <rPr>
            <b/>
            <sz val="9"/>
            <color indexed="81"/>
            <rFont val="Tahoma"/>
            <family val="2"/>
          </rPr>
          <t>assume all catch is hatchery origin</t>
        </r>
      </text>
    </comment>
    <comment ref="BZ6" authorId="0" shapeId="0" xr:uid="{05C42D9A-3BAC-49F3-8108-16A431E9D1D8}">
      <text>
        <r>
          <rPr>
            <b/>
            <sz val="9"/>
            <color indexed="81"/>
            <rFont val="Tahoma"/>
            <family val="2"/>
          </rPr>
          <t>approximate because mixing run year abundance &amp; calendar year harvest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L5" authorId="0" shapeId="0" xr:uid="{86EB5ECD-D853-4875-B864-B484BB0EBADA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P5" authorId="0" shapeId="0" xr:uid="{B29C9E03-0D79-4E0E-92CD-AD80285B5760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T5" authorId="0" shapeId="0" xr:uid="{1C68A3C8-9886-4B33-A876-F819D181D123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X5" authorId="0" shapeId="0" xr:uid="{27AC4E32-B0A7-4E8C-AEAE-99C32901E0CC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D6" authorId="0" shapeId="0" xr:uid="{6D8F5115-5D9D-4336-93A1-83AD704E5B89}">
      <text>
        <r>
          <rPr>
            <b/>
            <sz val="9"/>
            <color indexed="81"/>
            <rFont val="Tahoma"/>
            <family val="2"/>
          </rPr>
          <t>same assumption as CHS</t>
        </r>
      </text>
    </comment>
    <comment ref="H8" authorId="0" shapeId="0" xr:uid="{6CA4CB19-8EA9-43C2-8DB2-81BD2B99179E}">
      <text>
        <r>
          <rPr>
            <b/>
            <sz val="9"/>
            <color indexed="81"/>
            <rFont val="Tahoma"/>
            <family val="2"/>
          </rPr>
          <t>LGr count</t>
        </r>
      </text>
    </comment>
    <comment ref="L8" authorId="0" shapeId="0" xr:uid="{F3D77F72-0779-4D08-9822-A3429811E3D6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P8" authorId="0" shapeId="0" xr:uid="{45369C88-B32C-4019-89FB-C8BCBD79C845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T8" authorId="0" shapeId="0" xr:uid="{64BC99DB-3CA1-401E-9826-B40BB3B8A4A6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X8" authorId="0" shapeId="0" xr:uid="{D9559C63-3723-443C-9A0C-D46C0DF05CAF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D10" authorId="0" shapeId="0" xr:uid="{7558BD79-523F-48A8-86F6-D7EF536FFD3C}">
      <text>
        <r>
          <rPr>
            <b/>
            <sz val="9"/>
            <color indexed="81"/>
            <rFont val="Tahoma"/>
            <family val="2"/>
          </rPr>
          <t>assume included elsewhere</t>
        </r>
      </text>
    </comment>
    <comment ref="D14" authorId="0" shapeId="0" xr:uid="{767F76FF-38A5-468E-943B-A66A129B6F61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K14" authorId="0" shapeId="0" xr:uid="{8CB62872-2DCB-4ABB-BCDF-957D02AEFD8B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O14" authorId="0" shapeId="0" xr:uid="{525FAD62-B933-4725-AAEC-5DD3B7DC0618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S14" authorId="0" shapeId="0" xr:uid="{0B509197-4153-4214-9788-DDFCCD360BE1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W14" authorId="0" shapeId="0" xr:uid="{12E410A9-D5EC-4B30-A8AE-C480FF39A9D6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M23" authorId="0" shapeId="0" xr:uid="{EB4E4E74-F6D9-4A7E-8C5E-DCE5953E2E00}">
      <text>
        <r>
          <rPr>
            <b/>
            <sz val="9"/>
            <color indexed="81"/>
            <rFont val="Tahoma"/>
            <family val="2"/>
          </rPr>
          <t>based on b-run only</t>
        </r>
      </text>
    </comment>
    <comment ref="D29" authorId="0" shapeId="0" xr:uid="{FBDEBE0F-D18C-4A6D-9EB0-C79771710286}">
      <text>
        <r>
          <rPr>
            <b/>
            <sz val="9"/>
            <color indexed="81"/>
            <rFont val="Tahoma"/>
            <family val="2"/>
          </rPr>
          <t>same assumption as CHS</t>
        </r>
      </text>
    </comment>
    <comment ref="D37" authorId="0" shapeId="0" xr:uid="{2AD44500-ECAA-4433-9637-A42FC285AB9B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K37" authorId="0" shapeId="0" xr:uid="{DEDD08EB-BC91-4654-8821-03A565DED3B2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O37" authorId="0" shapeId="0" xr:uid="{3AF444DC-0424-4DEA-945B-BCDEF6B3FF92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S37" authorId="0" shapeId="0" xr:uid="{AE6E86D7-C36D-4BAD-B704-E693B61F9443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W37" authorId="0" shapeId="0" xr:uid="{076152D2-15A8-4F99-AF09-E7ED0593D6E4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Q42" authorId="0" shapeId="0" xr:uid="{F0747658-1340-4CF4-9982-C9BE2476749E}">
      <text>
        <r>
          <rPr>
            <b/>
            <sz val="9"/>
            <color indexed="81"/>
            <rFont val="Tahoma"/>
            <family val="2"/>
          </rPr>
          <t>a/b avg less than b-run avg identified on summary page</t>
        </r>
      </text>
    </comment>
  </commentList>
</comments>
</file>

<file path=xl/sharedStrings.xml><?xml version="1.0" encoding="utf-8"?>
<sst xmlns="http://schemas.openxmlformats.org/spreadsheetml/2006/main" count="2541" uniqueCount="444">
  <si>
    <t>ESA: Threatened</t>
  </si>
  <si>
    <t>Natural Production</t>
  </si>
  <si>
    <t>Potential Goal Range</t>
  </si>
  <si>
    <t>MPG</t>
  </si>
  <si>
    <t>Population</t>
  </si>
  <si>
    <t>Recent</t>
  </si>
  <si>
    <t>Low</t>
  </si>
  <si>
    <t>Med</t>
  </si>
  <si>
    <t>High</t>
  </si>
  <si>
    <t>Totals</t>
  </si>
  <si>
    <t>@ Columbia R Mouth</t>
  </si>
  <si>
    <t>Artificial Production</t>
  </si>
  <si>
    <t>--</t>
  </si>
  <si>
    <t>Location (Program)</t>
  </si>
  <si>
    <t>Brood</t>
  </si>
  <si>
    <t>Return</t>
  </si>
  <si>
    <t>Goal</t>
  </si>
  <si>
    <t>Subtotal</t>
  </si>
  <si>
    <t>Fisheries / Harvest</t>
  </si>
  <si>
    <t>Current</t>
  </si>
  <si>
    <t>Location</t>
  </si>
  <si>
    <t>Terminal</t>
  </si>
  <si>
    <t>Total</t>
  </si>
  <si>
    <t>Hatchery</t>
  </si>
  <si>
    <t>Tucannon</t>
  </si>
  <si>
    <t>Imnaha</t>
  </si>
  <si>
    <t>Smolts</t>
  </si>
  <si>
    <t>Other</t>
  </si>
  <si>
    <t>Type</t>
  </si>
  <si>
    <t>Year</t>
  </si>
  <si>
    <t>Wild</t>
  </si>
  <si>
    <t xml:space="preserve"> </t>
  </si>
  <si>
    <t>Ocean</t>
  </si>
  <si>
    <t>Mainstem Treaty</t>
  </si>
  <si>
    <t>Mainstem Non-treaty</t>
  </si>
  <si>
    <t>Snake River Steelhead</t>
  </si>
  <si>
    <t>Life History: Summer run, Stream-type rearing</t>
  </si>
  <si>
    <t>Clearwater</t>
  </si>
  <si>
    <t>North Fork</t>
  </si>
  <si>
    <t>South Fork</t>
  </si>
  <si>
    <t>Grande Ronde</t>
  </si>
  <si>
    <t>Joseph Creek</t>
  </si>
  <si>
    <t>Wallowa River</t>
  </si>
  <si>
    <t>Lower Mainstem</t>
  </si>
  <si>
    <t>Upper Mainstem</t>
  </si>
  <si>
    <t>Lochsa River</t>
  </si>
  <si>
    <t>Lolo Creek</t>
  </si>
  <si>
    <t>Selway River</t>
  </si>
  <si>
    <t>Imnaha River</t>
  </si>
  <si>
    <t>Lower Snake</t>
  </si>
  <si>
    <t>Asotin Creek</t>
  </si>
  <si>
    <t>Tucannon River</t>
  </si>
  <si>
    <t>Salmon</t>
  </si>
  <si>
    <t>Chamberlain Creek</t>
  </si>
  <si>
    <t>East Fork Salmon River</t>
  </si>
  <si>
    <t>Lemhi River</t>
  </si>
  <si>
    <t>Little Salmon River</t>
  </si>
  <si>
    <t>Pahsimeroi River</t>
  </si>
  <si>
    <t>Panther Creek</t>
  </si>
  <si>
    <t>Secesh River</t>
  </si>
  <si>
    <t>Middle Fork Lower Mainstem</t>
  </si>
  <si>
    <t>Middle Fork Upper Mainstem</t>
  </si>
  <si>
    <t>Historical</t>
  </si>
  <si>
    <t>Dworshak</t>
  </si>
  <si>
    <t>Group A</t>
  </si>
  <si>
    <t>Group B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</si>
  <si>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</si>
  <si>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</si>
  <si>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</si>
  <si>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</si>
  <si>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</si>
  <si>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</si>
  <si>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</si>
  <si>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</si>
  <si>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</si>
  <si>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</si>
  <si>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</si>
  <si>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</si>
  <si>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</si>
  <si>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</si>
  <si>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</si>
  <si>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</si>
  <si>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</si>
  <si>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</si>
  <si>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</si>
  <si>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</si>
  <si>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</si>
  <si>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</si>
  <si>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</si>
  <si>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</si>
  <si>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</si>
  <si>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Clipped</t>
  </si>
  <si>
    <t>Unclipped</t>
  </si>
  <si>
    <t>rtn</t>
  </si>
  <si>
    <t>year</t>
  </si>
  <si>
    <t>Recreational Below BON</t>
  </si>
  <si>
    <t>Recreational BON - Hwy 395</t>
  </si>
  <si>
    <t>Total Fall Season</t>
  </si>
  <si>
    <t>Released Clipped Hatchery</t>
  </si>
  <si>
    <t>Released</t>
  </si>
  <si>
    <t>Kept Clipped</t>
  </si>
  <si>
    <t>Kept Clipped Released</t>
  </si>
  <si>
    <t>Hatchery Unclipped</t>
  </si>
  <si>
    <t>Clipped Hatchery</t>
  </si>
  <si>
    <t>A-Index</t>
  </si>
  <si>
    <t>B-Index</t>
  </si>
  <si>
    <t>5-yr Ave</t>
  </si>
  <si>
    <t>10-yr Ave</t>
  </si>
  <si>
    <t>Commercial Below BON 2</t>
  </si>
  <si>
    <t>Dip-Ins 3</t>
  </si>
  <si>
    <r>
      <t>Table 19. Fall season summer steelhead harvest and incidental release mortalities in mainstem Columbia River non-treaty fisheries, 1999-2016.</t>
    </r>
    <r>
      <rPr>
        <i/>
        <vertAlign val="superscript"/>
        <sz val="12"/>
        <color rgb="FF000000"/>
        <rFont val="Times New Roman"/>
        <family val="1"/>
      </rPr>
      <t>1</t>
    </r>
    <r>
      <rPr>
        <i/>
        <sz val="8"/>
        <color rgb="FF000000"/>
        <rFont val="Times New Roman"/>
        <family val="1"/>
      </rPr>
      <t xml:space="preserve"> </t>
    </r>
  </si>
  <si>
    <t>Wild Summer Steelhead</t>
  </si>
  <si>
    <t>A-Index B-Index</t>
  </si>
  <si>
    <t>Actual Impacts</t>
  </si>
  <si>
    <t>Impacts Allowed</t>
  </si>
  <si>
    <t>Actual Wild Impacts</t>
  </si>
  <si>
    <t>Total B</t>
  </si>
  <si>
    <t>B-Index allowed</t>
  </si>
  <si>
    <t>NA</t>
  </si>
  <si>
    <t xml:space="preserve">Table 33. Fall season treaty impact rates on wild and total B-Index (since 2008) upriver summer steelhead, 1999-2016.1 </t>
  </si>
  <si>
    <t>Skamania Index</t>
  </si>
  <si>
    <t>Total Passage</t>
  </si>
  <si>
    <t>Hatchery Wild</t>
  </si>
  <si>
    <t>Unclipped Hatchery</t>
  </si>
  <si>
    <t>-</t>
  </si>
  <si>
    <t>Table 6. Returns of upriver summer steelhead to Bonneville Dam (April- October), 1984-2016.</t>
  </si>
  <si>
    <t>A-index</t>
  </si>
  <si>
    <t>B-index</t>
  </si>
  <si>
    <t xml:space="preserve"> CR Non Treaty</t>
  </si>
  <si>
    <t>CR Treaty</t>
  </si>
  <si>
    <t>B</t>
  </si>
  <si>
    <t>A</t>
  </si>
  <si>
    <t>Lyons Ferry/Irrigon/Wallowa</t>
  </si>
  <si>
    <t>Irrigon-Imnaha</t>
  </si>
  <si>
    <t>Hagerman</t>
  </si>
  <si>
    <t>Magic Valley</t>
  </si>
  <si>
    <t>Niagara Spr.</t>
  </si>
  <si>
    <t>Sawtooth/Pahsimeroi</t>
  </si>
  <si>
    <t>A/B</t>
  </si>
  <si>
    <t>Note: Return goal of 60,264 = sum of LSRCP, ACOE and IPC goals</t>
  </si>
  <si>
    <t>Harvest</t>
  </si>
  <si>
    <t>10 yr avg</t>
  </si>
  <si>
    <t>Wild/Natural</t>
  </si>
  <si>
    <t>15-22%</t>
  </si>
  <si>
    <t>Total Return</t>
  </si>
  <si>
    <t>@ Goals</t>
  </si>
  <si>
    <t>% hatchery</t>
  </si>
  <si>
    <t>Current Production</t>
  </si>
  <si>
    <t>production</t>
  </si>
  <si>
    <t>A-run avg</t>
  </si>
  <si>
    <t>B run avg</t>
  </si>
  <si>
    <t>A-run</t>
  </si>
  <si>
    <t>B-run</t>
  </si>
  <si>
    <t>total</t>
  </si>
  <si>
    <t>Harvest (total)</t>
  </si>
  <si>
    <t>Low goal</t>
  </si>
  <si>
    <t>Med goal</t>
  </si>
  <si>
    <t>High goal</t>
  </si>
  <si>
    <t>Limits</t>
  </si>
  <si>
    <t>20-50%</t>
  </si>
  <si>
    <t>≤70%</t>
  </si>
  <si>
    <t>&lt;2%</t>
  </si>
  <si>
    <t>17-22%</t>
  </si>
  <si>
    <t>Potential</t>
  </si>
  <si>
    <t>Anticipated</t>
  </si>
  <si>
    <t>1800s</t>
  </si>
  <si>
    <t>Stock</t>
  </si>
  <si>
    <t>Record type</t>
  </si>
  <si>
    <t>Subject</t>
  </si>
  <si>
    <t>Variable</t>
  </si>
  <si>
    <t>Value</t>
  </si>
  <si>
    <t>Metric</t>
  </si>
  <si>
    <t>Units</t>
  </si>
  <si>
    <t>Method</t>
  </si>
  <si>
    <t>Years</t>
  </si>
  <si>
    <t>Quantitative Goal Rules</t>
  </si>
  <si>
    <t>Reference</t>
  </si>
  <si>
    <t>Reference Link</t>
  </si>
  <si>
    <t>Notes</t>
  </si>
  <si>
    <t>Population-specific estimates not available</t>
  </si>
  <si>
    <t>not applicable</t>
  </si>
  <si>
    <t>na</t>
  </si>
  <si>
    <t>NPT (Nez Perce Tribe). 2013. Fisheries resources management plan 2013-2028. Department of Fisheries.  Lapwai, Idaho.</t>
  </si>
  <si>
    <t>http://www.nptfisheries.org/portals/0/images/dfrm/home/fisheries-management-plan-final-sm.pdf</t>
  </si>
  <si>
    <t>NPT ecological escapement objective used as population-specific historical values were not otherwise available, NPT values assumed to be less than or equal historical potential</t>
  </si>
  <si>
    <t>geomean</t>
  </si>
  <si>
    <t>Minimum abundance threshold</t>
  </si>
  <si>
    <t>Low range - 2</t>
  </si>
  <si>
    <t xml:space="preserve">NMFS (National Marine Fisheries Service). 2017. ESA Recovery Plan for Snake River Spring/Summer Chinook (Oncorhynchus tshawytscha) and Snake River Steelhead (Oncorhynchus mykiss). </t>
  </si>
  <si>
    <t>http://www.westcoast.fisheries.noaa.gov/protected_species/salmon_steelhead/recovery_planning_and_implementation/snake_river/snake_river_sp-su_chinook_steelhead.html</t>
  </si>
  <si>
    <t>Mid-way between low- and high-range goals</t>
  </si>
  <si>
    <t>Medium range - 2</t>
  </si>
  <si>
    <t>P Kline, IDFG, unpublished</t>
  </si>
  <si>
    <t>High range - 2</t>
  </si>
  <si>
    <t>5x MAT based on aggregate of historical redd counts</t>
  </si>
  <si>
    <t>access blocked by Dworshak Dam</t>
  </si>
  <si>
    <t>(EDT)</t>
  </si>
  <si>
    <t>Subbasin Plan</t>
  </si>
  <si>
    <t>EDT Model (patient)</t>
  </si>
  <si>
    <t>https://www.nwcouncil.org/sites/default/files/GRSPfinal.pdf</t>
  </si>
  <si>
    <t>NPPC (Northwest Power and Conservation Council). 2004. Grande Ronde Subbasin Plan.</t>
  </si>
  <si>
    <t>NPPC (Northwest Power and Conservation Council). 2004. Imnaha Subbasin Plan.</t>
  </si>
  <si>
    <t>https://www.nwcouncil.org/sites/default/files/Imnaha_Subbasin_Assessment_sm.pdf</t>
  </si>
  <si>
    <t>See separate steelhead run reconstruction worksheet for complete accounting</t>
  </si>
  <si>
    <t>from ODFW/WDFW joint staff reports</t>
  </si>
  <si>
    <t>natural origin spawners adults</t>
  </si>
  <si>
    <t>access is currently blocked by Dworshak Dam</t>
  </si>
  <si>
    <t>NPT ecological goal</t>
  </si>
  <si>
    <t>PFC</t>
  </si>
  <si>
    <t>NPPC (Northwest Power and Conservation Council). 2004. Tucannon Subbasin Plan.</t>
  </si>
  <si>
    <t>https://www.nwcouncil.org/sites/default/files/Entire_Document.pdf</t>
  </si>
  <si>
    <t>https://www.nwcouncil.org/sites/default/files/Entire_Plan.pdf</t>
  </si>
  <si>
    <t>NPPC (Northwest Power and Conservation Council). 2004. Asotin Subbasin Plan.</t>
  </si>
  <si>
    <t>survey</t>
  </si>
  <si>
    <t>NPT ecological</t>
  </si>
  <si>
    <t>goal</t>
  </si>
  <si>
    <t>Middle Fk Lower Mainstem</t>
  </si>
  <si>
    <t>Middle Fk Upper Mainstem</t>
  </si>
  <si>
    <t>2017-18</t>
  </si>
  <si>
    <t>LSRCP</t>
  </si>
  <si>
    <t>Misc (mainstem + tribs)</t>
  </si>
  <si>
    <t>Misc L Snake tribs</t>
  </si>
  <si>
    <r>
      <rPr>
        <b/>
        <sz val="11"/>
        <color theme="1"/>
        <rFont val="Calibri"/>
        <family val="2"/>
      </rPr>
      <t>~</t>
    </r>
    <r>
      <rPr>
        <b/>
        <sz val="11"/>
        <color theme="1"/>
        <rFont val="Calibri"/>
        <family val="2"/>
        <scheme val="minor"/>
      </rPr>
      <t>1960</t>
    </r>
  </si>
  <si>
    <t>sport</t>
  </si>
  <si>
    <t>catch</t>
  </si>
  <si>
    <t>&gt;LGR</t>
  </si>
  <si>
    <t>calender yr</t>
  </si>
  <si>
    <t>P Kline data</t>
  </si>
  <si>
    <t>Hat</t>
  </si>
  <si>
    <t>ER</t>
  </si>
  <si>
    <t>Snake R (abv L. Granite Dam)</t>
  </si>
  <si>
    <t>Idaho</t>
  </si>
  <si>
    <t>forwards</t>
  </si>
  <si>
    <t>current</t>
  </si>
  <si>
    <t>Medium</t>
  </si>
  <si>
    <t>mort</t>
  </si>
  <si>
    <t>surv</t>
  </si>
  <si>
    <t>cummul</t>
  </si>
  <si>
    <t>#</t>
  </si>
  <si>
    <t>diff</t>
  </si>
  <si>
    <t>wild</t>
  </si>
  <si>
    <t>Natl loss from LGr to terminal area</t>
  </si>
  <si>
    <t>Harvest from LGR to terminal area</t>
  </si>
  <si>
    <t>Natl loss from MCN to LGR</t>
  </si>
  <si>
    <t>Harvest from MCN to LGR</t>
  </si>
  <si>
    <t>Natl loss from BON to MCN</t>
  </si>
  <si>
    <t>Harvest from BON to MCN</t>
  </si>
  <si>
    <t>Natl loss from mouth to BON</t>
  </si>
  <si>
    <t>Harvest from mouth to BON</t>
  </si>
  <si>
    <t>Total harvest</t>
  </si>
  <si>
    <t>ER v mouth</t>
  </si>
  <si>
    <t>Conversion loss</t>
  </si>
  <si>
    <t>%</t>
  </si>
  <si>
    <t>ER goal</t>
  </si>
  <si>
    <t>These are aspirational harvest rates identified to provide progressively reasonable opportunity</t>
  </si>
  <si>
    <t>hatchery</t>
  </si>
  <si>
    <t>harv rates adjusted to maintain similar hatchery escapement</t>
  </si>
  <si>
    <t>(assumes hatchery fish are accessible)</t>
  </si>
  <si>
    <t>Subjective assumptions for how much hatchery harvest rates might increase relative to wild rates</t>
  </si>
  <si>
    <t>Wild
Steelhead Adults</t>
  </si>
  <si>
    <t>Hatchery
Steelhead Adults</t>
  </si>
  <si>
    <t>Total
Steelhead Adults</t>
  </si>
  <si>
    <t>Snake R Dam Count</t>
  </si>
  <si>
    <t>P Kline IDFG</t>
  </si>
  <si>
    <t>terminal run</t>
  </si>
  <si>
    <t>Grande Ronde (all populations)</t>
  </si>
  <si>
    <t>Clearwater (all populations)</t>
  </si>
  <si>
    <t>Salmon River (all populations)</t>
  </si>
  <si>
    <t>Lower Snake (misc populations)</t>
  </si>
  <si>
    <t>Grande Ronde Lower Mainstem</t>
  </si>
  <si>
    <t>Grande Ronde Upper Mainstem</t>
  </si>
  <si>
    <t>Clearwater Lower Mainstem</t>
  </si>
  <si>
    <t>Salmon R Upper Mainstem</t>
  </si>
  <si>
    <t>Clearwater South Fork</t>
  </si>
  <si>
    <t>Cearwater North Fork</t>
  </si>
  <si>
    <t>Salmon R North Fork</t>
  </si>
  <si>
    <t>Salmon R South Fork</t>
  </si>
  <si>
    <r>
      <rPr>
        <sz val="11"/>
        <color theme="1"/>
        <rFont val="Calibri"/>
        <family val="2"/>
      </rPr>
      <t>~</t>
    </r>
    <r>
      <rPr>
        <sz val="11"/>
        <color theme="1"/>
        <rFont val="Calibri"/>
        <family val="2"/>
        <scheme val="minor"/>
      </rPr>
      <t>1960</t>
    </r>
  </si>
  <si>
    <r>
      <t>Historical (</t>
    </r>
    <r>
      <rPr>
        <sz val="11"/>
        <rFont val="Calibri"/>
        <family val="2"/>
      </rPr>
      <t>~</t>
    </r>
    <r>
      <rPr>
        <sz val="9.9"/>
        <rFont val="Calibri"/>
        <family val="2"/>
      </rPr>
      <t>1960)</t>
    </r>
  </si>
  <si>
    <t>https://www.fws.gov/lsnakecomplan/Reports/LSRCP/Special%20Report%20June%201975/Special%20Report.PDF</t>
  </si>
  <si>
    <t>USACE (U.S. Army Corps of Engineers). 1975. Lower Snake River Compensation Plan.</t>
  </si>
  <si>
    <t>Clearwater North Fork</t>
  </si>
  <si>
    <t>Subbasin Plan (EDT results)</t>
  </si>
  <si>
    <t>Recovery Plan</t>
  </si>
  <si>
    <r>
      <t>Table 7. Returns of upriver summer steelhead to Lower Granite Dam, 1991-2016.</t>
    </r>
    <r>
      <rPr>
        <i/>
        <vertAlign val="superscript"/>
        <sz val="10"/>
        <color rgb="FF000000"/>
        <rFont val="Arial"/>
        <family val="2"/>
      </rPr>
      <t>1,2</t>
    </r>
    <r>
      <rPr>
        <i/>
        <sz val="10"/>
        <color rgb="FF000000"/>
        <rFont val="Arial"/>
        <family val="2"/>
      </rPr>
      <t xml:space="preserve"> </t>
    </r>
  </si>
  <si>
    <r>
      <t>Run Year</t>
    </r>
    <r>
      <rPr>
        <vertAlign val="superscript"/>
        <sz val="10"/>
        <color rgb="FF000000"/>
        <rFont val="Arial"/>
        <family val="2"/>
      </rPr>
      <t>3</t>
    </r>
    <r>
      <rPr>
        <sz val="10"/>
        <color rgb="FF000000"/>
        <rFont val="Arial"/>
        <family val="2"/>
      </rPr>
      <t xml:space="preserve"> </t>
    </r>
  </si>
  <si>
    <t>2016-17</t>
  </si>
  <si>
    <t>(latest year based on visual id pending genetics)</t>
  </si>
  <si>
    <t>10 yr average</t>
  </si>
  <si>
    <t>10 yr geomean</t>
  </si>
  <si>
    <t>Exploitation rate (v Col R run)</t>
  </si>
  <si>
    <t>@ Bonneville Dam</t>
  </si>
  <si>
    <t>Snake R (below L. Granite Dam)</t>
  </si>
  <si>
    <t>Spawning Escapement</t>
  </si>
  <si>
    <t>Lower Granite Dam count</t>
  </si>
  <si>
    <t>average</t>
  </si>
  <si>
    <t>EDT Model (template)</t>
  </si>
  <si>
    <t>WDFW &amp; ODFW. 2018. Joint Staff Report: Stock Status and fisheries for Fall Chinook Salmon, Coho Salmon, Chum Salmon, Summer Steelhead, and White Sturgeon.</t>
  </si>
  <si>
    <t>https://www.dfw.state.or.us/fish/OSCRP/CRM/reports/18_reports/2018falljsr.pdf</t>
  </si>
  <si>
    <t>Sum of subbasin-specific numbers</t>
  </si>
  <si>
    <t>actual</t>
  </si>
  <si>
    <t>@ LGR</t>
  </si>
  <si>
    <t>CR Run</t>
  </si>
  <si>
    <t>@ BON</t>
  </si>
  <si>
    <t>backwards</t>
  </si>
  <si>
    <t>Spawning escapement (from coordinated assessment database)</t>
  </si>
  <si>
    <t>Gr Ronde</t>
  </si>
  <si>
    <t>Joseph</t>
  </si>
  <si>
    <t>Salmon R</t>
  </si>
  <si>
    <t>Lochsa &amp;</t>
  </si>
  <si>
    <t>S Fk</t>
  </si>
  <si>
    <t>Selway</t>
  </si>
  <si>
    <t>Upper</t>
  </si>
  <si>
    <t>L &amp; U mid fk</t>
  </si>
  <si>
    <t xml:space="preserve"> &amp; Secesh</t>
  </si>
  <si>
    <t>Includes Lochsa &amp; Selway. Index count</t>
  </si>
  <si>
    <t>spawning ground survey (index count)</t>
  </si>
  <si>
    <t>PSMFC Coordinated Assessment Database</t>
  </si>
  <si>
    <t>https://www.streamnet.org/data/coordinated-assessments/</t>
  </si>
  <si>
    <t>Includes Middle Fork Lower &amp; Upper. Index count.</t>
  </si>
  <si>
    <t>Includes Lochsa &amp; Selway. Index count.</t>
  </si>
  <si>
    <t>equilibrium</t>
  </si>
  <si>
    <t>Asotin</t>
  </si>
  <si>
    <t>2008-2017</t>
  </si>
  <si>
    <t>2008-2016</t>
  </si>
  <si>
    <t>spawning ground survey</t>
  </si>
  <si>
    <t>Index count</t>
  </si>
  <si>
    <t>populations w/ recent #</t>
  </si>
  <si>
    <t>low goals for these pops</t>
  </si>
  <si>
    <t>LGR dam counts also exceed the aggregate of low range goals</t>
  </si>
  <si>
    <t>(even accounting for upriver harvest and a moderate degree of conversion loss)</t>
  </si>
  <si>
    <t>Therefore, it was assumed for the purpose  this exercise that current abundance is equal to the low goal situation as the most parsimponious assumption in the absence of complete spawning escapement information.</t>
  </si>
  <si>
    <t>The recovery plan does not report current abundance at the the populations scale, it merely identifies risk level</t>
  </si>
  <si>
    <t>The recovery pland does report that a number of populations currently meet recovery goals</t>
  </si>
  <si>
    <t>only totals reported because no A/B breakdown on sport harvest above LGR</t>
  </si>
  <si>
    <t>Recovery is not currently achieved because all population-specific goals are likely not met (according to the recovery pan)</t>
  </si>
  <si>
    <t>There are also questions regarding natural productivity given a large return of hatchery-origin fish</t>
  </si>
  <si>
    <t>(can't assume proportional to LGR because of the distribution of the fishery (a lot in the clearwater on Dworshak hatchery fish)</t>
  </si>
  <si>
    <t>use</t>
  </si>
  <si>
    <t>harvest scalar</t>
  </si>
  <si>
    <t>lower than b-run limits because combined a&amp;b run constrained by current fishery configuration</t>
  </si>
  <si>
    <t>@Lower Granite Dam</t>
  </si>
  <si>
    <t>Abundance (mean)</t>
  </si>
  <si>
    <t>Recent 10-yr avg (2007-2016)</t>
  </si>
  <si>
    <t>These numbers are similar (aggregate low goal would be met for these populations).</t>
  </si>
  <si>
    <t>Natural</t>
  </si>
  <si>
    <t>million</t>
  </si>
  <si>
    <t>Subyearlings</t>
  </si>
  <si>
    <t>Hells Canyon</t>
  </si>
  <si>
    <t>Burnt River</t>
  </si>
  <si>
    <t>Powder River</t>
  </si>
  <si>
    <t>Weiser River</t>
  </si>
  <si>
    <t>Payette Boise</t>
  </si>
  <si>
    <t>Boise River</t>
  </si>
  <si>
    <t>Malheur Owyhee</t>
  </si>
  <si>
    <t>Bruneau Salmon Falls</t>
  </si>
  <si>
    <t>Canyon Creek</t>
  </si>
  <si>
    <t>Lower Payette</t>
  </si>
  <si>
    <t>North Fork Payette</t>
  </si>
  <si>
    <t>South Fork Payette</t>
  </si>
  <si>
    <t>Lower Malheur</t>
  </si>
  <si>
    <t>Upper Malheur</t>
  </si>
  <si>
    <t>Lower Owyhee</t>
  </si>
  <si>
    <t>Upper Owyhee</t>
  </si>
  <si>
    <t>Bruneau</t>
  </si>
  <si>
    <t>Salmon Falls/Rock Creek</t>
  </si>
  <si>
    <t>USRT near-term</t>
  </si>
  <si>
    <t>harvest goal**</t>
  </si>
  <si>
    <t>** Upper Snake River Tribes near-term harvest goal identified for outplanting of unlisted hatchery-origin adults.</t>
  </si>
  <si>
    <t>Upstream from Hells Canyon Dam</t>
  </si>
  <si>
    <t>Downstream from Hells Canyon Dam</t>
  </si>
  <si>
    <t>2,000**</t>
  </si>
  <si>
    <t>500-2,000**</t>
  </si>
  <si>
    <t>2,000-3,000**</t>
  </si>
  <si>
    <t>500-1,000**</t>
  </si>
  <si>
    <t>3,000-4,000**</t>
  </si>
  <si>
    <t>1,000**</t>
  </si>
  <si>
    <t>500**</t>
  </si>
  <si>
    <t>9,500-13,500</t>
  </si>
  <si>
    <t>***Until delisting occurs, these numbers represent outplanting of unlisted hatchery-origin adults. Upon delisting, the medium and</t>
  </si>
  <si>
    <t xml:space="preserve">       high range goals represent natural production goals.</t>
  </si>
  <si>
    <r>
      <t>Potential Goal Range</t>
    </r>
    <r>
      <rPr>
        <b/>
        <sz val="11"/>
        <rFont val="Calibri"/>
        <family val="2"/>
        <scheme val="minor"/>
      </rPr>
      <t>***</t>
    </r>
  </si>
  <si>
    <t>pHOS</t>
  </si>
  <si>
    <t>Northwest Fisheries Science Center. 2015. Status review update for Pacific salmon and steelhead</t>
  </si>
  <si>
    <t>listed under the Endangered Species Act: Pacific Northwest.</t>
  </si>
  <si>
    <t>pgm?</t>
  </si>
  <si>
    <t>X</t>
  </si>
  <si>
    <t>ESU_DPS</t>
  </si>
  <si>
    <t>Steelhead (Snake River Basin DPS)</t>
  </si>
  <si>
    <t>BESTVALUE</t>
  </si>
  <si>
    <t>Yes</t>
  </si>
  <si>
    <t>TRTMETHOD</t>
  </si>
  <si>
    <t>Max of PHOSIJ</t>
  </si>
  <si>
    <t>SPAWNINGYEAR</t>
  </si>
  <si>
    <t>POPULATIONNAME</t>
  </si>
  <si>
    <t>Grand Total</t>
  </si>
  <si>
    <t>avg</t>
  </si>
  <si>
    <t>Asotin Creek - summer Steelhead</t>
  </si>
  <si>
    <t>Clearwater River Lower Mainstem - summer Steelhead</t>
  </si>
  <si>
    <t>East Fork Salmon River - summer Steelhead</t>
  </si>
  <si>
    <t>Grande Ronde River Lower Mainstem - summer Steelhead</t>
  </si>
  <si>
    <t>Grande Ronde River Upper Mainstem - summer Steelhead</t>
  </si>
  <si>
    <t>Imnaha River - summer Steelhead</t>
  </si>
  <si>
    <t>Joseph Creek - summer Steelhead</t>
  </si>
  <si>
    <t>Lemhi River - summer Steelhead</t>
  </si>
  <si>
    <t>Little Salmon River - summer Steelhead</t>
  </si>
  <si>
    <t>Lochsa and Selway River summer Steelhead</t>
  </si>
  <si>
    <t>Lochsa River - summer Steelhead</t>
  </si>
  <si>
    <t>Lolo Creek - summer Steelhead</t>
  </si>
  <si>
    <t>Lower and upper Middle Fork Salmon River summer Steelhead</t>
  </si>
  <si>
    <t>Middle Fork Salmon River Lower Mainstem - summer Steelhead</t>
  </si>
  <si>
    <t>North Fork Salmon River - summer Steelhead</t>
  </si>
  <si>
    <t>Pahsimeroi River - summer Steelhead</t>
  </si>
  <si>
    <t>Panther Creek - summer Steelhead</t>
  </si>
  <si>
    <t>Salmon River Upper Mainstem - summer Steelhead</t>
  </si>
  <si>
    <t>Secesh River - summer Steelhead</t>
  </si>
  <si>
    <t>Selway River - summer Steelhead</t>
  </si>
  <si>
    <t>South Fork Clearwater River - summer Steelhead</t>
  </si>
  <si>
    <t>South Fork Clearwater River and Lolo Creek summer Steelhead</t>
  </si>
  <si>
    <t>South Fork Salmon River - summer Steelhead</t>
  </si>
  <si>
    <t>South Fork Salmon River and Secesh River summer Steelhead</t>
  </si>
  <si>
    <t>Tucannon River - summer Steelhead</t>
  </si>
  <si>
    <t>Upper Salmon River Panther Creek to Headwaters summer Steelhead</t>
  </si>
  <si>
    <t>Wallowa River - summer Steelhead</t>
  </si>
  <si>
    <t>From CAS</t>
  </si>
  <si>
    <t>likely</t>
  </si>
  <si>
    <t>ICTRT</t>
  </si>
  <si>
    <t>Mod</t>
  </si>
  <si>
    <t>&gt;10%</t>
  </si>
  <si>
    <t>V low</t>
  </si>
  <si>
    <t>V Low</t>
  </si>
  <si>
    <t>&lt;.25</t>
  </si>
  <si>
    <t>.50-.75</t>
  </si>
  <si>
    <t>.25-.50</t>
  </si>
  <si>
    <t>&gt;.75</t>
  </si>
  <si>
    <t>Run recon (number of years of 3 total)</t>
  </si>
  <si>
    <t>direct</t>
  </si>
  <si>
    <t>est</t>
  </si>
  <si>
    <t>CAS</t>
  </si>
  <si>
    <t>avg of populations</t>
  </si>
  <si>
    <t>Max of NOSAIJ</t>
  </si>
  <si>
    <t>NOS</t>
  </si>
  <si>
    <t>spnrs</t>
  </si>
  <si>
    <t>weighted avg of pops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</si>
</sst>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"/>
    <numFmt numFmtId="166" formatCode="0.0"/>
    <numFmt numFmtId="167" formatCode="#,##0.0"/>
  </numFmts>
  <fonts count="4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i/>
      <vertAlign val="superscript"/>
      <sz val="12"/>
      <color rgb="FF000000"/>
      <name val="Times New Roman"/>
      <family val="1"/>
    </font>
    <font>
      <i/>
      <sz val="8"/>
      <color rgb="FF000000"/>
      <name val="Times New Roman"/>
      <family val="1"/>
    </font>
    <font>
      <sz val="10"/>
      <color rgb="FF000000"/>
      <name val="Times New Roman"/>
      <family val="1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sz val="9.9"/>
      <name val="Calibri"/>
      <family val="2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i/>
      <vertAlign val="superscript"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theme="1"/>
      <name val="Cambria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8800"/>
        <bgColor indexed="64"/>
      </patternFill>
    </fill>
    <fill>
      <patternFill patternType="solid">
        <fgColor rgb="FFFFE67D"/>
        <bgColor indexed="64"/>
      </patternFill>
    </fill>
    <fill>
      <patternFill patternType="solid">
        <fgColor rgb="FFF2C400"/>
        <bgColor indexed="64"/>
      </patternFill>
    </fill>
    <fill>
      <patternFill patternType="solid">
        <fgColor rgb="FFFFE161"/>
        <bgColor indexed="64"/>
      </patternFill>
    </fill>
    <fill>
      <patternFill patternType="solid">
        <fgColor rgb="FFFF99FF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</borders>
  <cellStyleXfs count="6">
    <xf numFmtId="0" fontId="0" fillId="0" borderId="0"/>
    <xf numFmtId="0" fontId="8" fillId="0" borderId="0"/>
    <xf numFmtId="9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0"/>
    <xf numFmtId="43" fontId="10" fillId="0" borderId="0" applyFont="0" applyFill="0" applyBorder="0" applyAlignment="0" applyProtection="0"/>
  </cellStyleXfs>
  <cellXfs count="505">
    <xf numFmtId="0" fontId="0" fillId="0" borderId="0" xfId="0"/>
    <xf numFmtId="0" fontId="0" fillId="0" borderId="9" xfId="0" applyBorder="1"/>
    <xf numFmtId="0" fontId="2" fillId="5" borderId="1" xfId="0" applyFont="1" applyFill="1" applyBorder="1"/>
    <xf numFmtId="0" fontId="2" fillId="6" borderId="10" xfId="0" applyFont="1" applyFill="1" applyBorder="1"/>
    <xf numFmtId="0" fontId="0" fillId="4" borderId="0" xfId="0" applyFill="1"/>
    <xf numFmtId="0" fontId="3" fillId="4" borderId="0" xfId="0" applyFont="1" applyFill="1"/>
    <xf numFmtId="3" fontId="0" fillId="0" borderId="0" xfId="0" quotePrefix="1" applyNumberFormat="1" applyAlignment="1">
      <alignment horizontal="right"/>
    </xf>
    <xf numFmtId="0" fontId="0" fillId="0" borderId="6" xfId="0" applyBorder="1"/>
    <xf numFmtId="0" fontId="0" fillId="0" borderId="10" xfId="0" applyBorder="1"/>
    <xf numFmtId="0" fontId="0" fillId="0" borderId="0" xfId="0" applyAlignment="1">
      <alignment horizontal="center"/>
    </xf>
    <xf numFmtId="3" fontId="0" fillId="0" borderId="0" xfId="0" applyNumberFormat="1"/>
    <xf numFmtId="3" fontId="0" fillId="0" borderId="5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12" fillId="0" borderId="0" xfId="0" applyNumberFormat="1" applyFont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1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3" fontId="0" fillId="0" borderId="0" xfId="0" quotePrefix="1" applyNumberFormat="1" applyAlignment="1">
      <alignment horizontal="center"/>
    </xf>
    <xf numFmtId="0" fontId="11" fillId="0" borderId="0" xfId="0" applyFont="1"/>
    <xf numFmtId="0" fontId="15" fillId="0" borderId="0" xfId="0" applyFont="1" applyAlignment="1">
      <alignment horizontal="center" vertical="center" wrapText="1"/>
    </xf>
    <xf numFmtId="0" fontId="15" fillId="0" borderId="20" xfId="0" applyFont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horizontal="right" vertical="center" wrapText="1"/>
    </xf>
    <xf numFmtId="3" fontId="15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3" fontId="15" fillId="0" borderId="27" xfId="0" applyNumberFormat="1" applyFont="1" applyBorder="1" applyAlignment="1">
      <alignment horizontal="right" vertical="center" wrapText="1"/>
    </xf>
    <xf numFmtId="3" fontId="15" fillId="0" borderId="0" xfId="0" applyNumberFormat="1" applyFont="1" applyAlignment="1">
      <alignment horizontal="right" vertical="center" wrapText="1"/>
    </xf>
    <xf numFmtId="3" fontId="15" fillId="0" borderId="22" xfId="0" applyNumberFormat="1" applyFont="1" applyBorder="1" applyAlignment="1">
      <alignment horizontal="center" vertical="center" wrapText="1"/>
    </xf>
    <xf numFmtId="3" fontId="15" fillId="0" borderId="25" xfId="0" applyNumberFormat="1" applyFont="1" applyBorder="1" applyAlignment="1">
      <alignment horizontal="right" vertical="center" wrapText="1"/>
    </xf>
    <xf numFmtId="3" fontId="15" fillId="0" borderId="22" xfId="0" applyNumberFormat="1" applyFont="1" applyBorder="1" applyAlignment="1">
      <alignment horizontal="right" vertical="center" wrapText="1"/>
    </xf>
    <xf numFmtId="0" fontId="11" fillId="0" borderId="27" xfId="0" applyFont="1" applyBorder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12" fillId="0" borderId="23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right" vertical="center" wrapText="1"/>
    </xf>
    <xf numFmtId="0" fontId="12" fillId="0" borderId="27" xfId="0" applyFont="1" applyBorder="1" applyAlignment="1">
      <alignment horizontal="right" vertical="center" wrapText="1"/>
    </xf>
    <xf numFmtId="3" fontId="12" fillId="0" borderId="27" xfId="0" applyNumberFormat="1" applyFont="1" applyBorder="1" applyAlignment="1">
      <alignment horizontal="right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right" vertical="center" wrapText="1"/>
    </xf>
    <xf numFmtId="0" fontId="12" fillId="0" borderId="25" xfId="0" applyFont="1" applyBorder="1" applyAlignment="1">
      <alignment horizontal="right" vertical="center" wrapText="1"/>
    </xf>
    <xf numFmtId="3" fontId="12" fillId="0" borderId="22" xfId="0" applyNumberFormat="1" applyFont="1" applyBorder="1" applyAlignment="1">
      <alignment horizontal="right" vertical="center" wrapText="1"/>
    </xf>
    <xf numFmtId="3" fontId="12" fillId="0" borderId="25" xfId="0" applyNumberFormat="1" applyFont="1" applyBorder="1" applyAlignment="1">
      <alignment horizontal="right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10" fontId="0" fillId="0" borderId="0" xfId="0" applyNumberFormat="1"/>
    <xf numFmtId="10" fontId="15" fillId="0" borderId="0" xfId="0" applyNumberFormat="1" applyFont="1" applyAlignment="1">
      <alignment vertical="center" wrapText="1"/>
    </xf>
    <xf numFmtId="10" fontId="15" fillId="0" borderId="27" xfId="0" applyNumberFormat="1" applyFont="1" applyBorder="1" applyAlignment="1">
      <alignment vertical="center" wrapText="1"/>
    </xf>
    <xf numFmtId="9" fontId="15" fillId="0" borderId="0" xfId="0" applyNumberFormat="1" applyFont="1" applyAlignment="1">
      <alignment horizontal="center" vertical="center" wrapText="1"/>
    </xf>
    <xf numFmtId="9" fontId="15" fillId="0" borderId="27" xfId="0" applyNumberFormat="1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10" fontId="15" fillId="0" borderId="22" xfId="0" applyNumberFormat="1" applyFont="1" applyBorder="1" applyAlignment="1">
      <alignment vertical="center" wrapText="1"/>
    </xf>
    <xf numFmtId="10" fontId="15" fillId="0" borderId="25" xfId="0" applyNumberFormat="1" applyFont="1" applyBorder="1" applyAlignment="1">
      <alignment vertical="center" wrapText="1"/>
    </xf>
    <xf numFmtId="9" fontId="15" fillId="0" borderId="22" xfId="0" applyNumberFormat="1" applyFont="1" applyBorder="1" applyAlignment="1">
      <alignment horizontal="center" vertical="center" wrapText="1"/>
    </xf>
    <xf numFmtId="9" fontId="15" fillId="0" borderId="25" xfId="0" applyNumberFormat="1" applyFont="1" applyBorder="1" applyAlignment="1">
      <alignment horizontal="center" vertical="center" wrapText="1"/>
    </xf>
    <xf numFmtId="0" fontId="15" fillId="0" borderId="15" xfId="0" applyFont="1" applyBorder="1" applyAlignment="1">
      <alignment horizontal="right" vertical="center" wrapText="1"/>
    </xf>
    <xf numFmtId="0" fontId="15" fillId="0" borderId="34" xfId="0" applyFont="1" applyBorder="1" applyAlignment="1">
      <alignment horizontal="right" vertical="center" wrapText="1"/>
    </xf>
    <xf numFmtId="0" fontId="15" fillId="0" borderId="35" xfId="0" applyFont="1" applyBorder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9" fontId="15" fillId="0" borderId="16" xfId="0" applyNumberFormat="1" applyFont="1" applyBorder="1" applyAlignment="1">
      <alignment horizontal="right" vertical="center" wrapText="1"/>
    </xf>
    <xf numFmtId="0" fontId="15" fillId="0" borderId="36" xfId="0" applyFont="1" applyBorder="1" applyAlignment="1">
      <alignment horizontal="center" vertical="center" wrapText="1"/>
    </xf>
    <xf numFmtId="10" fontId="15" fillId="0" borderId="14" xfId="0" applyNumberFormat="1" applyFont="1" applyBorder="1" applyAlignment="1">
      <alignment vertical="center" wrapText="1"/>
    </xf>
    <xf numFmtId="10" fontId="15" fillId="0" borderId="37" xfId="0" applyNumberFormat="1" applyFont="1" applyBorder="1" applyAlignment="1">
      <alignment vertical="center" wrapText="1"/>
    </xf>
    <xf numFmtId="0" fontId="11" fillId="0" borderId="14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10" fontId="15" fillId="0" borderId="0" xfId="0" applyNumberFormat="1" applyFont="1" applyAlignment="1">
      <alignment horizontal="right" vertical="center" wrapText="1" indent="2"/>
    </xf>
    <xf numFmtId="0" fontId="15" fillId="0" borderId="20" xfId="0" applyFont="1" applyBorder="1" applyAlignment="1">
      <alignment vertical="center" wrapText="1"/>
    </xf>
    <xf numFmtId="0" fontId="15" fillId="0" borderId="27" xfId="0" applyFont="1" applyBorder="1" applyAlignment="1">
      <alignment horizontal="right" vertical="center" wrapText="1"/>
    </xf>
    <xf numFmtId="3" fontId="15" fillId="0" borderId="27" xfId="0" applyNumberFormat="1" applyFont="1" applyBorder="1" applyAlignment="1">
      <alignment horizontal="center" vertical="center" wrapText="1"/>
    </xf>
    <xf numFmtId="3" fontId="15" fillId="0" borderId="25" xfId="0" applyNumberFormat="1" applyFont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Continuous"/>
    </xf>
    <xf numFmtId="0" fontId="2" fillId="6" borderId="5" xfId="0" applyFont="1" applyFill="1" applyBorder="1" applyAlignment="1">
      <alignment horizontal="centerContinuous"/>
    </xf>
    <xf numFmtId="0" fontId="4" fillId="6" borderId="4" xfId="0" applyFont="1" applyFill="1" applyBorder="1" applyAlignment="1">
      <alignment horizontal="centerContinuous"/>
    </xf>
    <xf numFmtId="0" fontId="2" fillId="6" borderId="9" xfId="0" applyFont="1" applyFill="1" applyBorder="1"/>
    <xf numFmtId="0" fontId="2" fillId="6" borderId="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0" borderId="7" xfId="0" quotePrefix="1" applyBorder="1" applyAlignment="1">
      <alignment horizontal="center"/>
    </xf>
    <xf numFmtId="0" fontId="6" fillId="6" borderId="1" xfId="0" applyFont="1" applyFill="1" applyBorder="1" applyAlignment="1">
      <alignment vertical="center"/>
    </xf>
    <xf numFmtId="164" fontId="6" fillId="6" borderId="12" xfId="2" applyNumberFormat="1" applyFont="1" applyFill="1" applyBorder="1" applyAlignment="1">
      <alignment horizontal="center"/>
    </xf>
    <xf numFmtId="164" fontId="6" fillId="6" borderId="12" xfId="0" applyNumberFormat="1" applyFont="1" applyFill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9" fontId="0" fillId="0" borderId="9" xfId="2" applyFont="1" applyBorder="1" applyAlignment="1">
      <alignment horizontal="center"/>
    </xf>
    <xf numFmtId="0" fontId="0" fillId="0" borderId="5" xfId="0" applyBorder="1"/>
    <xf numFmtId="0" fontId="2" fillId="3" borderId="1" xfId="0" applyFont="1" applyFill="1" applyBorder="1"/>
    <xf numFmtId="0" fontId="0" fillId="3" borderId="2" xfId="0" applyFill="1" applyBorder="1"/>
    <xf numFmtId="0" fontId="4" fillId="8" borderId="5" xfId="0" applyFont="1" applyFill="1" applyBorder="1" applyAlignment="1">
      <alignment horizontal="centerContinuous"/>
    </xf>
    <xf numFmtId="0" fontId="2" fillId="8" borderId="5" xfId="0" applyFont="1" applyFill="1" applyBorder="1" applyAlignment="1">
      <alignment horizontal="centerContinuous"/>
    </xf>
    <xf numFmtId="0" fontId="2" fillId="8" borderId="4" xfId="0" applyFont="1" applyFill="1" applyBorder="1" applyAlignment="1">
      <alignment horizontal="center"/>
    </xf>
    <xf numFmtId="0" fontId="0" fillId="8" borderId="5" xfId="0" applyFill="1" applyBorder="1"/>
    <xf numFmtId="0" fontId="2" fillId="8" borderId="6" xfId="0" applyFont="1" applyFill="1" applyBorder="1"/>
    <xf numFmtId="0" fontId="2" fillId="8" borderId="0" xfId="0" applyFont="1" applyFill="1"/>
    <xf numFmtId="0" fontId="2" fillId="8" borderId="0" xfId="0" applyFont="1" applyFill="1" applyAlignment="1">
      <alignment horizontal="center"/>
    </xf>
    <xf numFmtId="3" fontId="0" fillId="0" borderId="0" xfId="0" applyNumberFormat="1" applyAlignment="1">
      <alignment horizontal="right" vertical="center"/>
    </xf>
    <xf numFmtId="0" fontId="0" fillId="0" borderId="3" xfId="0" applyBorder="1"/>
    <xf numFmtId="0" fontId="0" fillId="0" borderId="5" xfId="0" applyBorder="1" applyAlignment="1">
      <alignment horizontal="center"/>
    </xf>
    <xf numFmtId="3" fontId="0" fillId="0" borderId="5" xfId="0" applyNumberFormat="1" applyBorder="1"/>
    <xf numFmtId="3" fontId="0" fillId="0" borderId="5" xfId="0" applyNumberFormat="1" applyBorder="1" applyAlignment="1">
      <alignment horizontal="right" vertical="center"/>
    </xf>
    <xf numFmtId="0" fontId="0" fillId="0" borderId="9" xfId="0" applyBorder="1" applyAlignment="1">
      <alignment horizontal="center"/>
    </xf>
    <xf numFmtId="3" fontId="0" fillId="0" borderId="9" xfId="0" applyNumberFormat="1" applyBorder="1" applyAlignment="1">
      <alignment horizontal="right"/>
    </xf>
    <xf numFmtId="3" fontId="0" fillId="0" borderId="9" xfId="0" applyNumberFormat="1" applyBorder="1"/>
    <xf numFmtId="3" fontId="0" fillId="0" borderId="0" xfId="0" applyNumberFormat="1" applyAlignment="1">
      <alignment horizontal="right"/>
    </xf>
    <xf numFmtId="0" fontId="2" fillId="4" borderId="3" xfId="0" applyFont="1" applyFill="1" applyBorder="1"/>
    <xf numFmtId="0" fontId="0" fillId="4" borderId="5" xfId="0" applyFill="1" applyBorder="1"/>
    <xf numFmtId="0" fontId="0" fillId="4" borderId="9" xfId="0" applyFill="1" applyBorder="1"/>
    <xf numFmtId="0" fontId="16" fillId="0" borderId="0" xfId="0" applyFont="1"/>
    <xf numFmtId="0" fontId="4" fillId="2" borderId="5" xfId="0" applyFont="1" applyFill="1" applyBorder="1" applyAlignment="1">
      <alignment horizontal="centerContinuous"/>
    </xf>
    <xf numFmtId="0" fontId="0" fillId="2" borderId="5" xfId="0" applyFill="1" applyBorder="1" applyAlignment="1">
      <alignment horizontal="centerContinuous"/>
    </xf>
    <xf numFmtId="3" fontId="0" fillId="0" borderId="7" xfId="0" quotePrefix="1" applyNumberFormat="1" applyBorder="1" applyAlignment="1">
      <alignment horizontal="center"/>
    </xf>
    <xf numFmtId="3" fontId="0" fillId="0" borderId="9" xfId="0" quotePrefix="1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39" xfId="0" applyFont="1" applyBorder="1"/>
    <xf numFmtId="3" fontId="0" fillId="0" borderId="5" xfId="0" quotePrefix="1" applyNumberFormat="1" applyBorder="1" applyAlignment="1">
      <alignment horizontal="center"/>
    </xf>
    <xf numFmtId="3" fontId="0" fillId="0" borderId="12" xfId="0" quotePrefix="1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" fillId="4" borderId="3" xfId="0" quotePrefix="1" applyFont="1" applyFill="1" applyBorder="1" applyAlignment="1">
      <alignment horizontal="left"/>
    </xf>
    <xf numFmtId="0" fontId="0" fillId="4" borderId="6" xfId="0" applyFill="1" applyBorder="1"/>
    <xf numFmtId="0" fontId="0" fillId="4" borderId="10" xfId="0" applyFill="1" applyBorder="1"/>
    <xf numFmtId="0" fontId="17" fillId="4" borderId="0" xfId="0" applyFont="1" applyFill="1"/>
    <xf numFmtId="0" fontId="0" fillId="4" borderId="3" xfId="0" applyFill="1" applyBorder="1"/>
    <xf numFmtId="0" fontId="7" fillId="4" borderId="6" xfId="0" applyFont="1" applyFill="1" applyBorder="1"/>
    <xf numFmtId="0" fontId="7" fillId="4" borderId="10" xfId="0" applyFont="1" applyFill="1" applyBorder="1"/>
    <xf numFmtId="0" fontId="7" fillId="4" borderId="1" xfId="0" applyFont="1" applyFill="1" applyBorder="1"/>
    <xf numFmtId="0" fontId="5" fillId="4" borderId="3" xfId="1" applyFont="1" applyFill="1" applyBorder="1"/>
    <xf numFmtId="0" fontId="5" fillId="4" borderId="6" xfId="1" applyFont="1" applyFill="1" applyBorder="1"/>
    <xf numFmtId="0" fontId="5" fillId="4" borderId="10" xfId="1" applyFont="1" applyFill="1" applyBorder="1"/>
    <xf numFmtId="0" fontId="7" fillId="4" borderId="3" xfId="0" applyFont="1" applyFill="1" applyBorder="1"/>
    <xf numFmtId="3" fontId="2" fillId="0" borderId="5" xfId="0" applyNumberFormat="1" applyFont="1" applyBorder="1" applyAlignment="1">
      <alignment horizontal="center"/>
    </xf>
    <xf numFmtId="0" fontId="6" fillId="8" borderId="10" xfId="0" applyFont="1" applyFill="1" applyBorder="1"/>
    <xf numFmtId="0" fontId="6" fillId="8" borderId="9" xfId="0" applyFont="1" applyFill="1" applyBorder="1"/>
    <xf numFmtId="0" fontId="0" fillId="8" borderId="9" xfId="0" applyFill="1" applyBorder="1" applyAlignment="1">
      <alignment horizontal="center"/>
    </xf>
    <xf numFmtId="3" fontId="6" fillId="8" borderId="9" xfId="0" applyNumberFormat="1" applyFont="1" applyFill="1" applyBorder="1" applyAlignment="1">
      <alignment horizontal="right"/>
    </xf>
    <xf numFmtId="0" fontId="5" fillId="4" borderId="0" xfId="0" applyFont="1" applyFill="1"/>
    <xf numFmtId="3" fontId="5" fillId="4" borderId="0" xfId="0" applyNumberFormat="1" applyFont="1" applyFill="1"/>
    <xf numFmtId="0" fontId="2" fillId="8" borderId="5" xfId="0" applyFont="1" applyFill="1" applyBorder="1" applyAlignment="1">
      <alignment horizontal="center"/>
    </xf>
    <xf numFmtId="3" fontId="6" fillId="8" borderId="11" xfId="0" applyNumberFormat="1" applyFont="1" applyFill="1" applyBorder="1" applyAlignment="1">
      <alignment horizontal="center"/>
    </xf>
    <xf numFmtId="0" fontId="16" fillId="4" borderId="0" xfId="0" applyFont="1" applyFill="1"/>
    <xf numFmtId="0" fontId="2" fillId="8" borderId="7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Continuous"/>
    </xf>
    <xf numFmtId="0" fontId="2" fillId="6" borderId="10" xfId="0" applyFont="1" applyFill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2" fillId="5" borderId="12" xfId="0" applyFont="1" applyFill="1" applyBorder="1"/>
    <xf numFmtId="0" fontId="0" fillId="0" borderId="6" xfId="0" quotePrefix="1" applyBorder="1" applyAlignment="1">
      <alignment horizontal="center"/>
    </xf>
    <xf numFmtId="164" fontId="6" fillId="6" borderId="1" xfId="2" applyNumberFormat="1" applyFont="1" applyFill="1" applyBorder="1" applyAlignment="1">
      <alignment horizontal="center"/>
    </xf>
    <xf numFmtId="3" fontId="0" fillId="4" borderId="0" xfId="0" applyNumberFormat="1" applyFill="1"/>
    <xf numFmtId="9" fontId="0" fillId="0" borderId="0" xfId="2" applyFont="1" applyAlignment="1">
      <alignment horizontal="center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5" fillId="0" borderId="0" xfId="1" applyFont="1"/>
    <xf numFmtId="0" fontId="7" fillId="0" borderId="0" xfId="0" applyFont="1"/>
    <xf numFmtId="3" fontId="0" fillId="0" borderId="3" xfId="0" applyNumberFormat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3" fontId="0" fillId="0" borderId="10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20" fillId="0" borderId="0" xfId="3"/>
    <xf numFmtId="0" fontId="20" fillId="0" borderId="9" xfId="3" applyBorder="1"/>
    <xf numFmtId="0" fontId="0" fillId="0" borderId="0" xfId="0" applyAlignment="1">
      <alignment horizontal="left"/>
    </xf>
    <xf numFmtId="0" fontId="1" fillId="0" borderId="0" xfId="0" applyFont="1"/>
    <xf numFmtId="0" fontId="15" fillId="0" borderId="0" xfId="0" applyFont="1" applyAlignment="1">
      <alignment vertical="center" wrapText="1"/>
    </xf>
    <xf numFmtId="0" fontId="9" fillId="0" borderId="39" xfId="1" applyFont="1" applyBorder="1" applyAlignment="1">
      <alignment horizontal="center" vertical="center"/>
    </xf>
    <xf numFmtId="3" fontId="0" fillId="0" borderId="1" xfId="0" quotePrefix="1" applyNumberFormat="1" applyBorder="1" applyAlignment="1">
      <alignment horizontal="center"/>
    </xf>
    <xf numFmtId="3" fontId="0" fillId="0" borderId="2" xfId="0" quotePrefix="1" applyNumberFormat="1" applyBorder="1" applyAlignment="1">
      <alignment horizontal="center"/>
    </xf>
    <xf numFmtId="0" fontId="23" fillId="0" borderId="41" xfId="4" applyFont="1" applyBorder="1" applyAlignment="1">
      <alignment horizontal="left" wrapText="1"/>
    </xf>
    <xf numFmtId="3" fontId="23" fillId="0" borderId="41" xfId="4" applyNumberFormat="1" applyFont="1" applyBorder="1" applyAlignment="1">
      <alignment horizontal="left" wrapText="1"/>
    </xf>
    <xf numFmtId="0" fontId="23" fillId="8" borderId="41" xfId="4" applyFont="1" applyFill="1" applyBorder="1" applyAlignment="1">
      <alignment horizontal="left" wrapText="1"/>
    </xf>
    <xf numFmtId="3" fontId="23" fillId="8" borderId="41" xfId="4" applyNumberFormat="1" applyFont="1" applyFill="1" applyBorder="1" applyAlignment="1">
      <alignment horizontal="left" wrapText="1"/>
    </xf>
    <xf numFmtId="9" fontId="0" fillId="0" borderId="0" xfId="2" applyFont="1"/>
    <xf numFmtId="9" fontId="0" fillId="8" borderId="0" xfId="2" applyFont="1" applyFill="1"/>
    <xf numFmtId="9" fontId="0" fillId="0" borderId="0" xfId="0" applyNumberFormat="1"/>
    <xf numFmtId="165" fontId="1" fillId="0" borderId="0" xfId="0" applyNumberFormat="1" applyFont="1"/>
    <xf numFmtId="0" fontId="0" fillId="0" borderId="0" xfId="0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/>
    </xf>
    <xf numFmtId="2" fontId="1" fillId="0" borderId="0" xfId="0" applyNumberFormat="1" applyFont="1"/>
    <xf numFmtId="9" fontId="1" fillId="0" borderId="0" xfId="2" applyFont="1"/>
    <xf numFmtId="164" fontId="1" fillId="0" borderId="0" xfId="2" applyNumberFormat="1" applyFont="1"/>
    <xf numFmtId="0" fontId="12" fillId="0" borderId="2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right" vertical="center" wrapText="1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3" fontId="25" fillId="0" borderId="0" xfId="5" applyNumberFormat="1" applyFont="1" applyAlignment="1">
      <alignment horizontal="center" wrapText="1"/>
    </xf>
    <xf numFmtId="0" fontId="0" fillId="0" borderId="9" xfId="0" applyBorder="1" applyAlignment="1">
      <alignment horizontal="centerContinuous"/>
    </xf>
    <xf numFmtId="0" fontId="0" fillId="0" borderId="0" xfId="1" applyFont="1"/>
    <xf numFmtId="3" fontId="28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9" fillId="0" borderId="20" xfId="0" applyFont="1" applyBorder="1" applyAlignment="1">
      <alignment horizontal="right" vertical="center" wrapText="1"/>
    </xf>
    <xf numFmtId="0" fontId="29" fillId="0" borderId="21" xfId="0" applyFont="1" applyBorder="1" applyAlignment="1">
      <alignment horizontal="right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right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right" vertical="center" wrapText="1"/>
    </xf>
    <xf numFmtId="0" fontId="29" fillId="0" borderId="22" xfId="0" applyFont="1" applyBorder="1" applyAlignment="1">
      <alignment horizontal="right" vertical="center" wrapText="1"/>
    </xf>
    <xf numFmtId="0" fontId="29" fillId="0" borderId="27" xfId="0" applyFont="1" applyBorder="1" applyAlignment="1">
      <alignment horizontal="right" vertical="center" wrapText="1"/>
    </xf>
    <xf numFmtId="1" fontId="29" fillId="0" borderId="0" xfId="0" applyNumberFormat="1" applyFont="1" applyAlignment="1">
      <alignment horizontal="center" vertical="center" wrapText="1"/>
    </xf>
    <xf numFmtId="0" fontId="29" fillId="0" borderId="26" xfId="0" applyFont="1" applyBorder="1" applyAlignment="1">
      <alignment vertical="center" wrapText="1"/>
    </xf>
    <xf numFmtId="3" fontId="29" fillId="0" borderId="0" xfId="0" applyNumberFormat="1" applyFont="1" applyAlignment="1">
      <alignment horizontal="center" vertical="center" wrapText="1"/>
    </xf>
    <xf numFmtId="3" fontId="29" fillId="0" borderId="27" xfId="0" applyNumberFormat="1" applyFont="1" applyBorder="1" applyAlignment="1">
      <alignment horizontal="right" vertical="center" wrapText="1"/>
    </xf>
    <xf numFmtId="3" fontId="29" fillId="0" borderId="0" xfId="0" applyNumberFormat="1" applyFont="1" applyAlignment="1">
      <alignment horizontal="right" vertical="center" wrapText="1"/>
    </xf>
    <xf numFmtId="3" fontId="29" fillId="8" borderId="0" xfId="0" applyNumberFormat="1" applyFont="1" applyFill="1" applyAlignment="1">
      <alignment horizontal="center" vertical="center" wrapText="1"/>
    </xf>
    <xf numFmtId="3" fontId="29" fillId="8" borderId="27" xfId="0" applyNumberFormat="1" applyFont="1" applyFill="1" applyBorder="1" applyAlignment="1">
      <alignment horizontal="right" vertical="center" wrapText="1"/>
    </xf>
    <xf numFmtId="3" fontId="29" fillId="8" borderId="0" xfId="0" applyNumberFormat="1" applyFont="1" applyFill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0" fontId="31" fillId="0" borderId="0" xfId="0" applyFont="1" applyAlignment="1">
      <alignment horizontal="justify" vertical="center"/>
    </xf>
    <xf numFmtId="0" fontId="32" fillId="0" borderId="0" xfId="0" applyFont="1"/>
    <xf numFmtId="0" fontId="33" fillId="0" borderId="0" xfId="0" applyFont="1"/>
    <xf numFmtId="0" fontId="29" fillId="0" borderId="0" xfId="0" applyFont="1" applyAlignment="1">
      <alignment horizontal="left" vertical="center" indent="1"/>
    </xf>
    <xf numFmtId="0" fontId="33" fillId="0" borderId="0" xfId="0" applyFont="1" applyAlignment="1">
      <alignment horizontal="center"/>
    </xf>
    <xf numFmtId="0" fontId="29" fillId="0" borderId="22" xfId="0" applyFont="1" applyBorder="1" applyAlignment="1">
      <alignment vertical="center" wrapText="1"/>
    </xf>
    <xf numFmtId="0" fontId="29" fillId="0" borderId="27" xfId="0" applyFont="1" applyBorder="1" applyAlignment="1">
      <alignment vertical="center" wrapText="1"/>
    </xf>
    <xf numFmtId="0" fontId="29" fillId="0" borderId="19" xfId="0" applyFont="1" applyBorder="1" applyAlignment="1">
      <alignment vertical="center" wrapText="1"/>
    </xf>
    <xf numFmtId="1" fontId="33" fillId="0" borderId="0" xfId="0" applyNumberFormat="1" applyFont="1" applyAlignment="1">
      <alignment horizontal="center"/>
    </xf>
    <xf numFmtId="3" fontId="29" fillId="0" borderId="0" xfId="0" applyNumberFormat="1" applyFont="1" applyAlignment="1">
      <alignment vertical="center" wrapText="1"/>
    </xf>
    <xf numFmtId="0" fontId="29" fillId="8" borderId="0" xfId="0" applyFont="1" applyFill="1" applyAlignment="1">
      <alignment vertical="center" wrapText="1"/>
    </xf>
    <xf numFmtId="3" fontId="29" fillId="8" borderId="0" xfId="0" applyNumberFormat="1" applyFont="1" applyFill="1" applyAlignment="1">
      <alignment vertical="center" wrapText="1"/>
    </xf>
    <xf numFmtId="3" fontId="33" fillId="8" borderId="0" xfId="0" applyNumberFormat="1" applyFont="1" applyFill="1"/>
    <xf numFmtId="3" fontId="33" fillId="0" borderId="0" xfId="0" applyNumberFormat="1" applyFont="1"/>
    <xf numFmtId="3" fontId="33" fillId="8" borderId="0" xfId="0" applyNumberFormat="1" applyFont="1" applyFill="1" applyAlignment="1">
      <alignment horizontal="right" vertical="center" wrapText="1"/>
    </xf>
    <xf numFmtId="3" fontId="33" fillId="8" borderId="0" xfId="0" applyNumberFormat="1" applyFont="1" applyFill="1" applyAlignment="1">
      <alignment vertical="top" wrapText="1"/>
    </xf>
    <xf numFmtId="3" fontId="33" fillId="8" borderId="0" xfId="0" applyNumberFormat="1" applyFont="1" applyFill="1" applyAlignment="1">
      <alignment horizontal="center" vertical="center" wrapText="1"/>
    </xf>
    <xf numFmtId="0" fontId="33" fillId="8" borderId="0" xfId="0" applyFont="1" applyFill="1" applyAlignment="1">
      <alignment vertical="center" wrapText="1"/>
    </xf>
    <xf numFmtId="0" fontId="33" fillId="0" borderId="0" xfId="0" applyFont="1" applyAlignment="1">
      <alignment horizontal="right"/>
    </xf>
    <xf numFmtId="3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3" fontId="33" fillId="0" borderId="0" xfId="0" applyNumberFormat="1" applyFont="1" applyAlignment="1">
      <alignment horizontal="right" vertical="center" wrapText="1"/>
    </xf>
    <xf numFmtId="3" fontId="33" fillId="0" borderId="0" xfId="0" applyNumberFormat="1" applyFont="1" applyAlignment="1">
      <alignment vertical="top" wrapText="1"/>
    </xf>
    <xf numFmtId="3" fontId="35" fillId="0" borderId="0" xfId="0" applyNumberFormat="1" applyFont="1" applyAlignment="1">
      <alignment horizontal="center"/>
    </xf>
    <xf numFmtId="3" fontId="33" fillId="0" borderId="39" xfId="0" applyNumberFormat="1" applyFont="1" applyBorder="1"/>
    <xf numFmtId="3" fontId="33" fillId="0" borderId="0" xfId="0" applyNumberFormat="1" applyFont="1" applyAlignment="1">
      <alignment horizontal="center" vertical="center" wrapText="1"/>
    </xf>
    <xf numFmtId="1" fontId="33" fillId="0" borderId="0" xfId="0" applyNumberFormat="1" applyFont="1" applyAlignment="1">
      <alignment vertical="top" wrapText="1"/>
    </xf>
    <xf numFmtId="3" fontId="2" fillId="0" borderId="3" xfId="0" applyNumberFormat="1" applyFont="1" applyBorder="1" applyAlignment="1">
      <alignment horizontal="center"/>
    </xf>
    <xf numFmtId="9" fontId="0" fillId="0" borderId="10" xfId="2" applyFont="1" applyBorder="1" applyAlignment="1">
      <alignment horizontal="center"/>
    </xf>
    <xf numFmtId="3" fontId="6" fillId="6" borderId="1" xfId="0" applyNumberFormat="1" applyFont="1" applyFill="1" applyBorder="1" applyAlignment="1">
      <alignment horizontal="center"/>
    </xf>
    <xf numFmtId="9" fontId="6" fillId="6" borderId="1" xfId="0" applyNumberFormat="1" applyFont="1" applyFill="1" applyBorder="1" applyAlignment="1">
      <alignment horizontal="center"/>
    </xf>
    <xf numFmtId="9" fontId="6" fillId="6" borderId="12" xfId="0" applyNumberFormat="1" applyFont="1" applyFill="1" applyBorder="1" applyAlignment="1">
      <alignment horizontal="center"/>
    </xf>
    <xf numFmtId="9" fontId="0" fillId="0" borderId="6" xfId="2" applyFont="1" applyBorder="1" applyAlignment="1">
      <alignment horizontal="center"/>
    </xf>
    <xf numFmtId="2" fontId="0" fillId="0" borderId="0" xfId="0" applyNumberFormat="1"/>
    <xf numFmtId="3" fontId="0" fillId="0" borderId="39" xfId="0" applyNumberFormat="1" applyBorder="1"/>
    <xf numFmtId="3" fontId="0" fillId="10" borderId="0" xfId="0" applyNumberFormat="1" applyFill="1"/>
    <xf numFmtId="9" fontId="0" fillId="0" borderId="0" xfId="2" applyFont="1" applyAlignment="1">
      <alignment horizontal="right"/>
    </xf>
    <xf numFmtId="165" fontId="0" fillId="0" borderId="0" xfId="0" applyNumberFormat="1"/>
    <xf numFmtId="165" fontId="0" fillId="10" borderId="0" xfId="0" applyNumberFormat="1" applyFill="1"/>
    <xf numFmtId="0" fontId="0" fillId="0" borderId="0" xfId="0" quotePrefix="1"/>
    <xf numFmtId="3" fontId="0" fillId="8" borderId="39" xfId="0" applyNumberFormat="1" applyFill="1" applyBorder="1"/>
    <xf numFmtId="164" fontId="0" fillId="0" borderId="0" xfId="2" applyNumberFormat="1" applyFont="1"/>
    <xf numFmtId="3" fontId="0" fillId="4" borderId="42" xfId="0" applyNumberFormat="1" applyFill="1" applyBorder="1"/>
    <xf numFmtId="3" fontId="0" fillId="4" borderId="40" xfId="0" applyNumberFormat="1" applyFill="1" applyBorder="1"/>
    <xf numFmtId="0" fontId="0" fillId="4" borderId="40" xfId="0" applyFill="1" applyBorder="1"/>
    <xf numFmtId="0" fontId="0" fillId="0" borderId="39" xfId="0" applyBorder="1"/>
    <xf numFmtId="1" fontId="0" fillId="0" borderId="0" xfId="0" applyNumberFormat="1"/>
    <xf numFmtId="164" fontId="0" fillId="0" borderId="0" xfId="2" applyNumberFormat="1" applyFont="1" applyAlignment="1">
      <alignment horizontal="right"/>
    </xf>
    <xf numFmtId="164" fontId="10" fillId="0" borderId="0" xfId="2" applyNumberFormat="1"/>
    <xf numFmtId="164" fontId="10" fillId="0" borderId="0" xfId="2" applyNumberFormat="1" applyAlignment="1">
      <alignment horizontal="right"/>
    </xf>
    <xf numFmtId="2" fontId="0" fillId="7" borderId="0" xfId="0" applyNumberFormat="1" applyFill="1"/>
    <xf numFmtId="166" fontId="10" fillId="8" borderId="0" xfId="2" applyNumberFormat="1" applyFill="1"/>
    <xf numFmtId="166" fontId="0" fillId="8" borderId="0" xfId="2" applyNumberFormat="1" applyFont="1" applyFill="1"/>
    <xf numFmtId="164" fontId="0" fillId="6" borderId="0" xfId="2" applyNumberFormat="1" applyFont="1" applyFill="1"/>
    <xf numFmtId="0" fontId="0" fillId="8" borderId="0" xfId="0" applyFill="1"/>
    <xf numFmtId="165" fontId="0" fillId="7" borderId="0" xfId="0" applyNumberFormat="1" applyFill="1"/>
    <xf numFmtId="3" fontId="6" fillId="6" borderId="2" xfId="0" applyNumberFormat="1" applyFont="1" applyFill="1" applyBorder="1" applyAlignment="1">
      <alignment horizontal="center"/>
    </xf>
    <xf numFmtId="0" fontId="2" fillId="4" borderId="3" xfId="0" quotePrefix="1" applyFont="1" applyFill="1" applyBorder="1"/>
    <xf numFmtId="3" fontId="2" fillId="0" borderId="43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36" fillId="0" borderId="0" xfId="0" applyFont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6" xfId="0" quotePrefix="1" applyNumberFormat="1" applyBorder="1" applyAlignment="1">
      <alignment horizontal="center"/>
    </xf>
    <xf numFmtId="164" fontId="0" fillId="0" borderId="6" xfId="2" applyNumberFormat="1" applyFont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3" fontId="0" fillId="0" borderId="10" xfId="0" quotePrefix="1" applyNumberFormat="1" applyBorder="1" applyAlignment="1">
      <alignment horizontal="center"/>
    </xf>
    <xf numFmtId="3" fontId="2" fillId="0" borderId="6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9" fontId="0" fillId="0" borderId="44" xfId="2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37" fillId="12" borderId="0" xfId="0" applyFont="1" applyFill="1" applyAlignment="1">
      <alignment vertical="center"/>
    </xf>
    <xf numFmtId="0" fontId="38" fillId="12" borderId="0" xfId="0" applyFont="1" applyFill="1" applyAlignment="1">
      <alignment vertical="center"/>
    </xf>
    <xf numFmtId="0" fontId="37" fillId="12" borderId="0" xfId="0" applyFont="1" applyFill="1" applyAlignment="1">
      <alignment horizontal="left" vertical="center"/>
    </xf>
    <xf numFmtId="0" fontId="37" fillId="12" borderId="0" xfId="0" applyFont="1" applyFill="1" applyAlignment="1">
      <alignment horizontal="right" vertical="center"/>
    </xf>
    <xf numFmtId="0" fontId="38" fillId="12" borderId="0" xfId="0" applyFont="1" applyFill="1"/>
    <xf numFmtId="0" fontId="3" fillId="12" borderId="0" xfId="0" applyFont="1" applyFill="1"/>
    <xf numFmtId="0" fontId="4" fillId="13" borderId="5" xfId="0" applyFont="1" applyFill="1" applyBorder="1" applyAlignment="1">
      <alignment horizontal="centerContinuous"/>
    </xf>
    <xf numFmtId="0" fontId="0" fillId="13" borderId="5" xfId="0" applyFill="1" applyBorder="1" applyAlignment="1">
      <alignment horizontal="centerContinuous"/>
    </xf>
    <xf numFmtId="0" fontId="2" fillId="13" borderId="5" xfId="0" applyFont="1" applyFill="1" applyBorder="1" applyAlignment="1">
      <alignment horizontal="centerContinuous"/>
    </xf>
    <xf numFmtId="0" fontId="2" fillId="13" borderId="4" xfId="0" applyFont="1" applyFill="1" applyBorder="1" applyAlignment="1">
      <alignment horizontal="centerContinuous"/>
    </xf>
    <xf numFmtId="0" fontId="2" fillId="13" borderId="0" xfId="0" applyFont="1" applyFill="1" applyAlignment="1">
      <alignment horizontal="center" vertical="center"/>
    </xf>
    <xf numFmtId="0" fontId="2" fillId="13" borderId="9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Continuous"/>
    </xf>
    <xf numFmtId="0" fontId="2" fillId="2" borderId="12" xfId="0" quotePrefix="1" applyFont="1" applyFill="1" applyBorder="1" applyAlignment="1">
      <alignment horizontal="centerContinuous"/>
    </xf>
    <xf numFmtId="0" fontId="2" fillId="2" borderId="12" xfId="0" applyFont="1" applyFill="1" applyBorder="1" applyAlignment="1">
      <alignment horizontal="centerContinuous"/>
    </xf>
    <xf numFmtId="0" fontId="2" fillId="2" borderId="2" xfId="0" applyFont="1" applyFill="1" applyBorder="1" applyAlignment="1">
      <alignment horizontal="centerContinuous"/>
    </xf>
    <xf numFmtId="0" fontId="2" fillId="2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39" fillId="4" borderId="0" xfId="0" applyFont="1" applyFill="1"/>
    <xf numFmtId="0" fontId="40" fillId="4" borderId="1" xfId="0" applyFont="1" applyFill="1" applyBorder="1" applyAlignment="1">
      <alignment horizontal="center"/>
    </xf>
    <xf numFmtId="167" fontId="40" fillId="4" borderId="12" xfId="0" applyNumberFormat="1" applyFont="1" applyFill="1" applyBorder="1" applyAlignment="1">
      <alignment horizontal="center"/>
    </xf>
    <xf numFmtId="0" fontId="40" fillId="4" borderId="2" xfId="0" applyFont="1" applyFill="1" applyBorder="1"/>
    <xf numFmtId="0" fontId="16" fillId="0" borderId="12" xfId="0" applyFont="1" applyBorder="1"/>
    <xf numFmtId="164" fontId="40" fillId="4" borderId="12" xfId="0" applyNumberFormat="1" applyFont="1" applyFill="1" applyBorder="1" applyAlignment="1">
      <alignment horizontal="center"/>
    </xf>
    <xf numFmtId="0" fontId="38" fillId="4" borderId="12" xfId="0" applyFont="1" applyFill="1" applyBorder="1"/>
    <xf numFmtId="164" fontId="40" fillId="4" borderId="12" xfId="0" applyNumberFormat="1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2" fillId="13" borderId="1" xfId="0" applyFont="1" applyFill="1" applyBorder="1"/>
    <xf numFmtId="3" fontId="2" fillId="13" borderId="12" xfId="0" applyNumberFormat="1" applyFont="1" applyFill="1" applyBorder="1" applyAlignment="1">
      <alignment horizontal="center"/>
    </xf>
    <xf numFmtId="3" fontId="2" fillId="13" borderId="2" xfId="0" applyNumberFormat="1" applyFont="1" applyFill="1" applyBorder="1" applyAlignment="1">
      <alignment horizontal="center"/>
    </xf>
    <xf numFmtId="0" fontId="3" fillId="0" borderId="0" xfId="0" applyFont="1" applyFill="1"/>
    <xf numFmtId="0" fontId="0" fillId="0" borderId="0" xfId="0" applyFill="1"/>
    <xf numFmtId="3" fontId="2" fillId="13" borderId="10" xfId="0" applyNumberFormat="1" applyFont="1" applyFill="1" applyBorder="1" applyAlignment="1">
      <alignment horizontal="center"/>
    </xf>
    <xf numFmtId="3" fontId="2" fillId="13" borderId="9" xfId="0" applyNumberFormat="1" applyFont="1" applyFill="1" applyBorder="1" applyAlignment="1">
      <alignment horizontal="center"/>
    </xf>
    <xf numFmtId="3" fontId="2" fillId="13" borderId="11" xfId="0" applyNumberFormat="1" applyFont="1" applyFill="1" applyBorder="1" applyAlignment="1">
      <alignment horizontal="center"/>
    </xf>
    <xf numFmtId="0" fontId="2" fillId="14" borderId="1" xfId="0" applyFont="1" applyFill="1" applyBorder="1"/>
    <xf numFmtId="0" fontId="0" fillId="14" borderId="2" xfId="0" applyFill="1" applyBorder="1"/>
    <xf numFmtId="0" fontId="4" fillId="15" borderId="3" xfId="0" applyFont="1" applyFill="1" applyBorder="1" applyAlignment="1">
      <alignment horizontal="centerContinuous"/>
    </xf>
    <xf numFmtId="0" fontId="0" fillId="15" borderId="5" xfId="0" applyFill="1" applyBorder="1" applyAlignment="1">
      <alignment horizontal="centerContinuous"/>
    </xf>
    <xf numFmtId="0" fontId="2" fillId="15" borderId="5" xfId="0" applyFont="1" applyFill="1" applyBorder="1" applyAlignment="1">
      <alignment horizontal="centerContinuous"/>
    </xf>
    <xf numFmtId="0" fontId="41" fillId="15" borderId="5" xfId="0" applyFont="1" applyFill="1" applyBorder="1" applyAlignment="1">
      <alignment horizontal="centerContinuous"/>
    </xf>
    <xf numFmtId="0" fontId="9" fillId="15" borderId="5" xfId="0" applyFont="1" applyFill="1" applyBorder="1" applyAlignment="1">
      <alignment horizontal="centerContinuous"/>
    </xf>
    <xf numFmtId="0" fontId="9" fillId="15" borderId="4" xfId="0" applyFont="1" applyFill="1" applyBorder="1" applyAlignment="1">
      <alignment horizontal="centerContinuous"/>
    </xf>
    <xf numFmtId="0" fontId="2" fillId="15" borderId="1" xfId="0" applyFont="1" applyFill="1" applyBorder="1" applyAlignment="1">
      <alignment horizontal="center" vertical="center"/>
    </xf>
    <xf numFmtId="0" fontId="2" fillId="15" borderId="12" xfId="0" applyFont="1" applyFill="1" applyBorder="1" applyAlignment="1">
      <alignment horizontal="center" vertical="center"/>
    </xf>
    <xf numFmtId="0" fontId="9" fillId="15" borderId="9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/>
    </xf>
    <xf numFmtId="0" fontId="0" fillId="15" borderId="12" xfId="0" applyFill="1" applyBorder="1" applyAlignment="1">
      <alignment horizontal="centerContinuous"/>
    </xf>
    <xf numFmtId="3" fontId="0" fillId="0" borderId="5" xfId="0" quotePrefix="1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3" fontId="0" fillId="0" borderId="4" xfId="0" applyNumberFormat="1" applyFont="1" applyBorder="1" applyAlignment="1">
      <alignment horizontal="center"/>
    </xf>
    <xf numFmtId="3" fontId="0" fillId="0" borderId="0" xfId="0" quotePrefix="1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0" fillId="0" borderId="7" xfId="0" applyNumberFormat="1" applyFont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2" fillId="15" borderId="0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10" xfId="0" applyFont="1" applyFill="1" applyBorder="1"/>
    <xf numFmtId="0" fontId="2" fillId="13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2" fillId="13" borderId="11" xfId="0" applyFon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4" xfId="0" applyFill="1" applyBorder="1" applyAlignment="1">
      <alignment horizontal="right"/>
    </xf>
    <xf numFmtId="0" fontId="0" fillId="0" borderId="4" xfId="0" quotePrefix="1" applyFill="1" applyBorder="1" applyAlignment="1">
      <alignment horizontal="right"/>
    </xf>
    <xf numFmtId="0" fontId="0" fillId="0" borderId="7" xfId="0" quotePrefix="1" applyFill="1" applyBorder="1" applyAlignment="1">
      <alignment horizontal="right"/>
    </xf>
    <xf numFmtId="0" fontId="0" fillId="0" borderId="11" xfId="0" quotePrefix="1" applyFill="1" applyBorder="1" applyAlignment="1">
      <alignment horizontal="right"/>
    </xf>
    <xf numFmtId="0" fontId="2" fillId="13" borderId="12" xfId="0" applyFont="1" applyFill="1" applyBorder="1"/>
    <xf numFmtId="0" fontId="0" fillId="13" borderId="2" xfId="0" applyFill="1" applyBorder="1"/>
    <xf numFmtId="3" fontId="2" fillId="13" borderId="1" xfId="0" applyNumberFormat="1" applyFont="1" applyFill="1" applyBorder="1"/>
    <xf numFmtId="3" fontId="2" fillId="13" borderId="12" xfId="0" applyNumberFormat="1" applyFont="1" applyFill="1" applyBorder="1"/>
    <xf numFmtId="3" fontId="2" fillId="13" borderId="2" xfId="0" quotePrefix="1" applyNumberFormat="1" applyFont="1" applyFill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9" fontId="0" fillId="0" borderId="11" xfId="2" applyFont="1" applyBorder="1" applyAlignment="1">
      <alignment horizontal="center"/>
    </xf>
    <xf numFmtId="9" fontId="0" fillId="0" borderId="7" xfId="2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4" borderId="8" xfId="0" applyFill="1" applyBorder="1"/>
    <xf numFmtId="0" fontId="5" fillId="4" borderId="42" xfId="1" applyFont="1" applyFill="1" applyBorder="1"/>
    <xf numFmtId="0" fontId="5" fillId="4" borderId="8" xfId="1" applyFont="1" applyFill="1" applyBorder="1"/>
    <xf numFmtId="0" fontId="5" fillId="4" borderId="40" xfId="1" applyFont="1" applyFill="1" applyBorder="1"/>
    <xf numFmtId="0" fontId="0" fillId="4" borderId="42" xfId="0" applyFill="1" applyBorder="1"/>
    <xf numFmtId="0" fontId="7" fillId="4" borderId="8" xfId="0" applyFont="1" applyFill="1" applyBorder="1"/>
    <xf numFmtId="0" fontId="7" fillId="4" borderId="40" xfId="0" applyFont="1" applyFill="1" applyBorder="1"/>
    <xf numFmtId="0" fontId="7" fillId="4" borderId="39" xfId="0" applyFont="1" applyFill="1" applyBorder="1"/>
    <xf numFmtId="0" fontId="7" fillId="4" borderId="42" xfId="0" applyFont="1" applyFill="1" applyBorder="1"/>
    <xf numFmtId="0" fontId="0" fillId="0" borderId="0" xfId="0" applyBorder="1" applyAlignment="1">
      <alignment horizontal="centerContinuous"/>
    </xf>
    <xf numFmtId="0" fontId="24" fillId="0" borderId="0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2" fillId="0" borderId="0" xfId="0" applyFont="1" applyFill="1" applyAlignment="1">
      <alignment horizontal="center" wrapText="1"/>
    </xf>
    <xf numFmtId="0" fontId="42" fillId="0" borderId="0" xfId="0" applyFont="1" applyAlignment="1">
      <alignment vertical="center"/>
    </xf>
    <xf numFmtId="9" fontId="28" fillId="0" borderId="0" xfId="2" applyFont="1" applyAlignment="1">
      <alignment horizontal="center"/>
    </xf>
    <xf numFmtId="0" fontId="40" fillId="0" borderId="42" xfId="0" applyFont="1" applyFill="1" applyBorder="1" applyAlignment="1">
      <alignment horizontal="center" vertical="center" textRotation="90"/>
    </xf>
    <xf numFmtId="0" fontId="40" fillId="0" borderId="8" xfId="0" applyFont="1" applyFill="1" applyBorder="1" applyAlignment="1">
      <alignment horizontal="center" vertical="center" textRotation="90"/>
    </xf>
    <xf numFmtId="0" fontId="40" fillId="0" borderId="40" xfId="0" applyFont="1" applyFill="1" applyBorder="1" applyAlignment="1">
      <alignment horizontal="center" vertical="center" textRotation="90"/>
    </xf>
    <xf numFmtId="0" fontId="40" fillId="0" borderId="8" xfId="0" applyFont="1" applyBorder="1" applyAlignment="1">
      <alignment horizontal="center" vertical="center" textRotation="90"/>
    </xf>
    <xf numFmtId="0" fontId="40" fillId="0" borderId="40" xfId="0" applyFont="1" applyBorder="1" applyAlignment="1">
      <alignment horizontal="center" vertical="center" textRotation="90"/>
    </xf>
    <xf numFmtId="0" fontId="0" fillId="0" borderId="7" xfId="0" applyFill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0" fontId="9" fillId="0" borderId="3" xfId="1" applyFont="1" applyBorder="1" applyAlignment="1">
      <alignment horizontal="center" vertical="center" textRotation="90" wrapText="1"/>
    </xf>
    <xf numFmtId="0" fontId="9" fillId="0" borderId="6" xfId="1" applyFont="1" applyBorder="1" applyAlignment="1">
      <alignment horizontal="center" vertical="center" textRotation="90" wrapText="1"/>
    </xf>
    <xf numFmtId="0" fontId="9" fillId="0" borderId="10" xfId="1" applyFont="1" applyBorder="1" applyAlignment="1">
      <alignment horizontal="center" vertical="center" textRotation="90" wrapText="1"/>
    </xf>
    <xf numFmtId="0" fontId="9" fillId="0" borderId="42" xfId="1" applyFont="1" applyBorder="1" applyAlignment="1">
      <alignment horizontal="center" vertical="center" textRotation="90" wrapText="1"/>
    </xf>
    <xf numFmtId="0" fontId="9" fillId="0" borderId="8" xfId="1" applyFont="1" applyBorder="1" applyAlignment="1">
      <alignment horizontal="center" vertical="center" textRotation="90" wrapText="1"/>
    </xf>
    <xf numFmtId="0" fontId="9" fillId="0" borderId="40" xfId="1" applyFont="1" applyBorder="1" applyAlignment="1">
      <alignment horizontal="center" vertical="center" textRotation="90" wrapText="1"/>
    </xf>
    <xf numFmtId="0" fontId="2" fillId="10" borderId="3" xfId="0" applyFont="1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horizontal="center" vertical="center" textRotation="90" wrapText="1"/>
    </xf>
    <xf numFmtId="0" fontId="2" fillId="0" borderId="40" xfId="0" applyFont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0" fontId="2" fillId="0" borderId="39" xfId="0" applyFont="1" applyBorder="1" applyAlignment="1">
      <alignment horizontal="center" vertical="center" textRotation="90"/>
    </xf>
    <xf numFmtId="0" fontId="2" fillId="0" borderId="39" xfId="0" applyFont="1" applyBorder="1" applyAlignment="1">
      <alignment horizontal="center" vertical="center" textRotation="90" wrapText="1"/>
    </xf>
    <xf numFmtId="0" fontId="9" fillId="0" borderId="39" xfId="1" applyFont="1" applyBorder="1" applyAlignment="1">
      <alignment horizontal="center" vertical="center" textRotation="90"/>
    </xf>
    <xf numFmtId="0" fontId="2" fillId="0" borderId="8" xfId="0" applyFont="1" applyBorder="1" applyAlignment="1">
      <alignment horizontal="center" vertical="center" textRotation="90"/>
    </xf>
    <xf numFmtId="3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10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quotePrefix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/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left" vertical="center" wrapText="1" indent="1"/>
    </xf>
    <xf numFmtId="0" fontId="15" fillId="0" borderId="29" xfId="0" applyFont="1" applyBorder="1" applyAlignment="1">
      <alignment horizontal="left" vertical="center" wrapText="1" indent="1"/>
    </xf>
    <xf numFmtId="0" fontId="15" fillId="0" borderId="21" xfId="0" applyFont="1" applyBorder="1" applyAlignment="1">
      <alignment horizontal="left" vertical="center" wrapText="1" indent="1"/>
    </xf>
    <xf numFmtId="0" fontId="15" fillId="0" borderId="22" xfId="0" applyFont="1" applyBorder="1" applyAlignment="1">
      <alignment horizontal="left" vertical="center" wrapText="1" indent="1"/>
    </xf>
    <xf numFmtId="0" fontId="15" fillId="0" borderId="21" xfId="0" applyFont="1" applyBorder="1" applyAlignment="1">
      <alignment vertical="center" wrapText="1"/>
    </xf>
    <xf numFmtId="0" fontId="15" fillId="0" borderId="22" xfId="0" applyFont="1" applyBorder="1" applyAlignment="1">
      <alignment vertical="center" wrapText="1"/>
    </xf>
    <xf numFmtId="0" fontId="15" fillId="0" borderId="28" xfId="0" applyFont="1" applyBorder="1" applyAlignment="1">
      <alignment horizontal="right" vertical="center" wrapText="1"/>
    </xf>
    <xf numFmtId="0" fontId="15" fillId="0" borderId="29" xfId="0" applyFont="1" applyBorder="1" applyAlignment="1">
      <alignment horizontal="right" vertical="center" wrapText="1"/>
    </xf>
    <xf numFmtId="0" fontId="15" fillId="0" borderId="38" xfId="0" applyFont="1" applyBorder="1" applyAlignment="1">
      <alignment horizontal="left" vertical="center" wrapText="1" indent="1"/>
    </xf>
    <xf numFmtId="0" fontId="15" fillId="0" borderId="31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right" vertical="center" wrapText="1"/>
    </xf>
    <xf numFmtId="0" fontId="15" fillId="0" borderId="13" xfId="0" applyFont="1" applyBorder="1" applyAlignment="1">
      <alignment horizontal="right" vertical="center" wrapText="1"/>
    </xf>
    <xf numFmtId="0" fontId="15" fillId="0" borderId="22" xfId="0" applyFont="1" applyBorder="1" applyAlignment="1">
      <alignment horizontal="right" vertical="center" wrapText="1"/>
    </xf>
    <xf numFmtId="0" fontId="15" fillId="0" borderId="33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right" vertical="center" wrapText="1"/>
    </xf>
    <xf numFmtId="0" fontId="12" fillId="0" borderId="20" xfId="0" applyFont="1" applyBorder="1" applyAlignment="1">
      <alignment horizontal="right" vertical="center" wrapText="1"/>
    </xf>
    <xf numFmtId="0" fontId="12" fillId="0" borderId="20" xfId="0" applyFont="1" applyBorder="1" applyAlignment="1">
      <alignment vertical="center" wrapText="1"/>
    </xf>
    <xf numFmtId="0" fontId="12" fillId="0" borderId="28" xfId="0" applyFont="1" applyBorder="1" applyAlignment="1">
      <alignment horizontal="left" vertical="center" wrapText="1" indent="2"/>
    </xf>
    <xf numFmtId="0" fontId="12" fillId="0" borderId="24" xfId="0" applyFont="1" applyBorder="1" applyAlignment="1">
      <alignment horizontal="left" vertical="center" wrapText="1" indent="2"/>
    </xf>
    <xf numFmtId="0" fontId="12" fillId="0" borderId="29" xfId="0" applyFont="1" applyBorder="1" applyAlignment="1">
      <alignment horizontal="left" vertical="center" wrapText="1" indent="2"/>
    </xf>
    <xf numFmtId="0" fontId="12" fillId="0" borderId="25" xfId="0" applyFont="1" applyBorder="1" applyAlignment="1">
      <alignment horizontal="left" vertical="center" wrapText="1" indent="2"/>
    </xf>
    <xf numFmtId="0" fontId="12" fillId="0" borderId="18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left" vertical="center" wrapText="1" indent="1"/>
    </xf>
    <xf numFmtId="0" fontId="29" fillId="0" borderId="22" xfId="0" applyFont="1" applyBorder="1" applyAlignment="1">
      <alignment horizontal="left" vertical="center" wrapText="1" indent="1"/>
    </xf>
    <xf numFmtId="0" fontId="29" fillId="0" borderId="21" xfId="0" applyFont="1" applyBorder="1" applyAlignment="1">
      <alignment vertical="center" wrapText="1"/>
    </xf>
    <xf numFmtId="0" fontId="29" fillId="0" borderId="22" xfId="0" applyFont="1" applyBorder="1" applyAlignment="1">
      <alignment vertical="center" wrapText="1"/>
    </xf>
    <xf numFmtId="0" fontId="29" fillId="0" borderId="20" xfId="0" applyFont="1" applyBorder="1" applyAlignment="1">
      <alignment horizontal="right" vertical="center" wrapText="1"/>
    </xf>
    <xf numFmtId="0" fontId="24" fillId="11" borderId="5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9" fontId="0" fillId="8" borderId="39" xfId="0" applyNumberFormat="1" applyFill="1" applyBorder="1" applyAlignment="1">
      <alignment horizontal="center"/>
    </xf>
    <xf numFmtId="9" fontId="0" fillId="8" borderId="0" xfId="2" applyFont="1" applyFill="1" applyAlignment="1">
      <alignment horizontal="center"/>
    </xf>
    <xf numFmtId="164" fontId="0" fillId="0" borderId="0" xfId="0" applyNumberFormat="1"/>
    <xf numFmtId="164" fontId="0" fillId="16" borderId="0" xfId="2" applyNumberFormat="1" applyFont="1" applyFill="1" applyAlignment="1">
      <alignment horizontal="center"/>
    </xf>
    <xf numFmtId="9" fontId="0" fillId="0" borderId="0" xfId="2" applyFont="1" applyFill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0" borderId="0" xfId="2" applyNumberFormat="1" applyFont="1" applyFill="1" applyAlignment="1">
      <alignment horizontal="center"/>
    </xf>
    <xf numFmtId="3" fontId="0" fillId="0" borderId="9" xfId="2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right"/>
    </xf>
  </cellXfs>
  <cellStyles count="6">
    <cellStyle name="Comma" xfId="5" builtinId="3"/>
    <cellStyle name="Hyperlink" xfId="3" builtinId="8"/>
    <cellStyle name="Normal" xfId="0" builtinId="0"/>
    <cellStyle name="Normal 3" xfId="1" xr:uid="{00000000-0005-0000-0000-000001000000}"/>
    <cellStyle name="Normal_Sheet2" xfId="4" xr:uid="{8A94717F-7B12-485D-8FF4-799243E701AF}"/>
    <cellStyle name="Percent" xfId="2" builtinId="5"/>
  </cellStyles>
  <dxfs count="0"/>
  <tableStyles count="0" defaultTableStyle="TableStyleMedium2" defaultPivotStyle="PivotStyleLight16"/>
  <colors>
    <mruColors>
      <color rgb="FFFF99FF"/>
      <color rgb="FFFFE67D"/>
      <color rgb="FFDAB000"/>
      <color rgb="FFA68800"/>
      <color rgb="FF745E00"/>
      <color rgb="FF98B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4838605433032"/>
          <c:y val="5.0925925925925923E-2"/>
          <c:w val="0.87553734830210905"/>
          <c:h val="0.82652338153925797"/>
        </c:manualLayout>
      </c:layout>
      <c:barChart>
        <c:barDir val="col"/>
        <c:grouping val="stacked"/>
        <c:varyColors val="0"/>
        <c:ser>
          <c:idx val="0"/>
          <c:order val="0"/>
          <c:tx>
            <c:v>Wild</c:v>
          </c:tx>
          <c:spPr>
            <a:solidFill>
              <a:srgbClr val="745E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Run!$A$10:$A$65</c:f>
              <c:numCache>
                <c:formatCode>0</c:formatCode>
                <c:ptCount val="56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</c:numCache>
            </c:numRef>
          </c:cat>
          <c:val>
            <c:numRef>
              <c:f>Run!$T$10:$T$65</c:f>
              <c:numCache>
                <c:formatCode>#,##0</c:formatCode>
                <c:ptCount val="56"/>
                <c:pt idx="0">
                  <c:v>108186</c:v>
                </c:pt>
                <c:pt idx="1">
                  <c:v>76788</c:v>
                </c:pt>
                <c:pt idx="2">
                  <c:v>58028</c:v>
                </c:pt>
                <c:pt idx="3">
                  <c:v>62566</c:v>
                </c:pt>
                <c:pt idx="4">
                  <c:v>64987</c:v>
                </c:pt>
                <c:pt idx="5">
                  <c:v>47536</c:v>
                </c:pt>
                <c:pt idx="6">
                  <c:v>82529</c:v>
                </c:pt>
                <c:pt idx="7">
                  <c:v>60584</c:v>
                </c:pt>
                <c:pt idx="8">
                  <c:v>50927</c:v>
                </c:pt>
                <c:pt idx="9">
                  <c:v>50670</c:v>
                </c:pt>
                <c:pt idx="10">
                  <c:v>40523</c:v>
                </c:pt>
                <c:pt idx="11">
                  <c:v>26426</c:v>
                </c:pt>
                <c:pt idx="12">
                  <c:v>10360</c:v>
                </c:pt>
                <c:pt idx="13">
                  <c:v>12662</c:v>
                </c:pt>
                <c:pt idx="14">
                  <c:v>8987</c:v>
                </c:pt>
                <c:pt idx="15">
                  <c:v>22245</c:v>
                </c:pt>
                <c:pt idx="16">
                  <c:v>13184</c:v>
                </c:pt>
                <c:pt idx="17">
                  <c:v>16424</c:v>
                </c:pt>
                <c:pt idx="18">
                  <c:v>21814</c:v>
                </c:pt>
                <c:pt idx="19">
                  <c:v>17932</c:v>
                </c:pt>
                <c:pt idx="20">
                  <c:v>25231</c:v>
                </c:pt>
                <c:pt idx="21">
                  <c:v>18378</c:v>
                </c:pt>
                <c:pt idx="22">
                  <c:v>24497</c:v>
                </c:pt>
                <c:pt idx="23">
                  <c:v>26708</c:v>
                </c:pt>
                <c:pt idx="24">
                  <c:v>22076</c:v>
                </c:pt>
                <c:pt idx="25">
                  <c:v>25511</c:v>
                </c:pt>
                <c:pt idx="26">
                  <c:v>20314</c:v>
                </c:pt>
                <c:pt idx="27">
                  <c:v>24979</c:v>
                </c:pt>
                <c:pt idx="28">
                  <c:v>9289</c:v>
                </c:pt>
                <c:pt idx="29">
                  <c:v>17317</c:v>
                </c:pt>
                <c:pt idx="30">
                  <c:v>19394</c:v>
                </c:pt>
                <c:pt idx="31">
                  <c:v>9122</c:v>
                </c:pt>
                <c:pt idx="32">
                  <c:v>8104</c:v>
                </c:pt>
                <c:pt idx="33">
                  <c:v>8055</c:v>
                </c:pt>
                <c:pt idx="34">
                  <c:v>7625</c:v>
                </c:pt>
                <c:pt idx="35">
                  <c:v>8749</c:v>
                </c:pt>
                <c:pt idx="36">
                  <c:v>9375</c:v>
                </c:pt>
                <c:pt idx="37">
                  <c:v>11098</c:v>
                </c:pt>
                <c:pt idx="38">
                  <c:v>20575</c:v>
                </c:pt>
                <c:pt idx="39">
                  <c:v>40719</c:v>
                </c:pt>
                <c:pt idx="40">
                  <c:v>41931</c:v>
                </c:pt>
                <c:pt idx="41">
                  <c:v>29146</c:v>
                </c:pt>
                <c:pt idx="42">
                  <c:v>23071</c:v>
                </c:pt>
                <c:pt idx="43">
                  <c:v>18130</c:v>
                </c:pt>
                <c:pt idx="44">
                  <c:v>9510</c:v>
                </c:pt>
                <c:pt idx="45">
                  <c:v>14166</c:v>
                </c:pt>
                <c:pt idx="46">
                  <c:v>23875</c:v>
                </c:pt>
                <c:pt idx="47">
                  <c:v>42739</c:v>
                </c:pt>
                <c:pt idx="48">
                  <c:v>44133</c:v>
                </c:pt>
                <c:pt idx="49">
                  <c:v>39438</c:v>
                </c:pt>
                <c:pt idx="50">
                  <c:v>23143</c:v>
                </c:pt>
                <c:pt idx="51">
                  <c:v>25355</c:v>
                </c:pt>
                <c:pt idx="52">
                  <c:v>45789</c:v>
                </c:pt>
                <c:pt idx="53">
                  <c:v>33936</c:v>
                </c:pt>
                <c:pt idx="54">
                  <c:v>15576</c:v>
                </c:pt>
                <c:pt idx="55">
                  <c:v>10540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099-B3C9-E8A209DA97A7}"/>
            </c:ext>
          </c:extLst>
        </c:ser>
        <c:ser>
          <c:idx val="1"/>
          <c:order val="1"/>
          <c:tx>
            <c:v>Hatchery</c:v>
          </c:tx>
          <c:spPr>
            <a:solidFill>
              <a:srgbClr val="DAB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Run!$A$10:$A$65</c:f>
              <c:numCache>
                <c:formatCode>0</c:formatCode>
                <c:ptCount val="56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</c:numCache>
            </c:numRef>
          </c:cat>
          <c:val>
            <c:numRef>
              <c:f>Run!$S$10:$S$65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">
                  <c:v>0</c:v>
                </c:pt>
                <c:pt idx="12" formatCode="#,##0">
                  <c:v>3458</c:v>
                </c:pt>
                <c:pt idx="13" formatCode="#,##0">
                  <c:v>3930</c:v>
                </c:pt>
                <c:pt idx="14" formatCode="#,##0">
                  <c:v>13575</c:v>
                </c:pt>
                <c:pt idx="15" formatCode="#,##0">
                  <c:v>34784</c:v>
                </c:pt>
                <c:pt idx="16" formatCode="#,##0">
                  <c:v>13289</c:v>
                </c:pt>
                <c:pt idx="17" formatCode="#,##0">
                  <c:v>12334</c:v>
                </c:pt>
                <c:pt idx="18" formatCode="#,##0">
                  <c:v>16182</c:v>
                </c:pt>
                <c:pt idx="19" formatCode="#,##0">
                  <c:v>24488</c:v>
                </c:pt>
                <c:pt idx="20" formatCode="#,##0">
                  <c:v>47153</c:v>
                </c:pt>
                <c:pt idx="21" formatCode="#,##0">
                  <c:v>70382</c:v>
                </c:pt>
                <c:pt idx="22" formatCode="#,##0">
                  <c:v>79920</c:v>
                </c:pt>
                <c:pt idx="23" formatCode="#,##0">
                  <c:v>89626</c:v>
                </c:pt>
                <c:pt idx="24" formatCode="#,##0">
                  <c:v>107869</c:v>
                </c:pt>
                <c:pt idx="25" formatCode="#,##0">
                  <c:v>45891</c:v>
                </c:pt>
                <c:pt idx="26" formatCode="#,##0">
                  <c:v>66749</c:v>
                </c:pt>
                <c:pt idx="27" formatCode="#,##0">
                  <c:v>106369</c:v>
                </c:pt>
                <c:pt idx="28" formatCode="#,##0">
                  <c:v>47592</c:v>
                </c:pt>
                <c:pt idx="29" formatCode="#,##0">
                  <c:v>81768</c:v>
                </c:pt>
                <c:pt idx="30" formatCode="#,##0">
                  <c:v>108986</c:v>
                </c:pt>
                <c:pt idx="31" formatCode="#,##0">
                  <c:v>50552</c:v>
                </c:pt>
                <c:pt idx="32" formatCode="#,##0">
                  <c:v>39134</c:v>
                </c:pt>
                <c:pt idx="33" formatCode="#,##0">
                  <c:v>71090</c:v>
                </c:pt>
                <c:pt idx="34" formatCode="#,##0">
                  <c:v>79286</c:v>
                </c:pt>
                <c:pt idx="35" formatCode="#,##0">
                  <c:v>77897</c:v>
                </c:pt>
                <c:pt idx="36" formatCode="#,##0">
                  <c:v>61287</c:v>
                </c:pt>
                <c:pt idx="37" formatCode="#,##0">
                  <c:v>62953</c:v>
                </c:pt>
                <c:pt idx="38" formatCode="#,##0">
                  <c:v>96727</c:v>
                </c:pt>
                <c:pt idx="39" formatCode="#,##0">
                  <c:v>227747</c:v>
                </c:pt>
                <c:pt idx="40" formatCode="#,##0">
                  <c:v>180245</c:v>
                </c:pt>
                <c:pt idx="41" formatCode="#,##0">
                  <c:v>143364</c:v>
                </c:pt>
                <c:pt idx="42" formatCode="#,##0">
                  <c:v>128575</c:v>
                </c:pt>
                <c:pt idx="43" formatCode="#,##0">
                  <c:v>140035</c:v>
                </c:pt>
                <c:pt idx="44" formatCode="#,##0">
                  <c:v>139656</c:v>
                </c:pt>
                <c:pt idx="45" formatCode="#,##0">
                  <c:v>140976</c:v>
                </c:pt>
                <c:pt idx="46" formatCode="#,##0">
                  <c:v>154995</c:v>
                </c:pt>
                <c:pt idx="47" formatCode="#,##0">
                  <c:v>280643</c:v>
                </c:pt>
                <c:pt idx="48" formatCode="#,##0">
                  <c:v>164163</c:v>
                </c:pt>
                <c:pt idx="49" formatCode="#,##0">
                  <c:v>140882</c:v>
                </c:pt>
                <c:pt idx="50" formatCode="#,##0">
                  <c:v>86043</c:v>
                </c:pt>
                <c:pt idx="51" formatCode="#,##0">
                  <c:v>82799</c:v>
                </c:pt>
                <c:pt idx="52" formatCode="#,##0">
                  <c:v>119802</c:v>
                </c:pt>
                <c:pt idx="53" formatCode="#,##0">
                  <c:v>102214</c:v>
                </c:pt>
                <c:pt idx="54" formatCode="#,##0">
                  <c:v>86250</c:v>
                </c:pt>
                <c:pt idx="55" formatCode="#,##0">
                  <c:v>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0-4099-B3C9-E8A209DA9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324507336"/>
        <c:axId val="239251752"/>
      </c:barChart>
      <c:catAx>
        <c:axId val="324507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2517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925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Upermost</a:t>
                </a:r>
                <a:r>
                  <a:rPr lang="en-US" sz="1200" baseline="0"/>
                  <a:t> Snake R Dam Count (adults)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2.2469240272523978E-3"/>
              <c:y val="9.91589618684007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073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937446243238593"/>
          <c:y val="0.11622455549472423"/>
          <c:w val="0.11155961505380456"/>
          <c:h val="0.2021454783961491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91505795069872"/>
          <c:y val="5.8572949946751864E-2"/>
          <c:w val="0.68179850906678874"/>
          <c:h val="0.81790059788852276"/>
        </c:manualLayout>
      </c:layout>
      <c:barChart>
        <c:barDir val="col"/>
        <c:grouping val="stacked"/>
        <c:varyColors val="0"/>
        <c:ser>
          <c:idx val="0"/>
          <c:order val="0"/>
          <c:tx>
            <c:v>CR Treaty</c:v>
          </c:tx>
          <c:spPr>
            <a:solidFill>
              <a:srgbClr val="745E00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45E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FB-4EB0-891B-A9FBC99742FD}"/>
              </c:ext>
            </c:extLst>
          </c:dPt>
          <c:dPt>
            <c:idx val="2"/>
            <c:invertIfNegative val="0"/>
            <c:bubble3D val="0"/>
            <c:spPr>
              <a:solidFill>
                <a:srgbClr val="745E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63-45C5-97F5-370734E521BF}"/>
              </c:ext>
            </c:extLst>
          </c:dPt>
          <c:cat>
            <c:strRef>
              <c:f>Run!$BC$64:$BC$66</c:f>
              <c:strCache>
                <c:ptCount val="3"/>
                <c:pt idx="0">
                  <c:v>A-index</c:v>
                </c:pt>
                <c:pt idx="2">
                  <c:v>B-index</c:v>
                </c:pt>
              </c:strCache>
            </c:strRef>
          </c:cat>
          <c:val>
            <c:numRef>
              <c:f>Run!$BE$64:$BE$66</c:f>
              <c:numCache>
                <c:formatCode>0.00%</c:formatCode>
                <c:ptCount val="3"/>
                <c:pt idx="0">
                  <c:v>6.2700000000000006E-2</c:v>
                </c:pt>
                <c:pt idx="2">
                  <c:v>0.16850000000000001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1-43B6-930C-6C0862935725}"/>
            </c:ext>
          </c:extLst>
        </c:ser>
        <c:ser>
          <c:idx val="1"/>
          <c:order val="1"/>
          <c:tx>
            <c:v>CR Non-Treaty</c:v>
          </c:tx>
          <c:spPr>
            <a:solidFill>
              <a:srgbClr val="A688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Run!$BC$64:$BC$66</c:f>
              <c:strCache>
                <c:ptCount val="3"/>
                <c:pt idx="0">
                  <c:v>A-index</c:v>
                </c:pt>
                <c:pt idx="2">
                  <c:v>B-index</c:v>
                </c:pt>
              </c:strCache>
            </c:strRef>
          </c:cat>
          <c:val>
            <c:numRef>
              <c:f>Run!$BD$64:$BD$66</c:f>
              <c:numCache>
                <c:formatCode>0.00%</c:formatCode>
                <c:ptCount val="3"/>
                <c:pt idx="0">
                  <c:v>1.2E-2</c:v>
                </c:pt>
                <c:pt idx="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1-43B6-930C-6C0862935725}"/>
            </c:ext>
          </c:extLst>
        </c:ser>
        <c:ser>
          <c:idx val="2"/>
          <c:order val="2"/>
          <c:tx>
            <c:v>Terminal</c:v>
          </c:tx>
          <c:spPr>
            <a:solidFill>
              <a:srgbClr val="DAB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Run!$BF$64:$BF$66</c:f>
              <c:numCache>
                <c:formatCode>General</c:formatCode>
                <c:ptCount val="3"/>
                <c:pt idx="0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01-43B6-930C-6C086293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6950000"/>
        <c:axId val="327940880"/>
      </c:barChart>
      <c:catAx>
        <c:axId val="31695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940880"/>
        <c:crosses val="autoZero"/>
        <c:auto val="1"/>
        <c:lblAlgn val="ctr"/>
        <c:lblOffset val="100"/>
        <c:noMultiLvlLbl val="0"/>
      </c:catAx>
      <c:valAx>
        <c:axId val="32794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chemeClr val="tx1"/>
                    </a:solidFill>
                  </a:rPr>
                  <a:t>Fishery impact</a:t>
                </a:r>
                <a:r>
                  <a:rPr lang="en-US" sz="1400" b="1" baseline="0">
                    <a:solidFill>
                      <a:schemeClr val="tx1"/>
                    </a:solidFill>
                  </a:rPr>
                  <a:t> rates</a:t>
                </a:r>
              </a:p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r>
                  <a:rPr lang="en-US" sz="1400" b="1" baseline="0">
                    <a:solidFill>
                      <a:schemeClr val="tx1"/>
                    </a:solidFill>
                  </a:rPr>
                  <a:t>(wild fish)</a:t>
                </a:r>
                <a:endParaRPr lang="en-US" sz="14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0077398472155814E-3"/>
              <c:y val="0.168348385365567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950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122523679105329"/>
          <c:y val="8.6340227671045058E-2"/>
          <c:w val="0.28161533966715002"/>
          <c:h val="0.194124731322164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Current</a:t>
            </a:r>
            <a:r>
              <a:rPr lang="en-US" b="1" baseline="0">
                <a:solidFill>
                  <a:schemeClr val="tx1"/>
                </a:solidFill>
              </a:rPr>
              <a:t> Hatchery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b="1" baseline="0">
                <a:solidFill>
                  <a:schemeClr val="tx1"/>
                </a:solidFill>
              </a:rPr>
              <a:t>Production (Smolts)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7944639534015464"/>
          <c:y val="2.86702064708634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17959131745555"/>
          <c:y val="0.21063791352542843"/>
          <c:w val="0.49894424123703135"/>
          <c:h val="0.69119848882279589"/>
        </c:manualLayout>
      </c:layout>
      <c:pieChart>
        <c:varyColors val="1"/>
        <c:ser>
          <c:idx val="0"/>
          <c:order val="0"/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>
                  <a:shade val="45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D-4CD3-8FB5-823A01A567E2}"/>
              </c:ext>
            </c:extLst>
          </c:dPt>
          <c:dPt>
            <c:idx val="1"/>
            <c:bubble3D val="0"/>
            <c:spPr>
              <a:solidFill>
                <a:schemeClr val="accent4">
                  <a:shade val="61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7B3-4BE7-A3BB-19BC9CBE6910}"/>
              </c:ext>
            </c:extLst>
          </c:dPt>
          <c:dPt>
            <c:idx val="2"/>
            <c:bubble3D val="0"/>
            <c:spPr>
              <a:solidFill>
                <a:schemeClr val="accent4">
                  <a:shade val="76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3-4BE7-A3BB-19BC9CBE6910}"/>
              </c:ext>
            </c:extLst>
          </c:dPt>
          <c:dPt>
            <c:idx val="3"/>
            <c:bubble3D val="0"/>
            <c:spPr>
              <a:solidFill>
                <a:schemeClr val="accent4">
                  <a:shade val="92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D-4CD3-8FB5-823A01A567E2}"/>
              </c:ext>
            </c:extLst>
          </c:dPt>
          <c:dPt>
            <c:idx val="4"/>
            <c:bubble3D val="0"/>
            <c:spPr>
              <a:solidFill>
                <a:schemeClr val="accent4">
                  <a:tint val="93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DD-4CD3-8FB5-823A01A567E2}"/>
              </c:ext>
            </c:extLst>
          </c:dPt>
          <c:dPt>
            <c:idx val="5"/>
            <c:bubble3D val="0"/>
            <c:spPr>
              <a:solidFill>
                <a:schemeClr val="accent4">
                  <a:tint val="77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DD-4CD3-8FB5-823A01A567E2}"/>
              </c:ext>
            </c:extLst>
          </c:dPt>
          <c:dPt>
            <c:idx val="6"/>
            <c:bubble3D val="0"/>
            <c:spPr>
              <a:solidFill>
                <a:schemeClr val="accent4">
                  <a:tint val="62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DD-4CD3-8FB5-823A01A567E2}"/>
              </c:ext>
            </c:extLst>
          </c:dPt>
          <c:dPt>
            <c:idx val="7"/>
            <c:bubble3D val="0"/>
            <c:spPr>
              <a:solidFill>
                <a:schemeClr val="accent4">
                  <a:tint val="46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B3-4BE7-A3BB-19BC9CBE6910}"/>
              </c:ext>
            </c:extLst>
          </c:dPt>
          <c:dLbls>
            <c:dLbl>
              <c:idx val="1"/>
              <c:layout>
                <c:manualLayout>
                  <c:x val="2.9853585636083618E-2"/>
                  <c:y val="-3.70140306490056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8443267897046"/>
                      <c:h val="0.210284053036969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7B3-4BE7-A3BB-19BC9CBE6910}"/>
                </c:ext>
              </c:extLst>
            </c:dLbl>
            <c:dLbl>
              <c:idx val="2"/>
              <c:layout>
                <c:manualLayout>
                  <c:x val="6.8669013279573921E-2"/>
                  <c:y val="5.9720840121788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32767298065251"/>
                      <c:h val="0.177013914947584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7B3-4BE7-A3BB-19BC9CBE6910}"/>
                </c:ext>
              </c:extLst>
            </c:dLbl>
            <c:dLbl>
              <c:idx val="4"/>
              <c:layout>
                <c:manualLayout>
                  <c:x val="-1.340357261496513E-2"/>
                  <c:y val="1.5330021639858548E-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5917590436087"/>
                      <c:h val="0.125770563537727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CDD-4CD3-8FB5-823A01A567E2}"/>
                </c:ext>
              </c:extLst>
            </c:dLbl>
            <c:dLbl>
              <c:idx val="7"/>
              <c:layout>
                <c:manualLayout>
                  <c:x val="1.919997867557996E-2"/>
                  <c:y val="5.51701649450194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17722366561879"/>
                      <c:h val="0.182815153395499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7B3-4BE7-A3BB-19BC9CBE6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Summary!$AD$4:$AD$11</c:f>
              <c:strCache>
                <c:ptCount val="8"/>
                <c:pt idx="0">
                  <c:v>Tucannon</c:v>
                </c:pt>
                <c:pt idx="1">
                  <c:v>Lyons Ferry/Irrigon/Wallowa</c:v>
                </c:pt>
                <c:pt idx="2">
                  <c:v>Irrigon-Imnaha</c:v>
                </c:pt>
                <c:pt idx="3">
                  <c:v>Dworshak</c:v>
                </c:pt>
                <c:pt idx="4">
                  <c:v>Clearwater</c:v>
                </c:pt>
                <c:pt idx="5">
                  <c:v>Hagerman</c:v>
                </c:pt>
                <c:pt idx="6">
                  <c:v>Magic Valley</c:v>
                </c:pt>
                <c:pt idx="7">
                  <c:v>Niagara Spr.</c:v>
                </c:pt>
              </c:strCache>
            </c:strRef>
          </c:cat>
          <c:val>
            <c:numRef>
              <c:f>Summary!$AH$4:$AH$11</c:f>
              <c:numCache>
                <c:formatCode>#,##0</c:formatCode>
                <c:ptCount val="8"/>
                <c:pt idx="0">
                  <c:v>100000</c:v>
                </c:pt>
                <c:pt idx="1">
                  <c:v>1160000</c:v>
                </c:pt>
                <c:pt idx="2">
                  <c:v>215000</c:v>
                </c:pt>
                <c:pt idx="3">
                  <c:v>2100000</c:v>
                </c:pt>
                <c:pt idx="4">
                  <c:v>843000</c:v>
                </c:pt>
                <c:pt idx="5">
                  <c:v>1560000</c:v>
                </c:pt>
                <c:pt idx="6">
                  <c:v>1550000</c:v>
                </c:pt>
                <c:pt idx="7">
                  <c:v>1800000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3-4BE7-A3BB-19BC9CBE69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345738944486688"/>
          <c:y val="0.17132308844496064"/>
        </c:manualLayout>
      </c:layout>
      <c:overlay val="0"/>
      <c:spPr>
        <a:solidFill>
          <a:schemeClr val="l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092517706503246"/>
          <c:y val="3.5455157103749919E-2"/>
          <c:w val="0.71351833043871327"/>
          <c:h val="0.83164230514267845"/>
        </c:manualLayout>
      </c:layout>
      <c:barChart>
        <c:barDir val="bar"/>
        <c:grouping val="clustered"/>
        <c:varyColors val="0"/>
        <c:ser>
          <c:idx val="0"/>
          <c:order val="0"/>
          <c:tx>
            <c:v>Natural Production</c:v>
          </c:tx>
          <c:spPr>
            <a:solidFill>
              <a:srgbClr val="A688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Summary!$D$23:$D$27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 (~1960)</c:v>
                </c:pt>
              </c:strCache>
            </c:strRef>
          </c:cat>
          <c:val>
            <c:numRef>
              <c:f>Summary!$E$23:$E$27</c:f>
              <c:numCache>
                <c:formatCode>#,##0</c:formatCode>
                <c:ptCount val="5"/>
                <c:pt idx="0">
                  <c:v>28000</c:v>
                </c:pt>
                <c:pt idx="1">
                  <c:v>22500</c:v>
                </c:pt>
                <c:pt idx="2">
                  <c:v>67500</c:v>
                </c:pt>
                <c:pt idx="3">
                  <c:v>112500</c:v>
                </c:pt>
                <c:pt idx="4">
                  <c:v>114800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3-4674-B7D5-5F6976C8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27942448"/>
        <c:axId val="327942840"/>
      </c:barChart>
      <c:catAx>
        <c:axId val="327942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942840"/>
        <c:crosses val="autoZero"/>
        <c:auto val="1"/>
        <c:lblAlgn val="ctr"/>
        <c:lblOffset val="100"/>
        <c:noMultiLvlLbl val="0"/>
      </c:catAx>
      <c:valAx>
        <c:axId val="327942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94244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13648293963254"/>
          <c:y val="2.7777777777777776E-2"/>
          <c:w val="0.72920756780402451"/>
          <c:h val="0.81389690871974341"/>
        </c:manualLayout>
      </c:layout>
      <c:barChart>
        <c:barDir val="col"/>
        <c:grouping val="stacked"/>
        <c:varyColors val="0"/>
        <c:ser>
          <c:idx val="0"/>
          <c:order val="0"/>
          <c:tx>
            <c:v>Wild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Run!$A$39:$A$63</c:f>
              <c:numCache>
                <c:formatCode>0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Run!$P$39:$P$63</c:f>
              <c:numCache>
                <c:formatCode>#,##0</c:formatCode>
                <c:ptCount val="25"/>
                <c:pt idx="0">
                  <c:v>17317</c:v>
                </c:pt>
                <c:pt idx="1">
                  <c:v>19394</c:v>
                </c:pt>
                <c:pt idx="2">
                  <c:v>9122</c:v>
                </c:pt>
                <c:pt idx="3">
                  <c:v>8104</c:v>
                </c:pt>
                <c:pt idx="4">
                  <c:v>8055</c:v>
                </c:pt>
                <c:pt idx="5">
                  <c:v>7625</c:v>
                </c:pt>
                <c:pt idx="6">
                  <c:v>8749</c:v>
                </c:pt>
                <c:pt idx="7">
                  <c:v>9375</c:v>
                </c:pt>
                <c:pt idx="8">
                  <c:v>11098</c:v>
                </c:pt>
                <c:pt idx="9">
                  <c:v>20575</c:v>
                </c:pt>
                <c:pt idx="10">
                  <c:v>40719</c:v>
                </c:pt>
                <c:pt idx="11">
                  <c:v>41931</c:v>
                </c:pt>
                <c:pt idx="12">
                  <c:v>29146</c:v>
                </c:pt>
                <c:pt idx="13">
                  <c:v>23071</c:v>
                </c:pt>
                <c:pt idx="14">
                  <c:v>18130</c:v>
                </c:pt>
                <c:pt idx="15">
                  <c:v>9510</c:v>
                </c:pt>
                <c:pt idx="16">
                  <c:v>14166</c:v>
                </c:pt>
                <c:pt idx="17">
                  <c:v>23876</c:v>
                </c:pt>
                <c:pt idx="18">
                  <c:v>42739</c:v>
                </c:pt>
                <c:pt idx="19">
                  <c:v>44133</c:v>
                </c:pt>
                <c:pt idx="20">
                  <c:v>39439</c:v>
                </c:pt>
                <c:pt idx="21">
                  <c:v>23143</c:v>
                </c:pt>
                <c:pt idx="22">
                  <c:v>25355</c:v>
                </c:pt>
                <c:pt idx="23">
                  <c:v>45789</c:v>
                </c:pt>
                <c:pt idx="24">
                  <c:v>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4-418D-83D7-1558FDB2EC8C}"/>
            </c:ext>
          </c:extLst>
        </c:ser>
        <c:ser>
          <c:idx val="1"/>
          <c:order val="1"/>
          <c:tx>
            <c:v>Hatchery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Run!$A$39:$A$63</c:f>
              <c:numCache>
                <c:formatCode>0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Run!$M$39:$M$63</c:f>
              <c:numCache>
                <c:formatCode>#,##0</c:formatCode>
                <c:ptCount val="25"/>
                <c:pt idx="0">
                  <c:v>81768</c:v>
                </c:pt>
                <c:pt idx="1">
                  <c:v>108986</c:v>
                </c:pt>
                <c:pt idx="2">
                  <c:v>50552</c:v>
                </c:pt>
                <c:pt idx="3">
                  <c:v>39134</c:v>
                </c:pt>
                <c:pt idx="4">
                  <c:v>71090</c:v>
                </c:pt>
                <c:pt idx="5">
                  <c:v>79286</c:v>
                </c:pt>
                <c:pt idx="6">
                  <c:v>77897</c:v>
                </c:pt>
                <c:pt idx="7">
                  <c:v>61287</c:v>
                </c:pt>
                <c:pt idx="8">
                  <c:v>62953</c:v>
                </c:pt>
                <c:pt idx="9">
                  <c:v>96717</c:v>
                </c:pt>
                <c:pt idx="10">
                  <c:v>221768</c:v>
                </c:pt>
                <c:pt idx="11">
                  <c:v>161893</c:v>
                </c:pt>
                <c:pt idx="12">
                  <c:v>129392</c:v>
                </c:pt>
                <c:pt idx="13">
                  <c:v>117404</c:v>
                </c:pt>
                <c:pt idx="14">
                  <c:v>122787</c:v>
                </c:pt>
                <c:pt idx="15">
                  <c:v>118542</c:v>
                </c:pt>
                <c:pt idx="16">
                  <c:v>122887</c:v>
                </c:pt>
                <c:pt idx="17">
                  <c:v>134918</c:v>
                </c:pt>
                <c:pt idx="18">
                  <c:v>247558</c:v>
                </c:pt>
                <c:pt idx="19">
                  <c:v>142324</c:v>
                </c:pt>
                <c:pt idx="20">
                  <c:v>130839</c:v>
                </c:pt>
                <c:pt idx="21">
                  <c:v>77306</c:v>
                </c:pt>
                <c:pt idx="22">
                  <c:v>75878</c:v>
                </c:pt>
                <c:pt idx="23">
                  <c:v>110408</c:v>
                </c:pt>
                <c:pt idx="24">
                  <c:v>96761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4-418D-83D7-1558FDB2E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327943624"/>
        <c:axId val="327944016"/>
      </c:barChart>
      <c:catAx>
        <c:axId val="3279436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944016"/>
        <c:crosses val="autoZero"/>
        <c:auto val="1"/>
        <c:lblAlgn val="ctr"/>
        <c:lblOffset val="100"/>
        <c:noMultiLvlLbl val="0"/>
      </c:catAx>
      <c:valAx>
        <c:axId val="3279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Return to Lower Granite Dam</a:t>
                </a:r>
              </a:p>
            </c:rich>
          </c:tx>
          <c:layout>
            <c:manualLayout>
              <c:xMode val="edge"/>
              <c:yMode val="edge"/>
              <c:x val="7.7637795275590548E-3"/>
              <c:y val="0.160431977252843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94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743985126859148"/>
          <c:y val="0.11631889763779529"/>
          <c:w val="0.13811570428696412"/>
          <c:h val="0.1562510936132983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14529613510772"/>
          <c:y val="5.8572949946751864E-2"/>
          <c:w val="0.77956822889151622"/>
          <c:h val="0.81790059788852276"/>
        </c:manualLayout>
      </c:layout>
      <c:barChart>
        <c:barDir val="col"/>
        <c:grouping val="stacked"/>
        <c:varyColors val="0"/>
        <c:ser>
          <c:idx val="0"/>
          <c:order val="0"/>
          <c:tx>
            <c:v>CR Treaty</c:v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Run!$BC$64:$BC$66</c:f>
              <c:strCache>
                <c:ptCount val="3"/>
                <c:pt idx="0">
                  <c:v>A-index</c:v>
                </c:pt>
                <c:pt idx="2">
                  <c:v>B-index</c:v>
                </c:pt>
              </c:strCache>
            </c:strRef>
          </c:cat>
          <c:val>
            <c:numRef>
              <c:f>Run!$BE$64:$BE$66</c:f>
              <c:numCache>
                <c:formatCode>0.00%</c:formatCode>
                <c:ptCount val="3"/>
                <c:pt idx="0">
                  <c:v>6.2700000000000006E-2</c:v>
                </c:pt>
                <c:pt idx="2">
                  <c:v>0.16850000000000001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D-4E63-AF35-00ED14EAE53A}"/>
            </c:ext>
          </c:extLst>
        </c:ser>
        <c:ser>
          <c:idx val="1"/>
          <c:order val="1"/>
          <c:tx>
            <c:v>CR Non-Treaty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Run!$BC$64:$BC$66</c:f>
              <c:strCache>
                <c:ptCount val="3"/>
                <c:pt idx="0">
                  <c:v>A-index</c:v>
                </c:pt>
                <c:pt idx="2">
                  <c:v>B-index</c:v>
                </c:pt>
              </c:strCache>
            </c:strRef>
          </c:cat>
          <c:val>
            <c:numRef>
              <c:f>Run!$BD$64:$BD$66</c:f>
              <c:numCache>
                <c:formatCode>0.00%</c:formatCode>
                <c:ptCount val="3"/>
                <c:pt idx="0">
                  <c:v>1.2E-2</c:v>
                </c:pt>
                <c:pt idx="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D-4E63-AF35-00ED14EAE53A}"/>
            </c:ext>
          </c:extLst>
        </c:ser>
        <c:ser>
          <c:idx val="2"/>
          <c:order val="2"/>
          <c:tx>
            <c:v>Terminal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Run!$BF$64:$BF$66</c:f>
              <c:numCache>
                <c:formatCode>General</c:formatCode>
                <c:ptCount val="3"/>
                <c:pt idx="0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D-4E63-AF35-00ED14EA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427449424"/>
        <c:axId val="427449816"/>
      </c:barChart>
      <c:catAx>
        <c:axId val="42744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49816"/>
        <c:crosses val="autoZero"/>
        <c:auto val="1"/>
        <c:lblAlgn val="ctr"/>
        <c:lblOffset val="100"/>
        <c:noMultiLvlLbl val="0"/>
      </c:catAx>
      <c:valAx>
        <c:axId val="4274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Fishery impact</a:t>
                </a:r>
                <a:r>
                  <a:rPr lang="en-US" sz="1200" b="1" baseline="0"/>
                  <a:t> rates </a:t>
                </a:r>
              </a:p>
              <a:p>
                <a:pPr>
                  <a:defRPr sz="1200" b="1"/>
                </a:pPr>
                <a:r>
                  <a:rPr lang="en-US" sz="1200" b="1" baseline="0"/>
                  <a:t>(wild fish)</a:t>
                </a:r>
                <a:endParaRPr lang="en-US" sz="1200" b="1"/>
              </a:p>
            </c:rich>
          </c:tx>
          <c:layout>
            <c:manualLayout>
              <c:xMode val="edge"/>
              <c:yMode val="edge"/>
              <c:x val="9.0077398472155814E-3"/>
              <c:y val="0.168348385365567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4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70018364317877"/>
          <c:y val="8.8324402740392313E-2"/>
          <c:w val="0.18384401230996289"/>
          <c:h val="0.2695705768408341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67ADF.99FF4F30" TargetMode="External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7.emf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92196</xdr:colOff>
      <xdr:row>1</xdr:row>
      <xdr:rowOff>59004</xdr:rowOff>
    </xdr:from>
    <xdr:to>
      <xdr:col>7</xdr:col>
      <xdr:colOff>58238</xdr:colOff>
      <xdr:row>12</xdr:row>
      <xdr:rowOff>27216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2196" y="331147"/>
          <a:ext cx="3789649" cy="19276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Inhabit moderate to high elevation areas of major tributaries.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Areas upstream from the Hells Canyon Dam complex are not currenty accessible. Harvest occurs entirely in freshwater and is much reduced from historical levels.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30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600" i="0" baseline="0">
              <a:effectLst/>
            </a:rPr>
            <a:t>Hatchery production is significant.</a:t>
          </a:r>
        </a:p>
      </xdr:txBody>
    </xdr:sp>
    <xdr:clientData/>
  </xdr:twoCellAnchor>
  <xdr:twoCellAnchor editAs="oneCell">
    <xdr:from>
      <xdr:col>7</xdr:col>
      <xdr:colOff>219621</xdr:colOff>
      <xdr:row>1</xdr:row>
      <xdr:rowOff>68421</xdr:rowOff>
    </xdr:from>
    <xdr:to>
      <xdr:col>15</xdr:col>
      <xdr:colOff>589189</xdr:colOff>
      <xdr:row>34</xdr:row>
      <xdr:rowOff>20834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50953-061D-4297-9864-0D64B9D4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54" y="343588"/>
          <a:ext cx="5191758" cy="590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57534</xdr:colOff>
      <xdr:row>33</xdr:row>
      <xdr:rowOff>149678</xdr:rowOff>
    </xdr:from>
    <xdr:to>
      <xdr:col>16</xdr:col>
      <xdr:colOff>27213</xdr:colOff>
      <xdr:row>52</xdr:row>
      <xdr:rowOff>60537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EA4846-12EE-41DC-833B-EE3011829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503465</xdr:colOff>
      <xdr:row>51</xdr:row>
      <xdr:rowOff>161108</xdr:rowOff>
    </xdr:from>
    <xdr:to>
      <xdr:col>8</xdr:col>
      <xdr:colOff>76835</xdr:colOff>
      <xdr:row>70</xdr:row>
      <xdr:rowOff>119381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A5C41AF-3E4A-4D7D-9666-ACB03834D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258536</xdr:colOff>
      <xdr:row>51</xdr:row>
      <xdr:rowOff>124370</xdr:rowOff>
    </xdr:from>
    <xdr:to>
      <xdr:col>15</xdr:col>
      <xdr:colOff>172660</xdr:colOff>
      <xdr:row>70</xdr:row>
      <xdr:rowOff>129964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154E42-960B-4B74-9706-B93E4BF47C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17658</xdr:colOff>
      <xdr:row>12</xdr:row>
      <xdr:rowOff>68036</xdr:rowOff>
    </xdr:from>
    <xdr:to>
      <xdr:col>7</xdr:col>
      <xdr:colOff>92287</xdr:colOff>
      <xdr:row>33</xdr:row>
      <xdr:rowOff>172479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9AB211-96C2-4DC6-BE91-2AA8049D39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87630</xdr:colOff>
      <xdr:row>3</xdr:row>
      <xdr:rowOff>38100</xdr:rowOff>
    </xdr:from>
    <xdr:to>
      <xdr:col>20</xdr:col>
      <xdr:colOff>171450</xdr:colOff>
      <xdr:row>13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0166F-A94B-4646-8BBC-0675B85D3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8955" y="581025"/>
          <a:ext cx="5566410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47625</xdr:colOff>
      <xdr:row>17</xdr:row>
      <xdr:rowOff>62865</xdr:rowOff>
    </xdr:from>
    <xdr:to>
      <xdr:col>23</xdr:col>
      <xdr:colOff>600075</xdr:colOff>
      <xdr:row>50</xdr:row>
      <xdr:rowOff>100965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D16150-FE2D-410C-B60F-B563B3C35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3139440"/>
          <a:ext cx="7867650" cy="601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3</xdr:row>
      <xdr:rowOff>85725</xdr:rowOff>
    </xdr:from>
    <xdr:to>
      <xdr:col>33</xdr:col>
      <xdr:colOff>209550</xdr:colOff>
      <xdr:row>14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A85D20-296F-470A-AC7B-D0B67BBE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0" y="628650"/>
          <a:ext cx="554355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116205</xdr:colOff>
      <xdr:row>15</xdr:row>
      <xdr:rowOff>144780</xdr:rowOff>
    </xdr:from>
    <xdr:to>
      <xdr:col>33</xdr:col>
      <xdr:colOff>361950</xdr:colOff>
      <xdr:row>29</xdr:row>
      <xdr:rowOff>97155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2755B9-6F86-4BD5-AD02-7EACBFC1D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2330" y="2859405"/>
          <a:ext cx="5722620" cy="2489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133031</xdr:colOff>
      <xdr:row>3</xdr:row>
      <xdr:rowOff>52901</xdr:rowOff>
    </xdr:from>
    <xdr:to>
      <xdr:col>52</xdr:col>
      <xdr:colOff>473759</xdr:colOff>
      <xdr:row>40</xdr:row>
      <xdr:rowOff>170851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58EAF-1ACD-4942-9494-C7EF6F04A16F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281" y="602420"/>
          <a:ext cx="5201995" cy="68915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74</xdr:row>
      <xdr:rowOff>131445</xdr:rowOff>
    </xdr:from>
    <xdr:to>
      <xdr:col>13</xdr:col>
      <xdr:colOff>295275</xdr:colOff>
      <xdr:row>89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AEF07E-6726-4BB8-8BE5-EA95F21906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45</xdr:col>
      <xdr:colOff>45720</xdr:colOff>
      <xdr:row>2</xdr:row>
      <xdr:rowOff>97936</xdr:rowOff>
    </xdr:from>
    <xdr:to>
      <xdr:col>53</xdr:col>
      <xdr:colOff>358140</xdr:colOff>
      <xdr:row>3</xdr:row>
      <xdr:rowOff>175259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0DFAB7-91A6-4F56-BD0E-1A371F61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1920" y="280816"/>
          <a:ext cx="4838700" cy="328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121920</xdr:colOff>
      <xdr:row>59</xdr:row>
      <xdr:rowOff>144780</xdr:rowOff>
    </xdr:from>
    <xdr:to>
      <xdr:col>51</xdr:col>
      <xdr:colOff>243840</xdr:colOff>
      <xdr:row>73</xdr:row>
      <xdr:rowOff>60960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353E620-4EEA-4343-B8ED-B320C6B3D0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20</xdr:col>
      <xdr:colOff>586740</xdr:colOff>
      <xdr:row>25</xdr:row>
      <xdr:rowOff>114264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5A1004-5F8A-4AC1-B867-96BAA2326491}"/>
            </a:ext>
          </a:extLst>
        </xdr:cNvPr>
        <xdr:cNvGrpSpPr/>
      </xdr:nvGrpSpPr>
      <xdr:grpSpPr>
        <a:xfrm>
          <a:off x="6705600" y="361950"/>
          <a:ext cx="6076950" cy="4276689"/>
          <a:chOff x="7101792" y="262941"/>
          <a:chExt cx="6080760" cy="4244304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C535D1B-CD40-44AE-B0CC-93E3AF851C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01792" y="262941"/>
            <a:ext cx="6080760" cy="42443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F939F30-860E-4466-84AB-FD9771BF5ED9}"/>
              </a:ext>
            </a:extLst>
          </xdr:cNvPr>
          <xdr:cNvSpPr txBox="1"/>
        </xdr:nvSpPr>
        <xdr:spPr>
          <a:xfrm>
            <a:off x="7135987" y="657345"/>
            <a:ext cx="189955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(From NPPC</a:t>
            </a:r>
            <a:r>
              <a:rPr lang="en-US" sz="1100" baseline="0"/>
              <a:t> Loss Assessment)</a:t>
            </a:r>
            <a:endParaRPr lang="en-US" sz="1100"/>
          </a:p>
        </xdr:txBody>
      </xdr:sp>
    </xdr:grpSp>
    <xdr:clientData/>
  </xdr:twoCellAnchor>
  <xdr:twoCellAnchor>
    <xdr:from>
      <xdr:col>11</xdr:col>
      <xdr:colOff>0</xdr:colOff>
      <xdr:row>27</xdr:row>
      <xdr:rowOff>0</xdr:rowOff>
    </xdr:from>
    <xdr:to>
      <xdr:col>20</xdr:col>
      <xdr:colOff>139065</xdr:colOff>
      <xdr:row>42</xdr:row>
      <xdr:rowOff>1905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0F0837-49CB-41F5-AFB5-94CBCBEAAA89}"/>
            </a:ext>
          </a:extLst>
        </xdr:cNvPr>
        <xdr:cNvGrpSpPr/>
      </xdr:nvGrpSpPr>
      <xdr:grpSpPr>
        <a:xfrm>
          <a:off x="6705600" y="4886325"/>
          <a:ext cx="5621655" cy="2716530"/>
          <a:chOff x="6648450" y="4629150"/>
          <a:chExt cx="5625465" cy="271653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66D2662-5D78-4D1F-8B98-92B2D46435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48450" y="4629150"/>
            <a:ext cx="5625465" cy="271653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B74E103-96C9-473B-B205-E0E945669451}"/>
              </a:ext>
            </a:extLst>
          </xdr:cNvPr>
          <xdr:cNvSpPr txBox="1"/>
        </xdr:nvSpPr>
        <xdr:spPr>
          <a:xfrm>
            <a:off x="7987665" y="4638675"/>
            <a:ext cx="1902179" cy="2620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(HCC</a:t>
            </a:r>
            <a:r>
              <a:rPr lang="en-US" sz="1100" baseline="0"/>
              <a:t> relicensing appendix)</a:t>
            </a:r>
            <a:endParaRPr lang="en-US" sz="1100"/>
          </a:p>
        </xdr:txBody>
      </xdr:sp>
    </xdr:grpSp>
    <xdr:clientData/>
  </xdr:twoCellAnchor>
  <xdr:twoCellAnchor>
    <xdr:from>
      <xdr:col>1</xdr:col>
      <xdr:colOff>85725</xdr:colOff>
      <xdr:row>2</xdr:row>
      <xdr:rowOff>81915</xdr:rowOff>
    </xdr:from>
    <xdr:to>
      <xdr:col>9</xdr:col>
      <xdr:colOff>592455</xdr:colOff>
      <xdr:row>36</xdr:row>
      <xdr:rowOff>15240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4DB4969-7AED-454F-A0EE-50CE66A18C92}"/>
            </a:ext>
          </a:extLst>
        </xdr:cNvPr>
        <xdr:cNvSpPr txBox="1"/>
      </xdr:nvSpPr>
      <xdr:spPr>
        <a:xfrm>
          <a:off x="695325" y="443865"/>
          <a:ext cx="5383530" cy="608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Blocked area</a:t>
          </a:r>
        </a:p>
        <a:p>
          <a:endParaRPr lang="en-US" sz="1100"/>
        </a:p>
        <a:p>
          <a:r>
            <a:rPr lang="en-US" sz="1100"/>
            <a:t>NPT ecological goals in accessible area is 602,000.</a:t>
          </a:r>
        </a:p>
        <a:p>
          <a:r>
            <a:rPr lang="en-US" sz="1100"/>
            <a:t>No estimate speciifically</a:t>
          </a:r>
          <a:r>
            <a:rPr lang="en-US" sz="1100" baseline="0"/>
            <a:t> </a:t>
          </a:r>
          <a:r>
            <a:rPr lang="en-US" sz="1100"/>
            <a:t>for Snake in NPCC loss assessment.</a:t>
          </a:r>
        </a:p>
        <a:p>
          <a:r>
            <a:rPr lang="en-US" sz="1100"/>
            <a:t>IPC relicensing estimated 117,000 - 225,700 above HCC.</a:t>
          </a:r>
        </a:p>
        <a:p>
          <a:r>
            <a:rPr lang="en-US" sz="1100"/>
            <a:t>No predevelopment estimate identified in the recovery plan. </a:t>
          </a:r>
        </a:p>
        <a:p>
          <a:r>
            <a:rPr lang="en-US" sz="1100"/>
            <a:t>Blocked</a:t>
          </a:r>
          <a:r>
            <a:rPr lang="en-US" sz="1100" baseline="0"/>
            <a:t> range is larger than current range by area.</a:t>
          </a:r>
        </a:p>
        <a:p>
          <a:r>
            <a:rPr lang="en-US" sz="1100" baseline="0"/>
            <a:t>16 of 40 historical populations (40%) are in blocked area (above HCC and NF Clearwater).</a:t>
          </a:r>
        </a:p>
        <a:p>
          <a:endParaRPr lang="en-US" sz="1100" baseline="0"/>
        </a:p>
        <a:p>
          <a:r>
            <a:rPr lang="en-US" sz="1100" baseline="0"/>
            <a:t>If we used the NPT ecological goals and the IPC midpoint, we would estimate about a 170,000 / (170,000 +602,000) = 22% blockage impact. </a:t>
          </a:r>
        </a:p>
        <a:p>
          <a:endParaRPr lang="en-US" sz="1100" baseline="0"/>
        </a:p>
        <a:p>
          <a:r>
            <a:rPr lang="en-US" sz="1100" baseline="0"/>
            <a:t>If we assumed a 50% impact like for CHS, we would get a total Snake run of about 340,00 based on the IPC HCC number and 1.2 million based on the NPT number. These compare to the NPCC total Col R steelhead estimate of 2.0 million.</a:t>
          </a:r>
        </a:p>
        <a:p>
          <a:endParaRPr lang="en-US" sz="1100"/>
        </a:p>
        <a:p>
          <a:r>
            <a:rPr lang="en-US" sz="1100"/>
            <a:t>Based</a:t>
          </a:r>
          <a:r>
            <a:rPr lang="en-US" sz="1100" baseline="0"/>
            <a:t> on the available information, we assumed a 40% blocked area loss which is in between the examples above. This is equal to the % of blcoked populations.  This would put the total Snake steelhead number around 1 million or half of the NPCC 2.0 million.</a:t>
          </a:r>
          <a:endParaRPr lang="en-US" sz="1100"/>
        </a:p>
        <a:p>
          <a:endParaRPr lang="en-US" sz="1100"/>
        </a:p>
      </xdr:txBody>
    </xdr:sp>
    <xdr:clientData/>
  </xdr:twoCellAnchor>
  <xdr:twoCellAnchor editAs="oneCell">
    <xdr:from>
      <xdr:col>22</xdr:col>
      <xdr:colOff>0</xdr:colOff>
      <xdr:row>3</xdr:row>
      <xdr:rowOff>0</xdr:rowOff>
    </xdr:from>
    <xdr:to>
      <xdr:col>28</xdr:col>
      <xdr:colOff>571500</xdr:colOff>
      <xdr:row>35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8980669-1FFC-4CA4-B99D-7EF7E6A5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48640"/>
          <a:ext cx="4229100" cy="586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ptfisheries.org/portals/0/images/dfrm/home/fisheries-management-plan-final-sm.pdf" TargetMode="External"/><Relationship Id="rId18" Type="http://schemas.openxmlformats.org/officeDocument/2006/relationships/hyperlink" Target="http://www.nptfisheries.org/portals/0/images/dfrm/home/fisheries-management-plan-final-sm.pdf" TargetMode="External"/><Relationship Id="rId26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9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21" Type="http://schemas.openxmlformats.org/officeDocument/2006/relationships/hyperlink" Target="http://www.nptfisheries.org/portals/0/images/dfrm/home/fisheries-management-plan-final-sm.pdf" TargetMode="External"/><Relationship Id="rId34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2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7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0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5" Type="http://schemas.openxmlformats.org/officeDocument/2006/relationships/hyperlink" Target="https://www.nwcouncil.org/sites/default/files/Entire_Document.pdf" TargetMode="External"/><Relationship Id="rId63" Type="http://schemas.openxmlformats.org/officeDocument/2006/relationships/hyperlink" Target="https://www.fws.gov/lsnakecomplan/Reports/LSRCP/Special%20Report%20June%201975/Special%20Report.PDF" TargetMode="External"/><Relationship Id="rId68" Type="http://schemas.openxmlformats.org/officeDocument/2006/relationships/hyperlink" Target="http://www.nptfisheries.org/portals/0/images/dfrm/home/fisheries-management-plan-final-sm.pdf" TargetMode="External"/><Relationship Id="rId76" Type="http://schemas.openxmlformats.org/officeDocument/2006/relationships/vmlDrawing" Target="../drawings/vmlDrawing1.vml"/><Relationship Id="rId7" Type="http://schemas.openxmlformats.org/officeDocument/2006/relationships/hyperlink" Target="http://www.nptfisheries.org/portals/0/images/dfrm/home/fisheries-management-plan-final-sm.pdf" TargetMode="External"/><Relationship Id="rId71" Type="http://schemas.openxmlformats.org/officeDocument/2006/relationships/hyperlink" Target="https://www.streamnet.org/data/coordinated-assessments/" TargetMode="External"/><Relationship Id="rId2" Type="http://schemas.openxmlformats.org/officeDocument/2006/relationships/hyperlink" Target="http://www.nptfisheries.org/portals/0/images/dfrm/home/fisheries-management-plan-final-sm.pdf" TargetMode="External"/><Relationship Id="rId16" Type="http://schemas.openxmlformats.org/officeDocument/2006/relationships/hyperlink" Target="http://www.nptfisheries.org/portals/0/images/dfrm/home/fisheries-management-plan-final-sm.pdf" TargetMode="External"/><Relationship Id="rId29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11" Type="http://schemas.openxmlformats.org/officeDocument/2006/relationships/hyperlink" Target="http://www.nptfisheries.org/portals/0/images/dfrm/home/fisheries-management-plan-final-sm.pdf" TargetMode="External"/><Relationship Id="rId24" Type="http://schemas.openxmlformats.org/officeDocument/2006/relationships/hyperlink" Target="http://www.nptfisheries.org/portals/0/images/dfrm/home/fisheries-management-plan-final-sm.pdf" TargetMode="External"/><Relationship Id="rId32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7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0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5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3" Type="http://schemas.openxmlformats.org/officeDocument/2006/relationships/hyperlink" Target="https://www.nwcouncil.org/sites/default/files/Imnaha_Subbasin_Assessment_sm.pdf" TargetMode="External"/><Relationship Id="rId58" Type="http://schemas.openxmlformats.org/officeDocument/2006/relationships/hyperlink" Target="https://www.fws.gov/lsnakecomplan/Reports/LSRCP/Special%20Report%20June%201975/Special%20Report.PDF" TargetMode="External"/><Relationship Id="rId66" Type="http://schemas.openxmlformats.org/officeDocument/2006/relationships/hyperlink" Target="https://www.dfw.state.or.us/fish/OSCRP/CRM/reports/18_reports/2018falljsr.pdf" TargetMode="External"/><Relationship Id="rId74" Type="http://schemas.openxmlformats.org/officeDocument/2006/relationships/hyperlink" Target="https://www.streamnet.org/data/coordinated-assessments/" TargetMode="External"/><Relationship Id="rId5" Type="http://schemas.openxmlformats.org/officeDocument/2006/relationships/hyperlink" Target="http://www.nptfisheries.org/portals/0/images/dfrm/home/fisheries-management-plan-final-sm.pdf" TargetMode="External"/><Relationship Id="rId15" Type="http://schemas.openxmlformats.org/officeDocument/2006/relationships/hyperlink" Target="http://www.nptfisheries.org/portals/0/images/dfrm/home/fisheries-management-plan-final-sm.pdf" TargetMode="External"/><Relationship Id="rId23" Type="http://schemas.openxmlformats.org/officeDocument/2006/relationships/hyperlink" Target="http://www.nptfisheries.org/portals/0/images/dfrm/home/fisheries-management-plan-final-sm.pdf" TargetMode="External"/><Relationship Id="rId28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6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9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7" Type="http://schemas.openxmlformats.org/officeDocument/2006/relationships/hyperlink" Target="https://www.nwcouncil.org/sites/default/files/Entire_Plan.pdf" TargetMode="External"/><Relationship Id="rId61" Type="http://schemas.openxmlformats.org/officeDocument/2006/relationships/hyperlink" Target="https://www.fws.gov/lsnakecomplan/Reports/LSRCP/Special%20Report%20June%201975/Special%20Report.PDF" TargetMode="External"/><Relationship Id="rId10" Type="http://schemas.openxmlformats.org/officeDocument/2006/relationships/hyperlink" Target="http://www.nptfisheries.org/portals/0/images/dfrm/home/fisheries-management-plan-final-sm.pdf" TargetMode="External"/><Relationship Id="rId19" Type="http://schemas.openxmlformats.org/officeDocument/2006/relationships/hyperlink" Target="http://www.nptfisheries.org/portals/0/images/dfrm/home/fisheries-management-plan-final-sm.pdf" TargetMode="External"/><Relationship Id="rId31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4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2" Type="http://schemas.openxmlformats.org/officeDocument/2006/relationships/hyperlink" Target="https://www.nwcouncil.org/sites/default/files/GRSPfinal.pdf" TargetMode="External"/><Relationship Id="rId60" Type="http://schemas.openxmlformats.org/officeDocument/2006/relationships/hyperlink" Target="https://www.fws.gov/lsnakecomplan/Reports/LSRCP/Special%20Report%20June%201975/Special%20Report.PDF" TargetMode="External"/><Relationship Id="rId65" Type="http://schemas.openxmlformats.org/officeDocument/2006/relationships/hyperlink" Target="https://www.nwcouncil.org/sites/default/files/GRSPfinal.pdf" TargetMode="External"/><Relationship Id="rId73" Type="http://schemas.openxmlformats.org/officeDocument/2006/relationships/hyperlink" Target="https://www.streamnet.org/data/coordinated-assessments/" TargetMode="External"/><Relationship Id="rId4" Type="http://schemas.openxmlformats.org/officeDocument/2006/relationships/hyperlink" Target="http://www.nptfisheries.org/portals/0/images/dfrm/home/fisheries-management-plan-final-sm.pdf" TargetMode="External"/><Relationship Id="rId9" Type="http://schemas.openxmlformats.org/officeDocument/2006/relationships/hyperlink" Target="http://www.nptfisheries.org/portals/0/images/dfrm/home/fisheries-management-plan-final-sm.pdf" TargetMode="External"/><Relationship Id="rId14" Type="http://schemas.openxmlformats.org/officeDocument/2006/relationships/hyperlink" Target="http://www.nptfisheries.org/portals/0/images/dfrm/home/fisheries-management-plan-final-sm.pdf" TargetMode="External"/><Relationship Id="rId22" Type="http://schemas.openxmlformats.org/officeDocument/2006/relationships/hyperlink" Target="http://www.nptfisheries.org/portals/0/images/dfrm/home/fisheries-management-plan-final-sm.pdf" TargetMode="External"/><Relationship Id="rId27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0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5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3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8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6" Type="http://schemas.openxmlformats.org/officeDocument/2006/relationships/hyperlink" Target="https://www.nwcouncil.org/sites/default/files/Entire_Document.pdf" TargetMode="External"/><Relationship Id="rId64" Type="http://schemas.openxmlformats.org/officeDocument/2006/relationships/hyperlink" Target="https://www.fws.gov/lsnakecomplan/Reports/LSRCP/Special%20Report%20June%201975/Special%20Report.PDF" TargetMode="External"/><Relationship Id="rId69" Type="http://schemas.openxmlformats.org/officeDocument/2006/relationships/hyperlink" Target="https://www.streamnet.org/data/coordinated-assessments/" TargetMode="External"/><Relationship Id="rId77" Type="http://schemas.openxmlformats.org/officeDocument/2006/relationships/comments" Target="../comments1.xml"/><Relationship Id="rId8" Type="http://schemas.openxmlformats.org/officeDocument/2006/relationships/hyperlink" Target="http://www.nptfisheries.org/portals/0/images/dfrm/home/fisheries-management-plan-final-sm.pdf" TargetMode="External"/><Relationship Id="rId51" Type="http://schemas.openxmlformats.org/officeDocument/2006/relationships/hyperlink" Target="https://www.nwcouncil.org/sites/default/files/GRSPfinal.pdf" TargetMode="External"/><Relationship Id="rId72" Type="http://schemas.openxmlformats.org/officeDocument/2006/relationships/hyperlink" Target="https://www.streamnet.org/data/coordinated-assessments/" TargetMode="External"/><Relationship Id="rId3" Type="http://schemas.openxmlformats.org/officeDocument/2006/relationships/hyperlink" Target="http://www.nptfisheries.org/portals/0/images/dfrm/home/fisheries-management-plan-final-sm.pdf" TargetMode="External"/><Relationship Id="rId12" Type="http://schemas.openxmlformats.org/officeDocument/2006/relationships/hyperlink" Target="http://www.nptfisheries.org/portals/0/images/dfrm/home/fisheries-management-plan-final-sm.pdf" TargetMode="External"/><Relationship Id="rId17" Type="http://schemas.openxmlformats.org/officeDocument/2006/relationships/hyperlink" Target="http://www.nptfisheries.org/portals/0/images/dfrm/home/fisheries-management-plan-final-sm.pdf" TargetMode="External"/><Relationship Id="rId25" Type="http://schemas.openxmlformats.org/officeDocument/2006/relationships/hyperlink" Target="http://www.nptfisheries.org/portals/0/images/dfrm/home/fisheries-management-plan-final-sm.pdf" TargetMode="External"/><Relationship Id="rId33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38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46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9" Type="http://schemas.openxmlformats.org/officeDocument/2006/relationships/hyperlink" Target="https://www.fws.gov/lsnakecomplan/Reports/LSRCP/Special%20Report%20June%201975/Special%20Report.PDF" TargetMode="External"/><Relationship Id="rId67" Type="http://schemas.openxmlformats.org/officeDocument/2006/relationships/hyperlink" Target="https://www.fws.gov/lsnakecomplan/Reports/LSRCP/Special%20Report%20June%201975/Special%20Report.PDF" TargetMode="External"/><Relationship Id="rId20" Type="http://schemas.openxmlformats.org/officeDocument/2006/relationships/hyperlink" Target="http://www.nptfisheries.org/portals/0/images/dfrm/home/fisheries-management-plan-final-sm.pdf" TargetMode="External"/><Relationship Id="rId41" Type="http://schemas.openxmlformats.org/officeDocument/2006/relationships/hyperlink" Target="http://www.westcoast.fisheries.noaa.gov/protected_species/salmon_steelhead/recovery_planning_and_implementation/snake_river/snake_river_sp-su_chinook_steelhead.html" TargetMode="External"/><Relationship Id="rId54" Type="http://schemas.openxmlformats.org/officeDocument/2006/relationships/hyperlink" Target="https://www.nwcouncil.org/sites/default/files/GRSPfinal.pdf" TargetMode="External"/><Relationship Id="rId62" Type="http://schemas.openxmlformats.org/officeDocument/2006/relationships/hyperlink" Target="https://www.fws.gov/lsnakecomplan/Reports/LSRCP/Special%20Report%20June%201975/Special%20Report.PDF" TargetMode="External"/><Relationship Id="rId70" Type="http://schemas.openxmlformats.org/officeDocument/2006/relationships/hyperlink" Target="https://www.streamnet.org/data/coordinated-assessments/" TargetMode="External"/><Relationship Id="rId75" Type="http://schemas.openxmlformats.org/officeDocument/2006/relationships/hyperlink" Target="https://www.streamnet.org/data/coordinated-assessments/" TargetMode="External"/><Relationship Id="rId1" Type="http://schemas.openxmlformats.org/officeDocument/2006/relationships/hyperlink" Target="http://www.nptfisheries.org/portals/0/images/dfrm/home/fisheries-management-plan-final-sm.pdf" TargetMode="External"/><Relationship Id="rId6" Type="http://schemas.openxmlformats.org/officeDocument/2006/relationships/hyperlink" Target="http://www.nptfisheries.org/portals/0/images/dfrm/home/fisheries-management-plan-final-sm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98"/>
  <sheetViews>
    <sheetView zoomScaleNormal="100" workbookViewId="0">
      <selection activeCell="W31" sqref="W31"/>
    </sheetView>
  </sheetViews>
  <sheetFormatPr defaultRowHeight="14.4" x14ac:dyDescent="0.3"/>
  <cols>
    <col min="1" max="1" width="3.33203125" style="4" customWidth="1"/>
    <col min="2" max="16" width="8.77734375" customWidth="1"/>
    <col min="17" max="17" width="1.44140625" customWidth="1"/>
    <col min="18" max="18" width="1.44140625" style="4" customWidth="1"/>
    <col min="19" max="19" width="5.6640625" style="320" customWidth="1"/>
    <col min="20" max="20" width="7.77734375" customWidth="1"/>
    <col min="21" max="21" width="25.109375" customWidth="1"/>
    <col min="22" max="22" width="11.33203125" customWidth="1"/>
    <col min="23" max="23" width="14.44140625" customWidth="1"/>
    <col min="24" max="24" width="16.77734375" customWidth="1"/>
    <col min="25" max="25" width="10.33203125" customWidth="1"/>
    <col min="26" max="26" width="9.109375" customWidth="1"/>
    <col min="27" max="27" width="11.88671875" customWidth="1"/>
    <col min="28" max="28" width="2.109375" style="4" customWidth="1"/>
    <col min="29" max="29" width="4.21875" style="4" customWidth="1"/>
    <col min="30" max="30" width="7.77734375" style="9" customWidth="1"/>
    <col min="31" max="31" width="30.33203125" customWidth="1"/>
    <col min="32" max="32" width="13.6640625" customWidth="1"/>
    <col min="33" max="33" width="14.5546875" customWidth="1"/>
    <col min="34" max="34" width="14" customWidth="1"/>
    <col min="35" max="35" width="14.44140625" customWidth="1"/>
    <col min="36" max="36" width="12.109375" style="4" customWidth="1"/>
    <col min="37" max="37" width="16.6640625" customWidth="1"/>
    <col min="38" max="38" width="2.109375" customWidth="1"/>
  </cols>
  <sheetData>
    <row r="1" spans="1:40" s="108" customFormat="1" ht="21.75" customHeight="1" x14ac:dyDescent="0.35">
      <c r="A1" s="286"/>
      <c r="B1" s="286" t="s">
        <v>35</v>
      </c>
      <c r="C1" s="287"/>
      <c r="D1" s="287"/>
      <c r="E1" s="286"/>
      <c r="F1" s="288" t="s">
        <v>0</v>
      </c>
      <c r="G1" s="289"/>
      <c r="H1" s="288"/>
      <c r="I1" s="286"/>
      <c r="J1" s="286" t="s">
        <v>36</v>
      </c>
      <c r="K1" s="290"/>
      <c r="L1" s="286"/>
      <c r="M1" s="286"/>
      <c r="N1" s="286"/>
      <c r="O1" s="290"/>
      <c r="P1" s="290"/>
      <c r="Q1" s="291"/>
      <c r="R1" s="5"/>
      <c r="S1" s="319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271"/>
      <c r="AJ1" s="143"/>
    </row>
    <row r="2" spans="1:40" x14ac:dyDescent="0.3">
      <c r="B2" s="5"/>
      <c r="C2" s="5"/>
      <c r="D2" s="5"/>
      <c r="E2" s="5"/>
      <c r="F2" s="5"/>
      <c r="G2" s="5"/>
      <c r="H2" s="4"/>
      <c r="I2" s="4"/>
      <c r="J2" s="4"/>
      <c r="K2" s="4"/>
      <c r="L2" s="4"/>
      <c r="M2" s="4"/>
      <c r="N2" s="4"/>
      <c r="O2" s="4"/>
      <c r="P2" s="4"/>
      <c r="Q2" s="4"/>
      <c r="S2" s="324" t="s">
        <v>1</v>
      </c>
      <c r="T2" s="324"/>
      <c r="U2" s="325"/>
      <c r="V2" s="292" t="s">
        <v>342</v>
      </c>
      <c r="W2" s="293"/>
      <c r="X2" s="294" t="s">
        <v>214</v>
      </c>
      <c r="Y2" s="292" t="s">
        <v>2</v>
      </c>
      <c r="Z2" s="294"/>
      <c r="AA2" s="295"/>
      <c r="AD2" s="87" t="s">
        <v>11</v>
      </c>
      <c r="AE2" s="88"/>
      <c r="AF2" s="92"/>
      <c r="AG2" s="89" t="s">
        <v>147</v>
      </c>
      <c r="AH2" s="90"/>
      <c r="AI2" s="90"/>
      <c r="AJ2" s="141" t="s">
        <v>15</v>
      </c>
      <c r="AK2" s="91" t="s">
        <v>164</v>
      </c>
      <c r="AL2" s="4"/>
      <c r="AN2" s="9"/>
    </row>
    <row r="3" spans="1:40" x14ac:dyDescent="0.3">
      <c r="B3" s="5"/>
      <c r="C3" s="5"/>
      <c r="D3" s="5"/>
      <c r="E3" s="5"/>
      <c r="F3" s="5"/>
      <c r="G3" s="5"/>
      <c r="H3" s="4"/>
      <c r="I3" s="4"/>
      <c r="J3" s="4"/>
      <c r="K3" s="4"/>
      <c r="L3" s="4"/>
      <c r="M3" s="4"/>
      <c r="N3" s="4"/>
      <c r="O3" s="4"/>
      <c r="P3" s="4"/>
      <c r="Q3" s="4"/>
      <c r="S3" s="389" t="s">
        <v>370</v>
      </c>
      <c r="T3" s="299" t="s">
        <v>3</v>
      </c>
      <c r="U3" s="297" t="s">
        <v>4</v>
      </c>
      <c r="V3" s="296" t="s">
        <v>5</v>
      </c>
      <c r="W3" s="296" t="s">
        <v>222</v>
      </c>
      <c r="X3" s="296" t="s">
        <v>215</v>
      </c>
      <c r="Y3" s="297" t="s">
        <v>6</v>
      </c>
      <c r="Z3" s="297" t="s">
        <v>7</v>
      </c>
      <c r="AA3" s="298" t="s">
        <v>8</v>
      </c>
      <c r="AD3" s="93" t="s">
        <v>13</v>
      </c>
      <c r="AE3" s="94"/>
      <c r="AF3" s="95" t="s">
        <v>28</v>
      </c>
      <c r="AG3" s="95" t="s">
        <v>14</v>
      </c>
      <c r="AH3" s="95" t="s">
        <v>26</v>
      </c>
      <c r="AI3" s="95" t="s">
        <v>347</v>
      </c>
      <c r="AJ3" s="95" t="s">
        <v>16</v>
      </c>
      <c r="AK3" s="144" t="s">
        <v>148</v>
      </c>
      <c r="AL3" s="4"/>
      <c r="AN3" s="9"/>
    </row>
    <row r="4" spans="1:40" x14ac:dyDescent="0.3">
      <c r="B4" s="5"/>
      <c r="C4" s="5"/>
      <c r="D4" s="5"/>
      <c r="E4" s="5"/>
      <c r="F4" s="5"/>
      <c r="G4" s="5"/>
      <c r="H4" s="4"/>
      <c r="I4" s="4"/>
      <c r="J4" s="4"/>
      <c r="K4" s="4"/>
      <c r="L4" s="4"/>
      <c r="M4" s="4"/>
      <c r="N4" s="4"/>
      <c r="O4" s="4"/>
      <c r="P4" s="4"/>
      <c r="Q4" s="4"/>
      <c r="S4" s="392"/>
      <c r="T4" s="410" t="s">
        <v>49</v>
      </c>
      <c r="U4" s="123" t="s">
        <v>50</v>
      </c>
      <c r="V4" s="157">
        <f>ROUND('Natl Spnr'!E4,-1)</f>
        <v>610</v>
      </c>
      <c r="W4" s="283">
        <f>'Natl Spnr'!I4</f>
        <v>1700</v>
      </c>
      <c r="X4" s="12">
        <v>15000</v>
      </c>
      <c r="Y4" s="17">
        <v>500</v>
      </c>
      <c r="Z4" s="16">
        <f>Y4+(AA4-Y4)/2</f>
        <v>1500</v>
      </c>
      <c r="AA4" s="84">
        <f>5*Y4</f>
        <v>2500</v>
      </c>
      <c r="AD4" s="97" t="s">
        <v>24</v>
      </c>
      <c r="AE4" s="86"/>
      <c r="AF4" s="98" t="s">
        <v>131</v>
      </c>
      <c r="AG4" s="86">
        <v>60</v>
      </c>
      <c r="AH4" s="99">
        <v>100000</v>
      </c>
      <c r="AI4" s="99"/>
      <c r="AJ4" s="100">
        <v>4656</v>
      </c>
      <c r="AK4" s="12">
        <f>AH4</f>
        <v>100000</v>
      </c>
      <c r="AL4" s="4"/>
      <c r="AN4" s="9"/>
    </row>
    <row r="5" spans="1:40" ht="14.4" customHeight="1" x14ac:dyDescent="0.3">
      <c r="B5" s="5"/>
      <c r="C5" s="5"/>
      <c r="D5" s="5"/>
      <c r="E5" s="5"/>
      <c r="F5" s="5"/>
      <c r="G5" s="5"/>
      <c r="H5" s="4"/>
      <c r="I5" s="4"/>
      <c r="J5" s="4"/>
      <c r="K5" s="4"/>
      <c r="L5" s="4"/>
      <c r="M5" s="4"/>
      <c r="N5" s="4"/>
      <c r="O5" s="4"/>
      <c r="P5" s="4"/>
      <c r="Q5" s="4"/>
      <c r="S5" s="392"/>
      <c r="T5" s="411"/>
      <c r="U5" s="124" t="s">
        <v>51</v>
      </c>
      <c r="V5" s="159">
        <f>ROUND('Natl Spnr'!F5,-1)</f>
        <v>640</v>
      </c>
      <c r="W5" s="284">
        <f>'Natl Spnr'!I5</f>
        <v>3400</v>
      </c>
      <c r="X5" s="114">
        <v>15000</v>
      </c>
      <c r="Y5" s="112">
        <v>1000</v>
      </c>
      <c r="Z5" s="113">
        <f t="shared" ref="Z5:Z28" si="0">Y5+(AA5-Y5)/2</f>
        <v>3000</v>
      </c>
      <c r="AA5" s="114">
        <f t="shared" ref="AA5:AA28" si="1">5*Y5</f>
        <v>5000</v>
      </c>
      <c r="AD5" s="7" t="s">
        <v>132</v>
      </c>
      <c r="AF5" s="9" t="s">
        <v>131</v>
      </c>
      <c r="AG5" s="10">
        <v>472</v>
      </c>
      <c r="AH5" s="10">
        <v>1160000</v>
      </c>
      <c r="AI5" s="10"/>
      <c r="AJ5" s="96"/>
      <c r="AK5" s="84">
        <f t="shared" ref="AK5:AK11" si="2">AH5</f>
        <v>1160000</v>
      </c>
      <c r="AL5" s="4"/>
      <c r="AN5" s="9"/>
    </row>
    <row r="6" spans="1:40" x14ac:dyDescent="0.3">
      <c r="B6" s="5"/>
      <c r="C6" s="5"/>
      <c r="D6" s="5"/>
      <c r="E6" s="5"/>
      <c r="F6" s="5"/>
      <c r="G6" s="5"/>
      <c r="H6" s="4"/>
      <c r="I6" s="4"/>
      <c r="J6" s="4"/>
      <c r="K6" s="4"/>
      <c r="L6" s="4"/>
      <c r="M6" s="4"/>
      <c r="N6" s="4"/>
      <c r="O6" s="4"/>
      <c r="P6" s="4"/>
      <c r="Q6" s="4"/>
      <c r="S6" s="392"/>
      <c r="T6" s="412" t="s">
        <v>37</v>
      </c>
      <c r="U6" s="130" t="s">
        <v>43</v>
      </c>
      <c r="V6" s="157" t="s">
        <v>181</v>
      </c>
      <c r="W6" s="416">
        <f>'Natl Spnr'!I6:I11</f>
        <v>43200</v>
      </c>
      <c r="X6" s="12">
        <v>45000</v>
      </c>
      <c r="Y6" s="118">
        <v>1500</v>
      </c>
      <c r="Z6" s="11">
        <f t="shared" si="0"/>
        <v>4500</v>
      </c>
      <c r="AA6" s="12">
        <f t="shared" si="1"/>
        <v>7500</v>
      </c>
      <c r="AD6" s="7" t="s">
        <v>133</v>
      </c>
      <c r="AF6" s="9" t="s">
        <v>131</v>
      </c>
      <c r="AG6" s="6">
        <v>132</v>
      </c>
      <c r="AH6" s="6">
        <v>215000</v>
      </c>
      <c r="AI6" s="6"/>
      <c r="AJ6" s="96">
        <v>11184</v>
      </c>
      <c r="AK6" s="84">
        <f t="shared" si="2"/>
        <v>215000</v>
      </c>
      <c r="AL6" s="4"/>
      <c r="AN6" s="9"/>
    </row>
    <row r="7" spans="1:40" x14ac:dyDescent="0.3">
      <c r="B7" s="5"/>
      <c r="C7" s="5"/>
      <c r="D7" s="5"/>
      <c r="E7" s="5"/>
      <c r="F7" s="5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S7" s="392"/>
      <c r="T7" s="412"/>
      <c r="U7" s="131" t="s">
        <v>45</v>
      </c>
      <c r="V7" s="419">
        <f>ROUND('Natl Spnr'!E7,-1)</f>
        <v>340</v>
      </c>
      <c r="W7" s="417"/>
      <c r="X7" s="84">
        <v>37000</v>
      </c>
      <c r="Y7" s="17">
        <v>1000</v>
      </c>
      <c r="Z7" s="16">
        <f t="shared" si="0"/>
        <v>3000</v>
      </c>
      <c r="AA7" s="84">
        <f t="shared" si="1"/>
        <v>5000</v>
      </c>
      <c r="AD7" s="7" t="s">
        <v>63</v>
      </c>
      <c r="AF7" s="9" t="s">
        <v>130</v>
      </c>
      <c r="AG7" s="6">
        <v>872</v>
      </c>
      <c r="AH7" s="6">
        <v>2100000</v>
      </c>
      <c r="AI7" s="6"/>
      <c r="AJ7" s="96">
        <v>60264</v>
      </c>
      <c r="AK7" s="84">
        <f t="shared" si="2"/>
        <v>2100000</v>
      </c>
      <c r="AL7" s="4"/>
      <c r="AN7" s="9"/>
    </row>
    <row r="8" spans="1:40" x14ac:dyDescent="0.3">
      <c r="B8" s="5"/>
      <c r="C8" s="5"/>
      <c r="D8" s="5"/>
      <c r="E8" s="5"/>
      <c r="F8" s="5"/>
      <c r="G8" s="5"/>
      <c r="H8" s="4"/>
      <c r="I8" s="4"/>
      <c r="J8" s="4"/>
      <c r="K8" s="4"/>
      <c r="L8" s="4"/>
      <c r="M8" s="4"/>
      <c r="N8" s="4"/>
      <c r="O8" s="4"/>
      <c r="P8" s="4"/>
      <c r="Q8" s="4"/>
      <c r="S8" s="392"/>
      <c r="T8" s="412"/>
      <c r="U8" s="131" t="s">
        <v>47</v>
      </c>
      <c r="V8" s="420"/>
      <c r="W8" s="417"/>
      <c r="X8" s="84">
        <v>55000</v>
      </c>
      <c r="Y8" s="17">
        <v>1000</v>
      </c>
      <c r="Z8" s="16">
        <f>Y8+(AA8-Y8)/2</f>
        <v>3000</v>
      </c>
      <c r="AA8" s="84">
        <f>5*Y8</f>
        <v>5000</v>
      </c>
      <c r="AD8" s="7" t="s">
        <v>37</v>
      </c>
      <c r="AF8" s="9" t="s">
        <v>130</v>
      </c>
      <c r="AG8" s="6">
        <v>452</v>
      </c>
      <c r="AH8" s="6">
        <v>843000</v>
      </c>
      <c r="AI8" s="6"/>
      <c r="AJ8" s="96"/>
      <c r="AK8" s="84">
        <f t="shared" si="2"/>
        <v>843000</v>
      </c>
      <c r="AL8" s="4"/>
      <c r="AN8" s="9"/>
    </row>
    <row r="9" spans="1:40" x14ac:dyDescent="0.3">
      <c r="B9" s="5"/>
      <c r="C9" s="5"/>
      <c r="D9" s="5"/>
      <c r="E9" s="5"/>
      <c r="F9" s="5"/>
      <c r="G9" s="5"/>
      <c r="H9" s="4"/>
      <c r="I9" s="4"/>
      <c r="J9" s="4"/>
      <c r="K9" s="4"/>
      <c r="L9" s="4"/>
      <c r="M9" s="4"/>
      <c r="N9" s="4"/>
      <c r="O9" s="4"/>
      <c r="P9" s="4"/>
      <c r="Q9" s="4"/>
      <c r="S9" s="392"/>
      <c r="T9" s="412"/>
      <c r="U9" s="131" t="s">
        <v>46</v>
      </c>
      <c r="V9" s="160" t="s">
        <v>181</v>
      </c>
      <c r="W9" s="417"/>
      <c r="X9" s="84">
        <v>7000</v>
      </c>
      <c r="Y9" s="17">
        <v>500</v>
      </c>
      <c r="Z9" s="16">
        <f t="shared" si="0"/>
        <v>1500</v>
      </c>
      <c r="AA9" s="84">
        <f t="shared" si="1"/>
        <v>2500</v>
      </c>
      <c r="AD9" s="7" t="s">
        <v>134</v>
      </c>
      <c r="AF9" s="9" t="s">
        <v>131</v>
      </c>
      <c r="AG9" s="6">
        <v>878</v>
      </c>
      <c r="AH9" s="6">
        <v>1560000</v>
      </c>
      <c r="AI9" s="104"/>
      <c r="AJ9" s="96"/>
      <c r="AK9" s="84">
        <f t="shared" si="2"/>
        <v>1560000</v>
      </c>
      <c r="AL9" s="4"/>
      <c r="AN9" s="9"/>
    </row>
    <row r="10" spans="1:40" x14ac:dyDescent="0.3">
      <c r="B10" s="5"/>
      <c r="C10" s="5"/>
      <c r="D10" s="5"/>
      <c r="E10" s="5"/>
      <c r="F10" s="5"/>
      <c r="G10" s="5"/>
      <c r="H10" s="4"/>
      <c r="I10" s="4"/>
      <c r="J10" s="4"/>
      <c r="K10" s="4"/>
      <c r="L10" s="4"/>
      <c r="M10" s="4"/>
      <c r="N10" s="4"/>
      <c r="O10" s="4"/>
      <c r="P10" s="4"/>
      <c r="Q10" s="4"/>
      <c r="S10" s="392"/>
      <c r="T10" s="412"/>
      <c r="U10" s="131" t="s">
        <v>38</v>
      </c>
      <c r="V10" s="160" t="s">
        <v>181</v>
      </c>
      <c r="W10" s="417"/>
      <c r="X10" s="84">
        <v>50000</v>
      </c>
      <c r="Y10" s="17">
        <v>1500</v>
      </c>
      <c r="Z10" s="17">
        <v>4500</v>
      </c>
      <c r="AA10" s="111">
        <v>7500</v>
      </c>
      <c r="AD10" s="7" t="s">
        <v>135</v>
      </c>
      <c r="AF10" s="9" t="s">
        <v>131</v>
      </c>
      <c r="AG10" s="6">
        <v>812</v>
      </c>
      <c r="AH10" s="6">
        <v>1550000</v>
      </c>
      <c r="AI10" s="10"/>
      <c r="AJ10" s="96"/>
      <c r="AK10" s="84">
        <f t="shared" si="2"/>
        <v>1550000</v>
      </c>
      <c r="AL10" s="4"/>
      <c r="AN10" s="9"/>
    </row>
    <row r="11" spans="1:40" x14ac:dyDescent="0.3">
      <c r="B11" s="5"/>
      <c r="C11" s="5"/>
      <c r="D11" s="5"/>
      <c r="E11" s="5"/>
      <c r="F11" s="5"/>
      <c r="G11" s="5"/>
      <c r="H11" s="4"/>
      <c r="I11" s="4"/>
      <c r="J11" s="4"/>
      <c r="K11" s="4"/>
      <c r="L11" s="4"/>
      <c r="M11" s="4"/>
      <c r="N11" s="4"/>
      <c r="O11" s="4"/>
      <c r="P11" s="4"/>
      <c r="Q11" s="4"/>
      <c r="S11" s="392"/>
      <c r="T11" s="412"/>
      <c r="U11" s="132" t="s">
        <v>39</v>
      </c>
      <c r="V11" s="160">
        <f>ROUND('Natl Spnr'!E11,-1)</f>
        <v>2040</v>
      </c>
      <c r="W11" s="418"/>
      <c r="X11" s="84">
        <v>25000</v>
      </c>
      <c r="Y11" s="112">
        <v>1000</v>
      </c>
      <c r="Z11" s="113">
        <f t="shared" si="0"/>
        <v>3000</v>
      </c>
      <c r="AA11" s="114">
        <f t="shared" si="1"/>
        <v>5000</v>
      </c>
      <c r="AD11" s="7" t="s">
        <v>136</v>
      </c>
      <c r="AF11" s="16" t="s">
        <v>130</v>
      </c>
      <c r="AG11" s="104">
        <v>1152</v>
      </c>
      <c r="AH11" s="104">
        <v>1800000</v>
      </c>
      <c r="AI11" s="10"/>
      <c r="AJ11" s="96"/>
      <c r="AK11" s="84">
        <f t="shared" si="2"/>
        <v>1800000</v>
      </c>
      <c r="AL11" s="4"/>
      <c r="AN11" s="9"/>
    </row>
    <row r="12" spans="1:40" ht="15" customHeight="1" x14ac:dyDescent="0.3">
      <c r="B12" s="5"/>
      <c r="C12" s="5"/>
      <c r="D12" s="5"/>
      <c r="E12" s="5"/>
      <c r="F12" s="5"/>
      <c r="G12" s="5"/>
      <c r="H12" s="4"/>
      <c r="I12" s="4"/>
      <c r="J12" s="4"/>
      <c r="K12" s="4"/>
      <c r="L12" s="4"/>
      <c r="M12" s="4"/>
      <c r="N12" s="4"/>
      <c r="O12" s="4"/>
      <c r="P12" s="4"/>
      <c r="Q12" s="4"/>
      <c r="S12" s="392"/>
      <c r="T12" s="413" t="s">
        <v>40</v>
      </c>
      <c r="U12" s="126" t="s">
        <v>43</v>
      </c>
      <c r="V12" s="157">
        <f>ROUND('Natl Spnr'!F12,-1)</f>
        <v>610</v>
      </c>
      <c r="W12" s="416">
        <f>'Natl Spnr'!I12:I15</f>
        <v>15900</v>
      </c>
      <c r="X12" s="12">
        <v>38000</v>
      </c>
      <c r="Y12" s="118">
        <v>1000</v>
      </c>
      <c r="Z12" s="11">
        <f t="shared" si="0"/>
        <v>3000</v>
      </c>
      <c r="AA12" s="12">
        <f t="shared" si="1"/>
        <v>5000</v>
      </c>
      <c r="AD12" s="8" t="s">
        <v>137</v>
      </c>
      <c r="AE12" s="1"/>
      <c r="AF12" s="101" t="s">
        <v>138</v>
      </c>
      <c r="AG12" s="102">
        <v>455</v>
      </c>
      <c r="AH12" s="1"/>
      <c r="AI12" s="103">
        <v>1000000</v>
      </c>
      <c r="AJ12" s="1"/>
      <c r="AK12" s="114">
        <f>AI12</f>
        <v>1000000</v>
      </c>
      <c r="AL12" s="4"/>
      <c r="AN12" s="9"/>
    </row>
    <row r="13" spans="1:40" x14ac:dyDescent="0.3">
      <c r="B13" s="5"/>
      <c r="C13" s="5"/>
      <c r="D13" s="5"/>
      <c r="E13" s="5"/>
      <c r="F13" s="5"/>
      <c r="G13" s="5"/>
      <c r="H13" s="4"/>
      <c r="I13" s="4"/>
      <c r="J13" s="4"/>
      <c r="K13" s="4"/>
      <c r="L13" s="4"/>
      <c r="M13" s="4"/>
      <c r="N13" s="4"/>
      <c r="O13" s="4"/>
      <c r="P13" s="4"/>
      <c r="Q13" s="4"/>
      <c r="S13" s="392"/>
      <c r="T13" s="413"/>
      <c r="U13" s="127" t="s">
        <v>44</v>
      </c>
      <c r="V13" s="160">
        <f>ROUND('Natl Spnr'!E13,-1)</f>
        <v>2630</v>
      </c>
      <c r="W13" s="417"/>
      <c r="X13" s="84">
        <v>81000</v>
      </c>
      <c r="Y13" s="17">
        <v>1500</v>
      </c>
      <c r="Z13" s="16">
        <f t="shared" si="0"/>
        <v>4500</v>
      </c>
      <c r="AA13" s="84">
        <f t="shared" si="1"/>
        <v>7500</v>
      </c>
      <c r="AD13" s="135" t="s">
        <v>17</v>
      </c>
      <c r="AE13" s="136"/>
      <c r="AF13" s="137"/>
      <c r="AG13" s="138">
        <f>SUM(AG4:AG12)</f>
        <v>5285</v>
      </c>
      <c r="AH13" s="138">
        <f>SUM(AH4:AH12)</f>
        <v>9328000</v>
      </c>
      <c r="AI13" s="138">
        <f>SUM(AI4:AI12)</f>
        <v>1000000</v>
      </c>
      <c r="AJ13" s="138">
        <v>88100</v>
      </c>
      <c r="AK13" s="142">
        <f>SUM(AK4:AK12)</f>
        <v>10328000</v>
      </c>
      <c r="AL13" s="4"/>
      <c r="AN13" s="9"/>
    </row>
    <row r="14" spans="1:40" x14ac:dyDescent="0.3">
      <c r="B14" s="5"/>
      <c r="C14" s="5"/>
      <c r="D14" s="5"/>
      <c r="E14" s="5"/>
      <c r="F14" s="5"/>
      <c r="G14" s="5"/>
      <c r="H14" s="4"/>
      <c r="I14" s="4"/>
      <c r="J14" s="4"/>
      <c r="K14" s="4"/>
      <c r="L14" s="4"/>
      <c r="M14" s="4"/>
      <c r="N14" s="4"/>
      <c r="O14" s="4"/>
      <c r="P14" s="4"/>
      <c r="Q14" s="4"/>
      <c r="S14" s="392"/>
      <c r="T14" s="413"/>
      <c r="U14" s="127" t="s">
        <v>41</v>
      </c>
      <c r="V14" s="160">
        <f>ROUND('Natl Spnr'!E14,-1)</f>
        <v>2330</v>
      </c>
      <c r="W14" s="417"/>
      <c r="X14" s="84">
        <v>24000</v>
      </c>
      <c r="Y14" s="17">
        <v>500</v>
      </c>
      <c r="Z14" s="16">
        <f t="shared" si="0"/>
        <v>1500</v>
      </c>
      <c r="AA14" s="84">
        <f t="shared" si="1"/>
        <v>2500</v>
      </c>
      <c r="AD14" s="125" t="s">
        <v>139</v>
      </c>
      <c r="AE14" s="125"/>
      <c r="AF14" s="125"/>
      <c r="AG14" s="125"/>
      <c r="AH14" s="125"/>
      <c r="AI14" s="125"/>
      <c r="AJ14" s="125"/>
      <c r="AK14" s="125"/>
      <c r="AL14" s="4"/>
      <c r="AN14" s="9"/>
    </row>
    <row r="15" spans="1:40" x14ac:dyDescent="0.3">
      <c r="B15" s="5"/>
      <c r="C15" s="5"/>
      <c r="D15" s="5"/>
      <c r="E15" s="5"/>
      <c r="F15" s="5"/>
      <c r="G15" s="5"/>
      <c r="H15" s="4"/>
      <c r="I15" s="4"/>
      <c r="J15" s="4"/>
      <c r="K15" s="4"/>
      <c r="L15" s="4"/>
      <c r="M15" s="4"/>
      <c r="N15" s="4"/>
      <c r="O15" s="4"/>
      <c r="P15" s="4"/>
      <c r="Q15" s="4"/>
      <c r="S15" s="392"/>
      <c r="T15" s="413"/>
      <c r="U15" s="128" t="s">
        <v>42</v>
      </c>
      <c r="V15" s="159">
        <f>ROUND('Natl Spnr'!F15,-1)</f>
        <v>1190</v>
      </c>
      <c r="W15" s="418"/>
      <c r="X15" s="114">
        <v>41000</v>
      </c>
      <c r="Y15" s="112">
        <v>1000</v>
      </c>
      <c r="Z15" s="113">
        <f t="shared" si="0"/>
        <v>3000</v>
      </c>
      <c r="AA15" s="114">
        <f t="shared" si="1"/>
        <v>5000</v>
      </c>
      <c r="AD15" s="125"/>
      <c r="AE15" s="125"/>
      <c r="AF15" s="125"/>
      <c r="AG15" s="125"/>
      <c r="AH15" s="125"/>
      <c r="AI15" s="125"/>
      <c r="AJ15" s="125"/>
      <c r="AK15" s="125"/>
      <c r="AL15" s="4"/>
      <c r="AN15" s="9"/>
    </row>
    <row r="16" spans="1:40" ht="14.4" customHeight="1" x14ac:dyDescent="0.3">
      <c r="B16" s="5"/>
      <c r="C16" s="5"/>
      <c r="D16" s="5"/>
      <c r="E16" s="5"/>
      <c r="F16" s="5"/>
      <c r="G16" s="5"/>
      <c r="H16" s="4"/>
      <c r="I16" s="4"/>
      <c r="J16" s="4"/>
      <c r="K16" s="4"/>
      <c r="L16" s="4"/>
      <c r="M16" s="4"/>
      <c r="N16" s="4"/>
      <c r="O16" s="4"/>
      <c r="P16" s="4"/>
      <c r="Q16" s="4"/>
      <c r="S16" s="392"/>
      <c r="T16" s="117" t="s">
        <v>25</v>
      </c>
      <c r="U16" s="129" t="s">
        <v>48</v>
      </c>
      <c r="V16" s="159" t="s">
        <v>181</v>
      </c>
      <c r="W16" s="284">
        <f>'Natl Spnr'!I16</f>
        <v>4000</v>
      </c>
      <c r="X16" s="114">
        <v>21000</v>
      </c>
      <c r="Y16" s="119">
        <v>1000</v>
      </c>
      <c r="Z16" s="120">
        <f t="shared" si="0"/>
        <v>3000</v>
      </c>
      <c r="AA16" s="121">
        <f t="shared" si="1"/>
        <v>5000</v>
      </c>
      <c r="AD16" s="2" t="s">
        <v>18</v>
      </c>
      <c r="AE16" s="148"/>
      <c r="AF16" s="145" t="s">
        <v>290</v>
      </c>
      <c r="AG16" s="73"/>
      <c r="AH16" s="73"/>
      <c r="AI16" s="74"/>
      <c r="AJ16" s="145" t="s">
        <v>140</v>
      </c>
      <c r="AK16" s="75"/>
      <c r="AL16" s="4"/>
      <c r="AN16" s="9"/>
    </row>
    <row r="17" spans="2:40" ht="14.4" customHeight="1" x14ac:dyDescent="0.3">
      <c r="B17" s="5"/>
      <c r="C17" s="5"/>
      <c r="D17" s="5"/>
      <c r="E17" s="5"/>
      <c r="F17" s="5"/>
      <c r="G17" s="5"/>
      <c r="H17" s="4"/>
      <c r="I17" s="4"/>
      <c r="J17" s="4"/>
      <c r="K17" s="4"/>
      <c r="L17" s="4"/>
      <c r="M17" s="4"/>
      <c r="N17" s="4"/>
      <c r="O17" s="4"/>
      <c r="P17" s="4"/>
      <c r="Q17" s="4"/>
      <c r="S17" s="392"/>
      <c r="T17" s="414" t="s">
        <v>52</v>
      </c>
      <c r="U17" s="133" t="s">
        <v>53</v>
      </c>
      <c r="V17" s="157" t="s">
        <v>181</v>
      </c>
      <c r="W17" s="416">
        <f>'Natl Spnr'!I17:I28</f>
        <v>35200</v>
      </c>
      <c r="X17" s="12">
        <v>13000</v>
      </c>
      <c r="Y17" s="118">
        <v>500</v>
      </c>
      <c r="Z17" s="11">
        <f t="shared" si="0"/>
        <v>1500</v>
      </c>
      <c r="AA17" s="12">
        <f t="shared" si="1"/>
        <v>2500</v>
      </c>
      <c r="AD17" s="3"/>
      <c r="AE17" s="76" t="s">
        <v>20</v>
      </c>
      <c r="AF17" s="146" t="s">
        <v>149</v>
      </c>
      <c r="AG17" s="77" t="s">
        <v>150</v>
      </c>
      <c r="AH17" s="77" t="s">
        <v>158</v>
      </c>
      <c r="AI17" s="77" t="s">
        <v>163</v>
      </c>
      <c r="AJ17" s="146" t="s">
        <v>141</v>
      </c>
      <c r="AK17" s="78" t="s">
        <v>163</v>
      </c>
      <c r="AL17" s="4"/>
      <c r="AN17" s="9"/>
    </row>
    <row r="18" spans="2:40" x14ac:dyDescent="0.3">
      <c r="B18" s="5"/>
      <c r="C18" s="5"/>
      <c r="D18" s="5"/>
      <c r="E18" s="5"/>
      <c r="F18" s="5"/>
      <c r="G18" s="5"/>
      <c r="H18" s="4"/>
      <c r="I18" s="4"/>
      <c r="J18" s="4"/>
      <c r="K18" s="4"/>
      <c r="L18" s="4"/>
      <c r="M18" s="4"/>
      <c r="N18" s="4"/>
      <c r="O18" s="4"/>
      <c r="P18" s="4"/>
      <c r="Q18" s="4"/>
      <c r="S18" s="392"/>
      <c r="T18" s="414"/>
      <c r="U18" s="127" t="s">
        <v>54</v>
      </c>
      <c r="V18" s="160" t="s">
        <v>181</v>
      </c>
      <c r="W18" s="417"/>
      <c r="X18" s="84">
        <v>19000</v>
      </c>
      <c r="Y18" s="17">
        <v>1000</v>
      </c>
      <c r="Z18" s="16">
        <f t="shared" si="0"/>
        <v>3000</v>
      </c>
      <c r="AA18" s="84">
        <f t="shared" si="1"/>
        <v>5000</v>
      </c>
      <c r="AD18" s="415" t="s">
        <v>345</v>
      </c>
      <c r="AE18" s="7" t="s">
        <v>32</v>
      </c>
      <c r="AF18" s="149" t="s">
        <v>12</v>
      </c>
      <c r="AG18" s="79" t="s">
        <v>12</v>
      </c>
      <c r="AH18" s="79" t="s">
        <v>12</v>
      </c>
      <c r="AI18" s="79" t="s">
        <v>12</v>
      </c>
      <c r="AJ18" s="147" t="s">
        <v>12</v>
      </c>
      <c r="AK18" s="80" t="s">
        <v>12</v>
      </c>
      <c r="AL18" s="4"/>
      <c r="AN18" s="9"/>
    </row>
    <row r="19" spans="2:40" x14ac:dyDescent="0.3">
      <c r="B19" s="5"/>
      <c r="C19" s="5"/>
      <c r="D19" s="5"/>
      <c r="E19" s="5"/>
      <c r="F19" s="5"/>
      <c r="G19" s="5"/>
      <c r="H19" s="4"/>
      <c r="I19" s="4"/>
      <c r="J19" s="4"/>
      <c r="K19" s="4"/>
      <c r="L19" s="4"/>
      <c r="M19" s="4"/>
      <c r="N19" s="4"/>
      <c r="O19" s="4"/>
      <c r="P19" s="4"/>
      <c r="Q19" s="4"/>
      <c r="S19" s="392"/>
      <c r="T19" s="414"/>
      <c r="U19" s="127" t="s">
        <v>55</v>
      </c>
      <c r="V19" s="160" t="s">
        <v>181</v>
      </c>
      <c r="W19" s="417"/>
      <c r="X19" s="84">
        <v>22000</v>
      </c>
      <c r="Y19" s="17">
        <v>1000</v>
      </c>
      <c r="Z19" s="16">
        <f t="shared" si="0"/>
        <v>3000</v>
      </c>
      <c r="AA19" s="84">
        <f t="shared" si="1"/>
        <v>5000</v>
      </c>
      <c r="AD19" s="415"/>
      <c r="AE19" s="7" t="s">
        <v>34</v>
      </c>
      <c r="AF19" s="274">
        <v>1.9E-2</v>
      </c>
      <c r="AG19" s="275">
        <v>2.1999999999999999E-2</v>
      </c>
      <c r="AH19" s="417" t="s">
        <v>143</v>
      </c>
      <c r="AI19" s="417" t="s">
        <v>159</v>
      </c>
      <c r="AJ19" s="276">
        <v>700</v>
      </c>
      <c r="AK19" s="422">
        <f>AK23</f>
        <v>41200</v>
      </c>
      <c r="AL19" s="4"/>
      <c r="AN19" s="9"/>
    </row>
    <row r="20" spans="2:40" x14ac:dyDescent="0.3">
      <c r="B20" s="5"/>
      <c r="C20" s="5"/>
      <c r="D20" s="5"/>
      <c r="E20" s="5"/>
      <c r="F20" s="5"/>
      <c r="G20" s="5"/>
      <c r="H20" s="4"/>
      <c r="I20" s="4"/>
      <c r="J20" s="4"/>
      <c r="K20" s="4"/>
      <c r="L20" s="4"/>
      <c r="M20" s="4"/>
      <c r="N20" s="4"/>
      <c r="O20" s="4"/>
      <c r="P20" s="4"/>
      <c r="Q20" s="4"/>
      <c r="S20" s="392"/>
      <c r="T20" s="414"/>
      <c r="U20" s="127" t="s">
        <v>56</v>
      </c>
      <c r="V20" s="160" t="s">
        <v>181</v>
      </c>
      <c r="W20" s="417"/>
      <c r="X20" s="84">
        <v>16000</v>
      </c>
      <c r="Y20" s="17">
        <v>500</v>
      </c>
      <c r="Z20" s="16">
        <f t="shared" si="0"/>
        <v>1500</v>
      </c>
      <c r="AA20" s="84">
        <f t="shared" si="1"/>
        <v>2500</v>
      </c>
      <c r="AD20" s="415"/>
      <c r="AE20" s="7" t="s">
        <v>33</v>
      </c>
      <c r="AF20" s="274">
        <f>Run!BE64</f>
        <v>6.2700000000000006E-2</v>
      </c>
      <c r="AG20" s="275">
        <v>0.14899999999999999</v>
      </c>
      <c r="AH20" s="417"/>
      <c r="AI20" s="417"/>
      <c r="AJ20" s="276">
        <v>2900</v>
      </c>
      <c r="AK20" s="423"/>
      <c r="AL20" s="4"/>
      <c r="AN20" s="9"/>
    </row>
    <row r="21" spans="2:40" x14ac:dyDescent="0.3">
      <c r="B21" s="5"/>
      <c r="C21" s="5"/>
      <c r="D21" s="5"/>
      <c r="E21" s="5"/>
      <c r="F21" s="5"/>
      <c r="G21" s="5"/>
      <c r="H21" s="4"/>
      <c r="I21" s="4"/>
      <c r="J21" s="4"/>
      <c r="K21" s="4"/>
      <c r="L21" s="4"/>
      <c r="M21" s="4"/>
      <c r="N21" s="4"/>
      <c r="O21" s="4"/>
      <c r="P21" s="4"/>
      <c r="Q21" s="4"/>
      <c r="S21" s="392"/>
      <c r="T21" s="414"/>
      <c r="U21" s="123" t="s">
        <v>216</v>
      </c>
      <c r="V21" s="419">
        <f>ROUND('Natl Spnr'!E21,-1)</f>
        <v>2470</v>
      </c>
      <c r="W21" s="417"/>
      <c r="X21" s="84">
        <v>31000</v>
      </c>
      <c r="Y21" s="17">
        <v>1000</v>
      </c>
      <c r="Z21" s="16">
        <f t="shared" si="0"/>
        <v>3000</v>
      </c>
      <c r="AA21" s="84">
        <f t="shared" si="1"/>
        <v>5000</v>
      </c>
      <c r="AD21" s="415"/>
      <c r="AE21" s="7" t="s">
        <v>292</v>
      </c>
      <c r="AF21" s="274"/>
      <c r="AG21" s="275"/>
      <c r="AH21" s="193"/>
      <c r="AI21" s="417"/>
      <c r="AJ21" s="276"/>
      <c r="AK21" s="423"/>
      <c r="AL21" s="4"/>
      <c r="AN21" s="9"/>
    </row>
    <row r="22" spans="2:40" x14ac:dyDescent="0.3">
      <c r="B22" s="5"/>
      <c r="C22" s="5"/>
      <c r="D22" s="5"/>
      <c r="E22" s="5"/>
      <c r="F22" s="5"/>
      <c r="G22" s="5"/>
      <c r="H22" s="4"/>
      <c r="I22" s="4"/>
      <c r="J22" s="4"/>
      <c r="K22" s="4"/>
      <c r="L22" s="4"/>
      <c r="M22" s="4"/>
      <c r="N22" s="4"/>
      <c r="O22" s="4"/>
      <c r="P22" s="4"/>
      <c r="Q22" s="4"/>
      <c r="S22" s="392"/>
      <c r="T22" s="414"/>
      <c r="U22" s="123" t="s">
        <v>217</v>
      </c>
      <c r="V22" s="420"/>
      <c r="W22" s="417"/>
      <c r="X22" s="84">
        <v>28000</v>
      </c>
      <c r="Y22" s="17">
        <v>1000</v>
      </c>
      <c r="Z22" s="16">
        <f t="shared" si="0"/>
        <v>3000</v>
      </c>
      <c r="AA22" s="84">
        <f t="shared" si="1"/>
        <v>5000</v>
      </c>
      <c r="AD22" s="415"/>
      <c r="AE22" s="7" t="s">
        <v>230</v>
      </c>
      <c r="AF22" s="277">
        <v>0.02</v>
      </c>
      <c r="AG22" s="278">
        <v>0.02</v>
      </c>
      <c r="AH22" s="9" t="s">
        <v>161</v>
      </c>
      <c r="AI22" s="427"/>
      <c r="AJ22" s="279">
        <f>ROUND(AG22*AH42,-2)</f>
        <v>600</v>
      </c>
      <c r="AK22" s="424"/>
      <c r="AL22" s="4"/>
      <c r="AN22" s="9"/>
    </row>
    <row r="23" spans="2:40" x14ac:dyDescent="0.3">
      <c r="B23" s="5"/>
      <c r="C23" s="5"/>
      <c r="D23" s="139" t="s">
        <v>19</v>
      </c>
      <c r="E23" s="140">
        <f>V30</f>
        <v>28000</v>
      </c>
      <c r="F23" s="139"/>
      <c r="G23" s="5"/>
      <c r="H23" s="4"/>
      <c r="I23" s="4"/>
      <c r="J23" s="4"/>
      <c r="K23" s="4"/>
      <c r="L23" s="4"/>
      <c r="M23" s="4"/>
      <c r="N23" s="4"/>
      <c r="O23" s="4"/>
      <c r="P23" s="4"/>
      <c r="Q23" s="4"/>
      <c r="S23" s="392"/>
      <c r="T23" s="414"/>
      <c r="U23" s="123" t="s">
        <v>38</v>
      </c>
      <c r="V23" s="160" t="s">
        <v>181</v>
      </c>
      <c r="W23" s="417"/>
      <c r="X23" s="84">
        <v>6000</v>
      </c>
      <c r="Y23" s="17">
        <v>500</v>
      </c>
      <c r="Z23" s="16">
        <f t="shared" si="0"/>
        <v>1500</v>
      </c>
      <c r="AA23" s="84">
        <f t="shared" si="1"/>
        <v>2500</v>
      </c>
      <c r="AD23" s="415"/>
      <c r="AE23" s="81" t="s">
        <v>22</v>
      </c>
      <c r="AF23" s="150">
        <f>SUM(AF18:AF22)</f>
        <v>0.10170000000000001</v>
      </c>
      <c r="AG23" s="82">
        <f>SUM(AG18:AG22)</f>
        <v>0.19099999999999998</v>
      </c>
      <c r="AH23" s="83" t="s">
        <v>162</v>
      </c>
      <c r="AI23" s="83" t="str">
        <f>AI19</f>
        <v>20-50%</v>
      </c>
      <c r="AJ23" s="241">
        <f>SUM(AJ18:AJ22)</f>
        <v>4200</v>
      </c>
      <c r="AK23" s="268">
        <f>AK50</f>
        <v>41200</v>
      </c>
      <c r="AL23" s="151"/>
      <c r="AN23" s="9"/>
    </row>
    <row r="24" spans="2:40" x14ac:dyDescent="0.3">
      <c r="B24" s="5"/>
      <c r="C24" s="5"/>
      <c r="D24" s="139" t="s">
        <v>155</v>
      </c>
      <c r="E24" s="140">
        <f>Y30</f>
        <v>22500</v>
      </c>
      <c r="F24" s="139"/>
      <c r="G24" s="5"/>
      <c r="H24" s="4"/>
      <c r="I24" s="4"/>
      <c r="J24" s="4"/>
      <c r="K24" s="4"/>
      <c r="L24" s="4"/>
      <c r="M24" s="4"/>
      <c r="N24" s="4"/>
      <c r="O24" s="4"/>
      <c r="P24" s="4"/>
      <c r="Q24" s="4"/>
      <c r="S24" s="392"/>
      <c r="T24" s="414"/>
      <c r="U24" s="123" t="s">
        <v>57</v>
      </c>
      <c r="V24" s="160" t="s">
        <v>181</v>
      </c>
      <c r="W24" s="417"/>
      <c r="X24" s="84">
        <v>18000</v>
      </c>
      <c r="Y24" s="17">
        <v>1000</v>
      </c>
      <c r="Z24" s="16">
        <f t="shared" si="0"/>
        <v>3000</v>
      </c>
      <c r="AA24" s="84">
        <f t="shared" si="1"/>
        <v>5000</v>
      </c>
      <c r="AD24" s="407" t="s">
        <v>23</v>
      </c>
      <c r="AE24" s="7" t="s">
        <v>32</v>
      </c>
      <c r="AF24" s="149" t="s">
        <v>12</v>
      </c>
      <c r="AG24" s="79" t="s">
        <v>12</v>
      </c>
      <c r="AH24" s="79" t="s">
        <v>12</v>
      </c>
      <c r="AI24" s="79" t="s">
        <v>12</v>
      </c>
      <c r="AJ24" s="147" t="s">
        <v>12</v>
      </c>
      <c r="AK24" s="80" t="s">
        <v>12</v>
      </c>
      <c r="AL24" s="151"/>
      <c r="AN24" s="9"/>
    </row>
    <row r="25" spans="2:40" ht="14.4" customHeight="1" x14ac:dyDescent="0.3">
      <c r="B25" s="5"/>
      <c r="C25" s="5"/>
      <c r="D25" s="139" t="s">
        <v>156</v>
      </c>
      <c r="E25" s="140">
        <f>Z30</f>
        <v>67500</v>
      </c>
      <c r="F25" s="139"/>
      <c r="G25" s="5"/>
      <c r="H25" s="4"/>
      <c r="I25" s="4"/>
      <c r="J25" s="4"/>
      <c r="K25" s="4"/>
      <c r="L25" s="4"/>
      <c r="M25" s="4"/>
      <c r="N25" s="4"/>
      <c r="O25" s="4"/>
      <c r="P25" s="4"/>
      <c r="Q25" s="4"/>
      <c r="S25" s="392"/>
      <c r="T25" s="414"/>
      <c r="U25" s="123" t="s">
        <v>58</v>
      </c>
      <c r="V25" s="160" t="s">
        <v>181</v>
      </c>
      <c r="W25" s="417"/>
      <c r="X25" s="84">
        <v>13000</v>
      </c>
      <c r="Y25" s="17">
        <v>500</v>
      </c>
      <c r="Z25" s="16">
        <f t="shared" si="0"/>
        <v>1500</v>
      </c>
      <c r="AA25" s="84">
        <f t="shared" si="1"/>
        <v>2500</v>
      </c>
      <c r="AD25" s="408"/>
      <c r="AE25" s="7" t="s">
        <v>34</v>
      </c>
      <c r="AF25" s="274">
        <v>0.14299999999999999</v>
      </c>
      <c r="AG25" s="275">
        <v>0.155</v>
      </c>
      <c r="AH25" s="430" t="s">
        <v>160</v>
      </c>
      <c r="AI25" s="430" t="s">
        <v>160</v>
      </c>
      <c r="AJ25" s="276">
        <v>28600</v>
      </c>
      <c r="AK25" s="422">
        <f>AK29</f>
        <v>141900</v>
      </c>
      <c r="AL25" s="4"/>
      <c r="AN25" s="9"/>
    </row>
    <row r="26" spans="2:40" x14ac:dyDescent="0.3">
      <c r="B26" s="5"/>
      <c r="C26" s="5"/>
      <c r="D26" s="139" t="s">
        <v>157</v>
      </c>
      <c r="E26" s="140">
        <f>AA30</f>
        <v>112500</v>
      </c>
      <c r="F26" s="139"/>
      <c r="G26" s="5"/>
      <c r="H26" s="4"/>
      <c r="I26" s="4"/>
      <c r="J26" s="4"/>
      <c r="K26" s="4"/>
      <c r="L26" s="4"/>
      <c r="M26" s="4"/>
      <c r="N26" s="4"/>
      <c r="O26" s="4"/>
      <c r="P26" s="4"/>
      <c r="Q26" s="4"/>
      <c r="S26" s="392"/>
      <c r="T26" s="414"/>
      <c r="U26" s="123" t="s">
        <v>44</v>
      </c>
      <c r="V26" s="160" t="s">
        <v>181</v>
      </c>
      <c r="W26" s="417"/>
      <c r="X26" s="84">
        <v>24000</v>
      </c>
      <c r="Y26" s="17">
        <v>1000</v>
      </c>
      <c r="Z26" s="16">
        <f t="shared" si="0"/>
        <v>3000</v>
      </c>
      <c r="AA26" s="84">
        <f t="shared" si="1"/>
        <v>5000</v>
      </c>
      <c r="AD26" s="408"/>
      <c r="AE26" s="7" t="s">
        <v>33</v>
      </c>
      <c r="AF26" s="274">
        <v>6.7000000000000004E-2</v>
      </c>
      <c r="AG26" s="275">
        <v>0.152</v>
      </c>
      <c r="AH26" s="417"/>
      <c r="AI26" s="417"/>
      <c r="AJ26" s="276">
        <v>15500</v>
      </c>
      <c r="AK26" s="423"/>
      <c r="AL26" s="4"/>
      <c r="AN26" s="9"/>
    </row>
    <row r="27" spans="2:40" x14ac:dyDescent="0.3">
      <c r="B27" s="5"/>
      <c r="C27" s="5"/>
      <c r="D27" s="139" t="s">
        <v>278</v>
      </c>
      <c r="E27" s="140">
        <f>W30</f>
        <v>114800</v>
      </c>
      <c r="F27" s="139"/>
      <c r="G27" s="5"/>
      <c r="H27" s="4"/>
      <c r="I27" s="4"/>
      <c r="J27" s="4"/>
      <c r="K27" s="4"/>
      <c r="L27" s="4"/>
      <c r="M27" s="4"/>
      <c r="N27" s="4"/>
      <c r="O27" s="4"/>
      <c r="P27" s="4"/>
      <c r="Q27" s="4"/>
      <c r="S27" s="392"/>
      <c r="T27" s="414"/>
      <c r="U27" s="123" t="s">
        <v>59</v>
      </c>
      <c r="V27" s="419">
        <f>ROUND('Natl Spnr'!E27,-1)</f>
        <v>1220</v>
      </c>
      <c r="W27" s="417"/>
      <c r="X27" s="84">
        <v>6000</v>
      </c>
      <c r="Y27" s="17">
        <v>500</v>
      </c>
      <c r="Z27" s="16">
        <f t="shared" si="0"/>
        <v>1500</v>
      </c>
      <c r="AA27" s="84">
        <f t="shared" si="1"/>
        <v>2500</v>
      </c>
      <c r="AD27" s="408"/>
      <c r="AE27" s="7" t="s">
        <v>292</v>
      </c>
      <c r="AF27" s="428">
        <f>AJ27/AH35</f>
        <v>4.1297935103244837E-2</v>
      </c>
      <c r="AG27" s="429"/>
      <c r="AH27" s="417"/>
      <c r="AI27" s="417"/>
      <c r="AJ27" s="276">
        <v>8400</v>
      </c>
      <c r="AK27" s="423"/>
      <c r="AL27" s="4"/>
      <c r="AN27" s="9"/>
    </row>
    <row r="28" spans="2:40" x14ac:dyDescent="0.3">
      <c r="B28" s="5"/>
      <c r="C28" s="5"/>
      <c r="D28" s="139"/>
      <c r="E28" s="139"/>
      <c r="F28" s="139"/>
      <c r="G28" s="5"/>
      <c r="H28" s="4"/>
      <c r="I28" s="4"/>
      <c r="J28" s="4"/>
      <c r="K28" s="4"/>
      <c r="L28" s="4"/>
      <c r="M28" s="4"/>
      <c r="N28" s="4"/>
      <c r="O28" s="4"/>
      <c r="P28" s="4"/>
      <c r="Q28" s="4"/>
      <c r="S28" s="392"/>
      <c r="T28" s="414"/>
      <c r="U28" s="124" t="s">
        <v>39</v>
      </c>
      <c r="V28" s="421"/>
      <c r="W28" s="417"/>
      <c r="X28" s="84">
        <v>2000</v>
      </c>
      <c r="Y28" s="17">
        <v>1000</v>
      </c>
      <c r="Z28" s="16">
        <f t="shared" si="0"/>
        <v>3000</v>
      </c>
      <c r="AA28" s="84">
        <f t="shared" si="1"/>
        <v>5000</v>
      </c>
      <c r="AD28" s="408"/>
      <c r="AE28" s="7" t="s">
        <v>230</v>
      </c>
      <c r="AF28" s="425">
        <f>AJ28/AH35</f>
        <v>0.37954768928220256</v>
      </c>
      <c r="AG28" s="426"/>
      <c r="AH28" s="427"/>
      <c r="AI28" s="427"/>
      <c r="AJ28" s="160">
        <v>77200</v>
      </c>
      <c r="AK28" s="424"/>
      <c r="AL28" s="4"/>
      <c r="AN28" s="9"/>
    </row>
    <row r="29" spans="2:40" x14ac:dyDescent="0.3">
      <c r="B29" s="5"/>
      <c r="C29" s="5"/>
      <c r="D29" s="139"/>
      <c r="E29" s="139"/>
      <c r="F29" s="139"/>
      <c r="G29" s="5"/>
      <c r="H29" s="4"/>
      <c r="I29" s="4"/>
      <c r="J29" s="4"/>
      <c r="K29" s="4"/>
      <c r="L29" s="4"/>
      <c r="M29" s="4"/>
      <c r="N29" s="4"/>
      <c r="O29" s="4"/>
      <c r="P29" s="4"/>
      <c r="Q29" s="4"/>
      <c r="S29" s="393"/>
      <c r="T29" s="166" t="s">
        <v>27</v>
      </c>
      <c r="U29" s="107" t="s">
        <v>221</v>
      </c>
      <c r="V29" s="167" t="s">
        <v>12</v>
      </c>
      <c r="W29" s="285">
        <f>'Natl Spnr'!I30</f>
        <v>11400</v>
      </c>
      <c r="X29" s="168" t="s">
        <v>12</v>
      </c>
      <c r="Y29" s="167" t="s">
        <v>12</v>
      </c>
      <c r="Z29" s="119" t="s">
        <v>12</v>
      </c>
      <c r="AA29" s="168" t="s">
        <v>12</v>
      </c>
      <c r="AD29" s="409"/>
      <c r="AE29" s="81" t="s">
        <v>22</v>
      </c>
      <c r="AF29" s="242">
        <f>AF25+AF26+AF27+AF28</f>
        <v>0.63084562438544745</v>
      </c>
      <c r="AG29" s="243">
        <f>AG25+AG26+AF27+AF28</f>
        <v>0.72784562438544742</v>
      </c>
      <c r="AH29" s="83" t="str">
        <f>AH25</f>
        <v>≤70%</v>
      </c>
      <c r="AI29" s="83" t="str">
        <f>AI25</f>
        <v>≤70%</v>
      </c>
      <c r="AJ29" s="241">
        <f>SUM(AJ24:AJ28)</f>
        <v>129700</v>
      </c>
      <c r="AK29" s="268">
        <f>AK51</f>
        <v>141900</v>
      </c>
      <c r="AL29" s="4"/>
      <c r="AN29" s="9"/>
    </row>
    <row r="30" spans="2:40" ht="14.4" customHeight="1" x14ac:dyDescent="0.3">
      <c r="B30" s="5"/>
      <c r="C30" s="5"/>
      <c r="D30" s="5"/>
      <c r="E30" s="5"/>
      <c r="F30" s="5"/>
      <c r="G30" s="5"/>
      <c r="H30" s="4"/>
      <c r="I30" s="4"/>
      <c r="J30" s="4"/>
      <c r="K30" s="4"/>
      <c r="L30" s="4"/>
      <c r="M30" s="4"/>
      <c r="N30" s="4"/>
      <c r="O30" s="4"/>
      <c r="P30" s="4"/>
      <c r="Q30" s="4"/>
      <c r="S30" s="336" t="s">
        <v>17</v>
      </c>
      <c r="T30" s="337"/>
      <c r="U30" s="337"/>
      <c r="V30" s="321">
        <f>ROUND(Run!P72,-2)</f>
        <v>28000</v>
      </c>
      <c r="W30" s="322">
        <f>114800</f>
        <v>114800</v>
      </c>
      <c r="X30" s="323">
        <f>SUM(X4:X28)</f>
        <v>652000</v>
      </c>
      <c r="Y30" s="322">
        <f>SUM(Y4:Y28)</f>
        <v>22500</v>
      </c>
      <c r="Z30" s="322">
        <f>SUM(Z4:Z28)</f>
        <v>67500</v>
      </c>
      <c r="AA30" s="323">
        <f>SUM(AA4:AA28)</f>
        <v>112500</v>
      </c>
      <c r="AD30" s="4"/>
      <c r="AE30" s="4"/>
      <c r="AF30" s="4"/>
      <c r="AG30" s="4"/>
      <c r="AH30" s="4"/>
      <c r="AI30" s="4"/>
      <c r="AK30" s="4"/>
      <c r="AL30" s="4"/>
      <c r="AN30" s="9"/>
    </row>
    <row r="31" spans="2:40" ht="14.4" customHeight="1" x14ac:dyDescent="0.3">
      <c r="B31" s="5"/>
      <c r="C31" s="5"/>
      <c r="D31" s="5"/>
      <c r="E31" s="5"/>
      <c r="F31" s="5"/>
      <c r="G31" s="5"/>
      <c r="H31" s="4"/>
      <c r="I31" s="4"/>
      <c r="J31" s="4"/>
      <c r="K31" s="4"/>
      <c r="L31" s="4"/>
      <c r="M31" s="4"/>
      <c r="N31" s="4"/>
      <c r="O31" s="4"/>
      <c r="P31" s="4"/>
      <c r="Q31" s="4"/>
      <c r="AD31" s="403" t="s">
        <v>144</v>
      </c>
      <c r="AE31" s="404"/>
      <c r="AF31" s="300" t="s">
        <v>343</v>
      </c>
      <c r="AG31" s="109"/>
      <c r="AH31" s="110"/>
      <c r="AI31" s="301" t="s">
        <v>145</v>
      </c>
      <c r="AJ31" s="302"/>
      <c r="AK31" s="303"/>
      <c r="AL31" s="4"/>
      <c r="AN31" s="9"/>
    </row>
    <row r="32" spans="2:40" ht="15" customHeight="1" x14ac:dyDescent="0.3">
      <c r="B32" s="5"/>
      <c r="C32" s="5"/>
      <c r="D32" s="5"/>
      <c r="E32" s="5"/>
      <c r="F32" s="5"/>
      <c r="G32" s="5"/>
      <c r="H32" s="4"/>
      <c r="I32" s="4"/>
      <c r="J32" s="4"/>
      <c r="K32" s="4"/>
      <c r="L32" s="4"/>
      <c r="M32" s="4"/>
      <c r="N32" s="4"/>
      <c r="O32" s="4"/>
      <c r="P32" s="4"/>
      <c r="Q32" s="4"/>
      <c r="S32" s="324" t="s">
        <v>1</v>
      </c>
      <c r="T32" s="324"/>
      <c r="U32" s="325"/>
      <c r="V32" s="326" t="s">
        <v>342</v>
      </c>
      <c r="W32" s="327"/>
      <c r="X32" s="328" t="s">
        <v>366</v>
      </c>
      <c r="Y32" s="329" t="s">
        <v>381</v>
      </c>
      <c r="Z32" s="330"/>
      <c r="AA32" s="331"/>
      <c r="AD32" s="405"/>
      <c r="AE32" s="406"/>
      <c r="AF32" s="304" t="s">
        <v>151</v>
      </c>
      <c r="AG32" s="305" t="s">
        <v>152</v>
      </c>
      <c r="AH32" s="305" t="s">
        <v>22</v>
      </c>
      <c r="AI32" s="158" t="s">
        <v>6</v>
      </c>
      <c r="AJ32" s="158" t="s">
        <v>7</v>
      </c>
      <c r="AK32" s="306" t="s">
        <v>8</v>
      </c>
      <c r="AL32" s="4"/>
      <c r="AN32" s="9"/>
    </row>
    <row r="33" spans="2:41" ht="14.4" customHeight="1" x14ac:dyDescent="0.3">
      <c r="B33" s="5"/>
      <c r="C33" s="5"/>
      <c r="D33" s="5"/>
      <c r="E33" s="5"/>
      <c r="F33" s="5"/>
      <c r="G33" s="5"/>
      <c r="H33" s="4"/>
      <c r="I33" s="4"/>
      <c r="J33" s="4"/>
      <c r="K33" s="4"/>
      <c r="L33" s="4"/>
      <c r="M33" s="4"/>
      <c r="N33" s="4"/>
      <c r="O33" s="4"/>
      <c r="P33" s="4"/>
      <c r="Q33" s="4"/>
      <c r="S33" s="389" t="s">
        <v>369</v>
      </c>
      <c r="T33" s="332" t="s">
        <v>3</v>
      </c>
      <c r="U33" s="333" t="s">
        <v>4</v>
      </c>
      <c r="V33" s="346" t="s">
        <v>5</v>
      </c>
      <c r="W33" s="346" t="s">
        <v>62</v>
      </c>
      <c r="X33" s="346" t="s">
        <v>367</v>
      </c>
      <c r="Y33" s="334" t="s">
        <v>6</v>
      </c>
      <c r="Z33" s="334" t="s">
        <v>7</v>
      </c>
      <c r="AA33" s="335" t="s">
        <v>8</v>
      </c>
      <c r="AD33" s="122" t="s">
        <v>10</v>
      </c>
      <c r="AE33" s="106"/>
      <c r="AF33" s="239">
        <f>AF34+AF35</f>
        <v>196100</v>
      </c>
      <c r="AG33" s="134">
        <f t="shared" ref="AG33:AK33" si="3">AG34+AG35</f>
        <v>45200</v>
      </c>
      <c r="AH33" s="134">
        <f t="shared" si="3"/>
        <v>241300</v>
      </c>
      <c r="AI33" s="134">
        <f t="shared" si="3"/>
        <v>241300</v>
      </c>
      <c r="AJ33" s="134">
        <f t="shared" si="3"/>
        <v>310600</v>
      </c>
      <c r="AK33" s="365">
        <f t="shared" si="3"/>
        <v>402700</v>
      </c>
      <c r="AL33" s="4"/>
      <c r="AN33" s="273" t="s">
        <v>9</v>
      </c>
    </row>
    <row r="34" spans="2:41" ht="14.4" customHeight="1" x14ac:dyDescent="0.3">
      <c r="B34" s="5"/>
      <c r="C34" s="5"/>
      <c r="D34" s="5"/>
      <c r="E34" s="5"/>
      <c r="F34" s="5"/>
      <c r="G34" s="5"/>
      <c r="H34" s="4"/>
      <c r="I34" s="4"/>
      <c r="J34" s="4"/>
      <c r="K34" s="4"/>
      <c r="L34" s="4"/>
      <c r="M34" s="4"/>
      <c r="N34" s="4"/>
      <c r="O34" s="4"/>
      <c r="P34" s="4"/>
      <c r="Q34" s="4"/>
      <c r="S34" s="390"/>
      <c r="T34" s="398" t="s">
        <v>348</v>
      </c>
      <c r="U34" s="130" t="s">
        <v>348</v>
      </c>
      <c r="V34" s="344">
        <v>0</v>
      </c>
      <c r="W34" s="345" t="s">
        <v>181</v>
      </c>
      <c r="X34" s="357" t="s">
        <v>12</v>
      </c>
      <c r="Y34" s="338" t="s">
        <v>12</v>
      </c>
      <c r="Z34" s="339">
        <v>500</v>
      </c>
      <c r="AA34" s="340">
        <v>1000</v>
      </c>
      <c r="AD34" s="123"/>
      <c r="AE34" t="s">
        <v>345</v>
      </c>
      <c r="AF34" s="160">
        <v>31800</v>
      </c>
      <c r="AG34" s="16">
        <v>6100</v>
      </c>
      <c r="AH34" s="16">
        <f>AG34+AF34</f>
        <v>37900</v>
      </c>
      <c r="AI34" s="368">
        <f>AH34</f>
        <v>37900</v>
      </c>
      <c r="AJ34" s="342">
        <f>ROUND(Conv!T16,-2)</f>
        <v>107200</v>
      </c>
      <c r="AK34" s="343">
        <f>ROUND(Conv!X16,-2)</f>
        <v>199300</v>
      </c>
      <c r="AL34" s="4"/>
      <c r="AN34" s="163" t="s">
        <v>327</v>
      </c>
      <c r="AO34" s="10">
        <f>V4+V5+V7+V11+V12+V13+V14+V15+V21+V27</f>
        <v>14080</v>
      </c>
    </row>
    <row r="35" spans="2:41" ht="14.4" customHeight="1" x14ac:dyDescent="0.3">
      <c r="B35" s="5"/>
      <c r="C35" s="5"/>
      <c r="D35" s="5"/>
      <c r="E35" s="5"/>
      <c r="F35" s="5"/>
      <c r="G35" s="5"/>
      <c r="H35" s="4"/>
      <c r="I35" s="4"/>
      <c r="J35" s="4"/>
      <c r="K35" s="4"/>
      <c r="L35" s="4"/>
      <c r="M35" s="4"/>
      <c r="N35" s="4"/>
      <c r="O35" s="4"/>
      <c r="P35" s="4"/>
      <c r="Q35" s="4"/>
      <c r="S35" s="390"/>
      <c r="T35" s="398"/>
      <c r="U35" s="131" t="s">
        <v>350</v>
      </c>
      <c r="V35" s="347">
        <v>0</v>
      </c>
      <c r="W35" s="348" t="s">
        <v>181</v>
      </c>
      <c r="X35" s="358" t="s">
        <v>12</v>
      </c>
      <c r="Y35" s="341" t="s">
        <v>12</v>
      </c>
      <c r="Z35" s="342">
        <v>500</v>
      </c>
      <c r="AA35" s="343">
        <v>1500</v>
      </c>
      <c r="AD35" s="123"/>
      <c r="AE35" s="4" t="s">
        <v>23</v>
      </c>
      <c r="AF35" s="160">
        <v>164300</v>
      </c>
      <c r="AG35" s="16">
        <v>39100</v>
      </c>
      <c r="AH35" s="16">
        <f>AG35+AF35</f>
        <v>203400</v>
      </c>
      <c r="AI35" s="342">
        <f>AH35</f>
        <v>203400</v>
      </c>
      <c r="AJ35" s="342">
        <f>Conv!T39</f>
        <v>203400</v>
      </c>
      <c r="AK35" s="343">
        <f>Conv!X39</f>
        <v>203400</v>
      </c>
      <c r="AL35" s="4"/>
      <c r="AN35" s="163" t="s">
        <v>328</v>
      </c>
      <c r="AO35" s="10">
        <f>Y4+Y5+Y7+Y8+Y11+Y12+Y13+Y14+Y15+Y21+Y22+Y27+Y28</f>
        <v>12000</v>
      </c>
    </row>
    <row r="36" spans="2:41" ht="15" customHeight="1" x14ac:dyDescent="0.3">
      <c r="B36" s="5"/>
      <c r="C36" s="5"/>
      <c r="D36" s="5"/>
      <c r="E36" s="5"/>
      <c r="F36" s="5"/>
      <c r="G36" s="5"/>
      <c r="H36" s="4"/>
      <c r="I36" s="4"/>
      <c r="J36" s="4"/>
      <c r="K36" s="4"/>
      <c r="L36" s="4"/>
      <c r="M36" s="4"/>
      <c r="N36" s="4"/>
      <c r="O36" s="4"/>
      <c r="P36" s="4"/>
      <c r="Q36" s="4"/>
      <c r="S36" s="390"/>
      <c r="T36" s="398"/>
      <c r="U36" s="131" t="s">
        <v>349</v>
      </c>
      <c r="V36" s="347">
        <v>0</v>
      </c>
      <c r="W36" s="348" t="s">
        <v>181</v>
      </c>
      <c r="X36" s="358" t="s">
        <v>12</v>
      </c>
      <c r="Y36" s="341" t="s">
        <v>12</v>
      </c>
      <c r="Z36" s="342">
        <v>500</v>
      </c>
      <c r="AA36" s="343">
        <v>1000</v>
      </c>
      <c r="AD36" s="124"/>
      <c r="AE36" s="107" t="s">
        <v>146</v>
      </c>
      <c r="AF36" s="240">
        <f>AF35/AF33</f>
        <v>0.83783783783783783</v>
      </c>
      <c r="AG36" s="85">
        <f t="shared" ref="AG36:AK36" si="4">AG35/AG33</f>
        <v>0.86504424778761058</v>
      </c>
      <c r="AH36" s="85">
        <f t="shared" si="4"/>
        <v>0.84293410692084547</v>
      </c>
      <c r="AI36" s="85">
        <f t="shared" si="4"/>
        <v>0.84293410692084547</v>
      </c>
      <c r="AJ36" s="85">
        <f t="shared" si="4"/>
        <v>0.65486155827430781</v>
      </c>
      <c r="AK36" s="366">
        <f t="shared" si="4"/>
        <v>0.50509063819220268</v>
      </c>
      <c r="AL36" s="4"/>
      <c r="AN36" s="163" t="s">
        <v>344</v>
      </c>
    </row>
    <row r="37" spans="2:41" x14ac:dyDescent="0.3">
      <c r="B37" s="5"/>
      <c r="C37" s="5"/>
      <c r="D37" s="5"/>
      <c r="E37" s="5"/>
      <c r="F37" s="5"/>
      <c r="G37" s="5"/>
      <c r="H37" s="4"/>
      <c r="I37" s="4"/>
      <c r="J37" s="4"/>
      <c r="K37" s="4"/>
      <c r="L37" s="4"/>
      <c r="M37" s="4"/>
      <c r="N37" s="4"/>
      <c r="O37" s="4"/>
      <c r="P37" s="4"/>
      <c r="Q37" s="4"/>
      <c r="S37" s="390"/>
      <c r="T37" s="399"/>
      <c r="U37" s="132" t="s">
        <v>351</v>
      </c>
      <c r="V37" s="351">
        <v>0</v>
      </c>
      <c r="W37" s="352" t="s">
        <v>181</v>
      </c>
      <c r="X37" s="354" t="s">
        <v>372</v>
      </c>
      <c r="Y37" s="341" t="s">
        <v>12</v>
      </c>
      <c r="Z37" s="342">
        <v>500</v>
      </c>
      <c r="AA37" s="343">
        <v>1500</v>
      </c>
      <c r="AD37" s="122" t="s">
        <v>291</v>
      </c>
      <c r="AE37" s="106"/>
      <c r="AF37" s="280">
        <f>AF38+AF39</f>
        <v>185900</v>
      </c>
      <c r="AG37" s="281">
        <f t="shared" ref="AG37:AK37" si="5">AG38+AG39</f>
        <v>44400</v>
      </c>
      <c r="AH37" s="281">
        <f t="shared" si="5"/>
        <v>230300</v>
      </c>
      <c r="AI37" s="134">
        <f t="shared" si="5"/>
        <v>230300</v>
      </c>
      <c r="AJ37" s="134">
        <f t="shared" si="5"/>
        <v>296800</v>
      </c>
      <c r="AK37" s="365">
        <f t="shared" si="5"/>
        <v>386400</v>
      </c>
      <c r="AL37" s="4"/>
      <c r="AN37" s="163"/>
    </row>
    <row r="38" spans="2:41" ht="14.4" customHeight="1" x14ac:dyDescent="0.3">
      <c r="B38" s="5"/>
      <c r="C38" s="5"/>
      <c r="D38" s="5"/>
      <c r="E38" s="5"/>
      <c r="F38" s="5"/>
      <c r="G38" s="5"/>
      <c r="H38" s="4"/>
      <c r="I38" s="4"/>
      <c r="J38" s="4"/>
      <c r="K38" s="4"/>
      <c r="L38" s="4"/>
      <c r="M38" s="4"/>
      <c r="N38" s="4"/>
      <c r="O38" s="4"/>
      <c r="P38" s="4"/>
      <c r="Q38" s="4"/>
      <c r="S38" s="390"/>
      <c r="T38" s="397" t="s">
        <v>352</v>
      </c>
      <c r="U38" s="130" t="s">
        <v>357</v>
      </c>
      <c r="V38" s="347">
        <v>0</v>
      </c>
      <c r="W38" s="348" t="s">
        <v>181</v>
      </c>
      <c r="X38" s="394" t="s">
        <v>371</v>
      </c>
      <c r="Y38" s="338" t="s">
        <v>12</v>
      </c>
      <c r="Z38" s="339">
        <v>500</v>
      </c>
      <c r="AA38" s="340">
        <v>1000</v>
      </c>
      <c r="AD38" s="123"/>
      <c r="AE38" t="s">
        <v>345</v>
      </c>
      <c r="AF38" s="160">
        <v>31400</v>
      </c>
      <c r="AG38" s="16">
        <v>6000</v>
      </c>
      <c r="AH38" s="16">
        <f>AG38+AF38</f>
        <v>37400</v>
      </c>
      <c r="AI38" s="342">
        <f>AH38</f>
        <v>37400</v>
      </c>
      <c r="AJ38" s="342">
        <f>ROUND(Conv!T13,-2)</f>
        <v>105500</v>
      </c>
      <c r="AK38" s="343">
        <f>ROUND(Conv!X13,-2)</f>
        <v>195100</v>
      </c>
      <c r="AL38" s="4"/>
      <c r="AN38" s="163" t="s">
        <v>329</v>
      </c>
    </row>
    <row r="39" spans="2:41" ht="14.4" customHeight="1" x14ac:dyDescent="0.3">
      <c r="B39" s="5"/>
      <c r="C39" s="5"/>
      <c r="D39" s="5"/>
      <c r="E39" s="5"/>
      <c r="F39" s="5"/>
      <c r="G39" s="5"/>
      <c r="H39" s="4"/>
      <c r="I39" s="4"/>
      <c r="J39" s="4"/>
      <c r="K39" s="4"/>
      <c r="L39" s="4"/>
      <c r="M39" s="4"/>
      <c r="N39" s="4"/>
      <c r="O39" s="4"/>
      <c r="P39" s="4"/>
      <c r="Q39" s="4"/>
      <c r="S39" s="390"/>
      <c r="T39" s="398"/>
      <c r="U39" s="131" t="s">
        <v>358</v>
      </c>
      <c r="V39" s="347">
        <v>0</v>
      </c>
      <c r="W39" s="348" t="s">
        <v>181</v>
      </c>
      <c r="X39" s="395"/>
      <c r="Y39" s="341" t="s">
        <v>12</v>
      </c>
      <c r="Z39" s="342">
        <v>500</v>
      </c>
      <c r="AA39" s="343">
        <v>1000</v>
      </c>
      <c r="AD39" s="123"/>
      <c r="AE39" s="4" t="s">
        <v>23</v>
      </c>
      <c r="AF39" s="160">
        <v>154500</v>
      </c>
      <c r="AG39" s="16">
        <v>38400</v>
      </c>
      <c r="AH39" s="16">
        <f>AG39+AF39</f>
        <v>192900</v>
      </c>
      <c r="AI39" s="342">
        <f>AH39</f>
        <v>192900</v>
      </c>
      <c r="AJ39" s="342">
        <f>ROUND(Conv!T36,-2)</f>
        <v>191300</v>
      </c>
      <c r="AK39" s="343">
        <f>ROUND(Conv!X36,-2)</f>
        <v>191300</v>
      </c>
      <c r="AL39" s="4"/>
      <c r="AN39" s="163" t="s">
        <v>330</v>
      </c>
    </row>
    <row r="40" spans="2:41" ht="15" customHeight="1" x14ac:dyDescent="0.3">
      <c r="B40" s="5"/>
      <c r="C40" s="5"/>
      <c r="D40" s="5"/>
      <c r="E40" s="5"/>
      <c r="F40" s="5"/>
      <c r="G40" s="5"/>
      <c r="H40" s="4"/>
      <c r="I40" s="4"/>
      <c r="J40" s="4"/>
      <c r="K40" s="4"/>
      <c r="L40" s="4"/>
      <c r="M40" s="4"/>
      <c r="N40" s="4"/>
      <c r="O40" s="4"/>
      <c r="P40" s="4"/>
      <c r="Q40" s="4"/>
      <c r="S40" s="390"/>
      <c r="T40" s="398"/>
      <c r="U40" s="131" t="s">
        <v>359</v>
      </c>
      <c r="V40" s="347">
        <v>0</v>
      </c>
      <c r="W40" s="348" t="s">
        <v>181</v>
      </c>
      <c r="X40" s="395"/>
      <c r="Y40" s="341" t="s">
        <v>12</v>
      </c>
      <c r="Z40" s="342">
        <v>500</v>
      </c>
      <c r="AA40" s="343">
        <v>1000</v>
      </c>
      <c r="AD40" s="124"/>
      <c r="AE40" s="107" t="s">
        <v>146</v>
      </c>
      <c r="AF40" s="240">
        <f>AF39/AF37</f>
        <v>0.83109198493813874</v>
      </c>
      <c r="AG40" s="85">
        <f t="shared" ref="AG40:AK40" si="6">AG39/AG37</f>
        <v>0.86486486486486491</v>
      </c>
      <c r="AH40" s="85">
        <f t="shared" si="6"/>
        <v>0.8376031263569258</v>
      </c>
      <c r="AI40" s="85">
        <f t="shared" si="6"/>
        <v>0.8376031263569258</v>
      </c>
      <c r="AJ40" s="85">
        <f t="shared" si="6"/>
        <v>0.64454177897574128</v>
      </c>
      <c r="AK40" s="366">
        <f t="shared" si="6"/>
        <v>0.49508281573498963</v>
      </c>
      <c r="AL40" s="4"/>
      <c r="AN40" s="163" t="s">
        <v>332</v>
      </c>
    </row>
    <row r="41" spans="2:41" x14ac:dyDescent="0.3">
      <c r="B41" s="5"/>
      <c r="C41" s="5"/>
      <c r="D41" s="5"/>
      <c r="E41" s="5"/>
      <c r="F41" s="5"/>
      <c r="G41" s="5"/>
      <c r="H41" s="4"/>
      <c r="I41" s="4"/>
      <c r="J41" s="4"/>
      <c r="K41" s="4"/>
      <c r="L41" s="4"/>
      <c r="M41" s="4"/>
      <c r="N41" s="4"/>
      <c r="O41" s="4"/>
      <c r="P41" s="4"/>
      <c r="Q41" s="4"/>
      <c r="S41" s="390"/>
      <c r="T41" s="399"/>
      <c r="U41" s="132" t="s">
        <v>353</v>
      </c>
      <c r="V41" s="351">
        <v>0</v>
      </c>
      <c r="W41" s="352" t="s">
        <v>181</v>
      </c>
      <c r="X41" s="354" t="s">
        <v>377</v>
      </c>
      <c r="Y41" s="341" t="s">
        <v>12</v>
      </c>
      <c r="Z41" s="342">
        <v>500</v>
      </c>
      <c r="AA41" s="343">
        <v>1500</v>
      </c>
      <c r="AD41" s="269" t="s">
        <v>341</v>
      </c>
      <c r="AE41" s="106"/>
      <c r="AF41" s="239">
        <f>AF42+AF43</f>
        <v>138600</v>
      </c>
      <c r="AG41" s="270">
        <f>AG42+AG43</f>
        <v>28100</v>
      </c>
      <c r="AH41" s="270">
        <f t="shared" ref="AH41:AK41" si="7">AH42+AH43</f>
        <v>166700</v>
      </c>
      <c r="AI41" s="134">
        <f t="shared" si="7"/>
        <v>166700</v>
      </c>
      <c r="AJ41" s="134">
        <f t="shared" si="7"/>
        <v>213300</v>
      </c>
      <c r="AK41" s="365">
        <f t="shared" si="7"/>
        <v>277400</v>
      </c>
      <c r="AL41" s="4"/>
      <c r="AN41" s="163" t="s">
        <v>333</v>
      </c>
    </row>
    <row r="42" spans="2:41" ht="14.4" customHeight="1" x14ac:dyDescent="0.3">
      <c r="B42" s="5"/>
      <c r="C42" s="5"/>
      <c r="D42" s="5"/>
      <c r="E42" s="5"/>
      <c r="F42" s="5"/>
      <c r="G42" s="5"/>
      <c r="H42" s="4"/>
      <c r="I42" s="4"/>
      <c r="J42" s="4"/>
      <c r="K42" s="4"/>
      <c r="L42" s="4"/>
      <c r="M42" s="4"/>
      <c r="N42" s="4"/>
      <c r="O42" s="4"/>
      <c r="P42" s="4"/>
      <c r="Q42" s="4"/>
      <c r="S42" s="390"/>
      <c r="T42" s="400" t="s">
        <v>354</v>
      </c>
      <c r="U42" s="130" t="s">
        <v>360</v>
      </c>
      <c r="V42" s="344">
        <v>0</v>
      </c>
      <c r="W42" s="345" t="s">
        <v>181</v>
      </c>
      <c r="X42" s="396" t="s">
        <v>373</v>
      </c>
      <c r="Y42" s="338" t="s">
        <v>12</v>
      </c>
      <c r="Z42" s="339">
        <v>500</v>
      </c>
      <c r="AA42" s="340">
        <v>1000</v>
      </c>
      <c r="AD42" s="123"/>
      <c r="AE42" t="s">
        <v>345</v>
      </c>
      <c r="AF42" s="160">
        <f>ROUND(Run!F68,-2)</f>
        <v>26300</v>
      </c>
      <c r="AG42" s="16">
        <f>ROUND(Run!K68,-2)</f>
        <v>4500</v>
      </c>
      <c r="AH42" s="16">
        <f>AG42+AF42</f>
        <v>30800</v>
      </c>
      <c r="AI42" s="342">
        <f>AH42</f>
        <v>30800</v>
      </c>
      <c r="AJ42" s="342">
        <f>ROUND(Conv!T8,-2)</f>
        <v>83200</v>
      </c>
      <c r="AK42" s="343">
        <f>ROUND(Conv!X8,-2)</f>
        <v>147300</v>
      </c>
      <c r="AL42" s="4"/>
      <c r="AN42" s="163" t="s">
        <v>331</v>
      </c>
    </row>
    <row r="43" spans="2:41" ht="14.4" customHeight="1" x14ac:dyDescent="0.3">
      <c r="B43" s="5"/>
      <c r="C43" s="5"/>
      <c r="D43" s="5"/>
      <c r="E43" s="5"/>
      <c r="F43" s="5"/>
      <c r="G43" s="5"/>
      <c r="H43" s="4"/>
      <c r="I43" s="4"/>
      <c r="J43" s="4"/>
      <c r="K43" s="4"/>
      <c r="L43" s="4"/>
      <c r="M43" s="4"/>
      <c r="N43" s="4"/>
      <c r="O43" s="4"/>
      <c r="P43" s="4"/>
      <c r="Q43" s="4"/>
      <c r="S43" s="390"/>
      <c r="T43" s="401"/>
      <c r="U43" s="131" t="s">
        <v>361</v>
      </c>
      <c r="V43" s="347">
        <v>0</v>
      </c>
      <c r="W43" s="348" t="s">
        <v>181</v>
      </c>
      <c r="X43" s="395"/>
      <c r="Y43" s="341" t="s">
        <v>12</v>
      </c>
      <c r="Z43" s="342">
        <v>500</v>
      </c>
      <c r="AA43" s="343">
        <v>1500</v>
      </c>
      <c r="AD43" s="123"/>
      <c r="AE43" s="4" t="s">
        <v>23</v>
      </c>
      <c r="AF43" s="160">
        <f>ROUND(Run!E68,-2)</f>
        <v>112300</v>
      </c>
      <c r="AG43" s="16">
        <f>ROUND(Run!J68,-2)</f>
        <v>23600</v>
      </c>
      <c r="AH43" s="16">
        <f>AG43+AF43</f>
        <v>135900</v>
      </c>
      <c r="AI43" s="342">
        <f>AH43</f>
        <v>135900</v>
      </c>
      <c r="AJ43" s="342">
        <f>ROUND(Conv!T31,-2)</f>
        <v>130100</v>
      </c>
      <c r="AK43" s="343">
        <f>ROUND(Conv!X31,-2)</f>
        <v>130100</v>
      </c>
      <c r="AL43" s="4"/>
      <c r="AN43" s="163" t="s">
        <v>335</v>
      </c>
    </row>
    <row r="44" spans="2:41" ht="15" customHeight="1" x14ac:dyDescent="0.3">
      <c r="B44" s="5"/>
      <c r="C44" s="5"/>
      <c r="D44" s="5"/>
      <c r="E44" s="5"/>
      <c r="F44" s="5"/>
      <c r="G44" s="5"/>
      <c r="H44" s="4"/>
      <c r="I44" s="4"/>
      <c r="J44" s="4"/>
      <c r="K44" s="4"/>
      <c r="L44" s="4"/>
      <c r="M44" s="4"/>
      <c r="N44" s="4"/>
      <c r="O44" s="4"/>
      <c r="P44" s="4"/>
      <c r="Q44" s="4"/>
      <c r="S44" s="390"/>
      <c r="T44" s="401"/>
      <c r="U44" s="131" t="s">
        <v>362</v>
      </c>
      <c r="V44" s="347">
        <v>0</v>
      </c>
      <c r="W44" s="348" t="s">
        <v>181</v>
      </c>
      <c r="X44" s="355" t="s">
        <v>374</v>
      </c>
      <c r="Y44" s="341" t="s">
        <v>12</v>
      </c>
      <c r="Z44" s="342">
        <v>500</v>
      </c>
      <c r="AA44" s="343">
        <v>1500</v>
      </c>
      <c r="AD44" s="124"/>
      <c r="AE44" s="107" t="s">
        <v>146</v>
      </c>
      <c r="AF44" s="240">
        <f>AF43/AF41</f>
        <v>0.81024531024531021</v>
      </c>
      <c r="AG44" s="282">
        <f>AG43/AG41</f>
        <v>0.83985765124555156</v>
      </c>
      <c r="AH44" s="282">
        <f t="shared" ref="AH44:AK44" si="8">AH43/AH41</f>
        <v>0.81523695260947815</v>
      </c>
      <c r="AI44" s="85">
        <f t="shared" si="8"/>
        <v>0.81523695260947815</v>
      </c>
      <c r="AJ44" s="85">
        <f t="shared" si="8"/>
        <v>0.60993905297702766</v>
      </c>
      <c r="AK44" s="366">
        <f t="shared" si="8"/>
        <v>0.46899783705839942</v>
      </c>
      <c r="AL44" s="4"/>
      <c r="AN44" s="163" t="s">
        <v>336</v>
      </c>
    </row>
    <row r="45" spans="2:41" x14ac:dyDescent="0.3">
      <c r="B45" s="5"/>
      <c r="C45" s="5"/>
      <c r="D45" s="5"/>
      <c r="E45" s="5"/>
      <c r="F45" s="5"/>
      <c r="G45" s="5"/>
      <c r="H45" s="4"/>
      <c r="I45" s="4"/>
      <c r="J45" s="4"/>
      <c r="K45" s="4"/>
      <c r="L45" s="4"/>
      <c r="M45" s="4"/>
      <c r="N45" s="4"/>
      <c r="O45" s="4"/>
      <c r="P45" s="4"/>
      <c r="Q45" s="4"/>
      <c r="S45" s="390"/>
      <c r="T45" s="402"/>
      <c r="U45" s="132" t="s">
        <v>363</v>
      </c>
      <c r="V45" s="347">
        <v>0</v>
      </c>
      <c r="W45" s="348" t="s">
        <v>181</v>
      </c>
      <c r="X45" s="355" t="s">
        <v>375</v>
      </c>
      <c r="Y45" s="341" t="s">
        <v>12</v>
      </c>
      <c r="Z45" s="342">
        <v>500</v>
      </c>
      <c r="AA45" s="343">
        <v>1500</v>
      </c>
      <c r="AD45" s="105" t="s">
        <v>293</v>
      </c>
      <c r="AE45" s="106"/>
      <c r="AF45" s="239"/>
      <c r="AG45" s="134"/>
      <c r="AH45" s="134"/>
      <c r="AI45" s="339"/>
      <c r="AJ45" s="339"/>
      <c r="AK45" s="340"/>
      <c r="AL45" s="4"/>
      <c r="AN45" s="163"/>
    </row>
    <row r="46" spans="2:41" ht="14.4" customHeight="1" x14ac:dyDescent="0.3">
      <c r="B46" s="5"/>
      <c r="C46" s="5"/>
      <c r="D46" s="5"/>
      <c r="E46" s="5"/>
      <c r="F46" s="5"/>
      <c r="G46" s="5"/>
      <c r="H46" s="4"/>
      <c r="I46" s="4"/>
      <c r="J46" s="4"/>
      <c r="K46" s="4"/>
      <c r="L46" s="4"/>
      <c r="M46" s="4"/>
      <c r="N46" s="4"/>
      <c r="O46" s="4"/>
      <c r="P46" s="4"/>
      <c r="Q46" s="4"/>
      <c r="S46" s="390"/>
      <c r="T46" s="397" t="s">
        <v>355</v>
      </c>
      <c r="U46" s="130" t="s">
        <v>364</v>
      </c>
      <c r="V46" s="344">
        <v>0</v>
      </c>
      <c r="W46" s="345" t="s">
        <v>181</v>
      </c>
      <c r="X46" s="356" t="s">
        <v>376</v>
      </c>
      <c r="Y46" s="338" t="s">
        <v>12</v>
      </c>
      <c r="Z46" s="339">
        <v>500</v>
      </c>
      <c r="AA46" s="340">
        <v>1500</v>
      </c>
      <c r="AD46" s="123"/>
      <c r="AE46" t="s">
        <v>345</v>
      </c>
      <c r="AF46" s="160"/>
      <c r="AG46" s="16"/>
      <c r="AH46" s="16"/>
      <c r="AI46" s="342">
        <f>Y30</f>
        <v>22500</v>
      </c>
      <c r="AJ46" s="342">
        <f>Z30</f>
        <v>67500</v>
      </c>
      <c r="AK46" s="343">
        <f>AA30</f>
        <v>112500</v>
      </c>
      <c r="AL46" s="4"/>
      <c r="AN46" s="163"/>
    </row>
    <row r="47" spans="2:41" x14ac:dyDescent="0.3">
      <c r="B47" s="5"/>
      <c r="C47" s="5"/>
      <c r="D47" s="5"/>
      <c r="E47" s="5"/>
      <c r="F47" s="5"/>
      <c r="G47" s="5"/>
      <c r="H47" s="4"/>
      <c r="I47" s="4"/>
      <c r="J47" s="4"/>
      <c r="K47" s="4"/>
      <c r="L47" s="4"/>
      <c r="M47" s="4"/>
      <c r="N47" s="4"/>
      <c r="O47" s="4"/>
      <c r="P47" s="4"/>
      <c r="Q47" s="4"/>
      <c r="S47" s="390"/>
      <c r="T47" s="398"/>
      <c r="U47" s="131" t="s">
        <v>356</v>
      </c>
      <c r="V47" s="347">
        <v>0</v>
      </c>
      <c r="W47" s="348" t="s">
        <v>181</v>
      </c>
      <c r="X47" s="358" t="s">
        <v>12</v>
      </c>
      <c r="Y47" s="341" t="s">
        <v>12</v>
      </c>
      <c r="Z47" s="342">
        <v>500</v>
      </c>
      <c r="AA47" s="343">
        <v>1000</v>
      </c>
      <c r="AD47" s="123"/>
      <c r="AE47" s="4" t="s">
        <v>23</v>
      </c>
      <c r="AF47" s="160"/>
      <c r="AG47" s="16"/>
      <c r="AH47" s="16"/>
      <c r="AI47" s="342"/>
      <c r="AJ47" s="342"/>
      <c r="AK47" s="343"/>
      <c r="AL47" s="4"/>
      <c r="AN47" s="163"/>
    </row>
    <row r="48" spans="2:41" x14ac:dyDescent="0.3">
      <c r="B48" s="5"/>
      <c r="C48" s="5"/>
      <c r="D48" s="5"/>
      <c r="E48" s="5"/>
      <c r="F48" s="5"/>
      <c r="G48" s="5"/>
      <c r="H48" s="4"/>
      <c r="I48" s="4"/>
      <c r="J48" s="4"/>
      <c r="K48" s="4"/>
      <c r="L48" s="4"/>
      <c r="M48" s="4"/>
      <c r="N48" s="4"/>
      <c r="O48" s="4"/>
      <c r="P48" s="4"/>
      <c r="Q48" s="4"/>
      <c r="S48" s="391"/>
      <c r="T48" s="398"/>
      <c r="U48" s="132" t="s">
        <v>365</v>
      </c>
      <c r="V48" s="351">
        <v>0</v>
      </c>
      <c r="W48" s="352" t="s">
        <v>181</v>
      </c>
      <c r="X48" s="359" t="s">
        <v>12</v>
      </c>
      <c r="Y48" s="341" t="s">
        <v>12</v>
      </c>
      <c r="Z48" s="342">
        <v>500</v>
      </c>
      <c r="AA48" s="343">
        <v>1500</v>
      </c>
      <c r="AD48" s="123"/>
      <c r="AE48" s="4" t="s">
        <v>146</v>
      </c>
      <c r="AF48" s="244"/>
      <c r="AG48" s="152"/>
      <c r="AH48" s="152"/>
      <c r="AI48" s="152"/>
      <c r="AJ48" s="152"/>
      <c r="AK48" s="367"/>
      <c r="AL48" s="4"/>
      <c r="AN48" s="163"/>
    </row>
    <row r="49" spans="2:40" x14ac:dyDescent="0.3">
      <c r="B49" s="5"/>
      <c r="C49" s="5"/>
      <c r="D49" s="5"/>
      <c r="E49" s="5"/>
      <c r="F49" s="5"/>
      <c r="G49" s="5"/>
      <c r="H49" s="4"/>
      <c r="I49" s="4"/>
      <c r="J49" s="4"/>
      <c r="K49" s="4"/>
      <c r="L49" s="4"/>
      <c r="M49" s="4"/>
      <c r="N49" s="4"/>
      <c r="O49" s="4"/>
      <c r="P49" s="4"/>
      <c r="Q49" s="4"/>
      <c r="S49" s="336" t="s">
        <v>17</v>
      </c>
      <c r="T49" s="337"/>
      <c r="U49" s="337"/>
      <c r="V49" s="349">
        <f>SUM(V34:V48)</f>
        <v>0</v>
      </c>
      <c r="W49" s="350" t="s">
        <v>181</v>
      </c>
      <c r="X49" s="353" t="s">
        <v>378</v>
      </c>
      <c r="Y49" s="316">
        <f t="shared" ref="Y49:AA49" si="9">SUM(Y34:Y48)</f>
        <v>0</v>
      </c>
      <c r="Z49" s="317">
        <f t="shared" si="9"/>
        <v>7500</v>
      </c>
      <c r="AA49" s="318">
        <f t="shared" si="9"/>
        <v>19000</v>
      </c>
      <c r="AD49" s="105" t="s">
        <v>154</v>
      </c>
      <c r="AE49" s="106"/>
      <c r="AF49" s="239"/>
      <c r="AG49" s="134"/>
      <c r="AH49" s="134">
        <f t="shared" ref="AH49:AK49" si="10">AH50+AH51</f>
        <v>133900</v>
      </c>
      <c r="AI49" s="134">
        <f t="shared" si="10"/>
        <v>134000</v>
      </c>
      <c r="AJ49" s="134">
        <f t="shared" si="10"/>
        <v>159100</v>
      </c>
      <c r="AK49" s="365">
        <f t="shared" si="10"/>
        <v>183100</v>
      </c>
      <c r="AL49" s="4"/>
      <c r="AN49" s="163" t="s">
        <v>334</v>
      </c>
    </row>
    <row r="50" spans="2:40" x14ac:dyDescent="0.3">
      <c r="B50" s="5"/>
      <c r="C50" s="5"/>
      <c r="D50" s="5"/>
      <c r="E50" s="5"/>
      <c r="F50" s="5"/>
      <c r="G50" s="5"/>
      <c r="H50" s="4"/>
      <c r="I50" s="4"/>
      <c r="J50" s="4"/>
      <c r="K50" s="4"/>
      <c r="L50" s="4"/>
      <c r="M50" s="4"/>
      <c r="N50" s="4"/>
      <c r="O50" s="4"/>
      <c r="P50" s="4"/>
      <c r="Q50" s="4"/>
      <c r="S50" s="4"/>
      <c r="T50" s="4"/>
      <c r="U50" s="4"/>
      <c r="V50" s="4"/>
      <c r="W50" s="4"/>
      <c r="X50" s="4"/>
      <c r="Y50" s="4"/>
      <c r="Z50" s="4"/>
      <c r="AA50" s="4"/>
      <c r="AD50" s="123"/>
      <c r="AE50" s="4" t="s">
        <v>142</v>
      </c>
      <c r="AF50" s="160"/>
      <c r="AG50" s="16"/>
      <c r="AH50" s="16">
        <f>AJ23</f>
        <v>4200</v>
      </c>
      <c r="AI50" s="342">
        <f>ROUND(Conv!Q18,-2)</f>
        <v>4300</v>
      </c>
      <c r="AJ50" s="342">
        <f>ROUND(Conv!U18,-2)</f>
        <v>17200</v>
      </c>
      <c r="AK50" s="343">
        <f>ROUND(Conv!Y18,-2)</f>
        <v>41200</v>
      </c>
      <c r="AL50" s="4"/>
      <c r="AN50" s="163" t="s">
        <v>337</v>
      </c>
    </row>
    <row r="51" spans="2:40" x14ac:dyDescent="0.3">
      <c r="B51" s="5"/>
      <c r="C51" s="5"/>
      <c r="D51" s="5"/>
      <c r="E51" s="5"/>
      <c r="F51" s="5"/>
      <c r="G51" s="5"/>
      <c r="H51" s="4"/>
      <c r="I51" s="4"/>
      <c r="J51" s="4"/>
      <c r="K51" s="4"/>
      <c r="L51" s="4"/>
      <c r="M51" s="4"/>
      <c r="N51" s="4"/>
      <c r="O51" s="4"/>
      <c r="P51" s="4"/>
      <c r="Q51" s="4"/>
      <c r="S51" s="316" t="s">
        <v>22</v>
      </c>
      <c r="T51" s="360"/>
      <c r="U51" s="361"/>
      <c r="V51" s="362">
        <f>V30+V49</f>
        <v>28000</v>
      </c>
      <c r="W51" s="363">
        <f>W30</f>
        <v>114800</v>
      </c>
      <c r="X51" s="364" t="s">
        <v>12</v>
      </c>
      <c r="Y51" s="362">
        <f>Y30+Y49</f>
        <v>22500</v>
      </c>
      <c r="Z51" s="317">
        <f>Z30+Z49</f>
        <v>75000</v>
      </c>
      <c r="AA51" s="318">
        <f>AA30+AA49</f>
        <v>131500</v>
      </c>
      <c r="AD51" s="123"/>
      <c r="AE51" s="4" t="s">
        <v>23</v>
      </c>
      <c r="AF51" s="160"/>
      <c r="AG51" s="16"/>
      <c r="AH51" s="16">
        <f>AJ29</f>
        <v>129700</v>
      </c>
      <c r="AI51" s="342">
        <f>AH51</f>
        <v>129700</v>
      </c>
      <c r="AJ51" s="342">
        <f>ROUND(Conv!U41,-2)</f>
        <v>141900</v>
      </c>
      <c r="AK51" s="343">
        <f>ROUND(Conv!Y41,-2)</f>
        <v>141900</v>
      </c>
      <c r="AL51" s="4"/>
      <c r="AN51" s="9"/>
    </row>
    <row r="52" spans="2:40" x14ac:dyDescent="0.3">
      <c r="B52" s="5"/>
      <c r="C52" s="5"/>
      <c r="D52" s="5"/>
      <c r="E52" s="5"/>
      <c r="F52" s="5"/>
      <c r="G52" s="5"/>
      <c r="H52" s="4"/>
      <c r="I52" s="4"/>
      <c r="J52" s="4"/>
      <c r="K52" s="4"/>
      <c r="L52" s="4"/>
      <c r="M52" s="4"/>
      <c r="N52" s="4"/>
      <c r="O52" s="4"/>
      <c r="P52" s="4"/>
      <c r="Q52" s="4"/>
      <c r="S52" s="125" t="s">
        <v>368</v>
      </c>
      <c r="T52" s="4"/>
      <c r="U52" s="4"/>
      <c r="V52" s="4"/>
      <c r="W52" s="4"/>
      <c r="X52" s="4"/>
      <c r="Y52" s="4"/>
      <c r="Z52" s="4"/>
      <c r="AA52" s="4"/>
      <c r="AD52" s="124"/>
      <c r="AE52" s="107" t="s">
        <v>146</v>
      </c>
      <c r="AF52" s="240"/>
      <c r="AG52" s="85"/>
      <c r="AH52" s="85">
        <f t="shared" ref="AH52:AK52" si="11">AH51/AH49</f>
        <v>0.96863330843913364</v>
      </c>
      <c r="AI52" s="85">
        <f t="shared" si="11"/>
        <v>0.96791044776119406</v>
      </c>
      <c r="AJ52" s="85">
        <f t="shared" si="11"/>
        <v>0.89189189189189189</v>
      </c>
      <c r="AK52" s="366">
        <f t="shared" si="11"/>
        <v>0.77498634625887497</v>
      </c>
      <c r="AL52" s="4"/>
      <c r="AN52" s="9"/>
    </row>
    <row r="53" spans="2:40" ht="14.4" customHeight="1" x14ac:dyDescent="0.3">
      <c r="B53" s="5"/>
      <c r="C53" s="5"/>
      <c r="D53" s="5"/>
      <c r="E53" s="5"/>
      <c r="F53" s="5"/>
      <c r="G53" s="5"/>
      <c r="H53" s="4"/>
      <c r="I53" s="4"/>
      <c r="J53" s="4"/>
      <c r="K53" s="4"/>
      <c r="L53" s="4"/>
      <c r="M53" s="4"/>
      <c r="N53" s="4"/>
      <c r="O53" s="4"/>
      <c r="P53" s="4"/>
      <c r="Q53" s="4"/>
      <c r="S53" s="125" t="s">
        <v>379</v>
      </c>
      <c r="T53" s="4"/>
      <c r="U53" s="4"/>
      <c r="V53" s="4"/>
      <c r="W53" s="4"/>
      <c r="X53" s="4"/>
      <c r="Y53" s="4"/>
      <c r="Z53" s="4"/>
      <c r="AA53" s="4"/>
      <c r="AD53" s="272"/>
      <c r="AE53" s="4"/>
      <c r="AF53" s="4"/>
      <c r="AG53" s="4"/>
      <c r="AH53" s="4"/>
      <c r="AI53" s="4"/>
      <c r="AK53" s="4"/>
      <c r="AL53" s="4"/>
    </row>
    <row r="54" spans="2:40" x14ac:dyDescent="0.3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S54" s="125" t="s">
        <v>380</v>
      </c>
      <c r="T54" s="4"/>
      <c r="U54" s="4"/>
      <c r="V54" s="4"/>
      <c r="W54" s="4"/>
      <c r="X54" s="4"/>
      <c r="Y54" s="4"/>
      <c r="Z54" s="4"/>
      <c r="AA54" s="4"/>
    </row>
    <row r="55" spans="2:40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2:40" x14ac:dyDescent="0.3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X56">
        <v>500</v>
      </c>
      <c r="Y56">
        <v>2000</v>
      </c>
    </row>
    <row r="57" spans="2:40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X57">
        <v>2000</v>
      </c>
      <c r="Y57">
        <v>2000</v>
      </c>
    </row>
    <row r="58" spans="2:40" x14ac:dyDescent="0.3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X58">
        <v>500</v>
      </c>
      <c r="Y58">
        <v>500</v>
      </c>
    </row>
    <row r="59" spans="2:40" x14ac:dyDescent="0.3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X59">
        <v>2000</v>
      </c>
      <c r="Y59">
        <v>3000</v>
      </c>
    </row>
    <row r="60" spans="2:40" x14ac:dyDescent="0.3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X60">
        <v>500</v>
      </c>
      <c r="Y60">
        <v>1000</v>
      </c>
    </row>
    <row r="61" spans="2:40" x14ac:dyDescent="0.3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X61">
        <v>3000</v>
      </c>
      <c r="Y61">
        <v>4000</v>
      </c>
    </row>
    <row r="62" spans="2:40" x14ac:dyDescent="0.3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X62">
        <v>1000</v>
      </c>
      <c r="Y62">
        <v>1000</v>
      </c>
    </row>
    <row r="63" spans="2:40" x14ac:dyDescent="0.3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X63">
        <f>SUM(X56:X62)</f>
        <v>9500</v>
      </c>
      <c r="Y63">
        <f>SUM(Y56:Y62)</f>
        <v>13500</v>
      </c>
    </row>
    <row r="64" spans="2:40" x14ac:dyDescent="0.3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</row>
    <row r="65" spans="2:17" x14ac:dyDescent="0.3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</row>
    <row r="66" spans="2:17" x14ac:dyDescent="0.3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</row>
    <row r="67" spans="2:17" x14ac:dyDescent="0.3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</row>
    <row r="68" spans="2:17" x14ac:dyDescent="0.3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</row>
    <row r="69" spans="2:17" x14ac:dyDescent="0.3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</row>
    <row r="70" spans="2:17" x14ac:dyDescent="0.3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</row>
    <row r="71" spans="2:17" x14ac:dyDescent="0.3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</row>
    <row r="72" spans="2:17" ht="18" x14ac:dyDescent="0.35">
      <c r="B72" s="4"/>
      <c r="C72" s="308" t="s">
        <v>9</v>
      </c>
      <c r="D72" s="311"/>
      <c r="E72" s="312">
        <f>AF23</f>
        <v>0.10170000000000001</v>
      </c>
      <c r="F72" s="313"/>
      <c r="G72" s="314">
        <f>AG23</f>
        <v>0.19099999999999998</v>
      </c>
      <c r="H72" s="315"/>
      <c r="I72" s="307"/>
      <c r="J72" s="307"/>
      <c r="K72" s="307"/>
      <c r="L72" s="308" t="s">
        <v>26</v>
      </c>
      <c r="M72" s="309">
        <f>AH13/1000000</f>
        <v>9.3279999999999994</v>
      </c>
      <c r="N72" s="310" t="s">
        <v>346</v>
      </c>
      <c r="O72" s="4"/>
      <c r="P72" s="4"/>
      <c r="Q72" s="4"/>
    </row>
    <row r="73" spans="2:17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</row>
    <row r="74" spans="2:17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</row>
    <row r="75" spans="2:17" x14ac:dyDescent="0.3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</row>
    <row r="76" spans="2:17" x14ac:dyDescent="0.3">
      <c r="B76" s="4"/>
      <c r="I76" s="4"/>
      <c r="J76" s="4"/>
      <c r="K76" s="4"/>
      <c r="O76" s="4"/>
      <c r="P76" s="4"/>
      <c r="Q76" s="4"/>
    </row>
    <row r="77" spans="2:17" x14ac:dyDescent="0.3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</row>
    <row r="78" spans="2:17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</row>
    <row r="79" spans="2:17" x14ac:dyDescent="0.3">
      <c r="Q79" s="4"/>
    </row>
    <row r="80" spans="2:17" x14ac:dyDescent="0.3">
      <c r="Q80" s="4"/>
    </row>
    <row r="81" spans="17:27" x14ac:dyDescent="0.3">
      <c r="Q81" s="4"/>
    </row>
    <row r="82" spans="17:27" x14ac:dyDescent="0.3">
      <c r="Q82" s="4"/>
    </row>
    <row r="83" spans="17:27" x14ac:dyDescent="0.3">
      <c r="Q83" s="4"/>
      <c r="T83" s="4"/>
      <c r="U83" s="4"/>
      <c r="V83" s="4"/>
      <c r="W83" s="4"/>
      <c r="X83" s="4"/>
      <c r="Y83" s="4"/>
      <c r="Z83" s="4"/>
      <c r="AA83" s="4"/>
    </row>
    <row r="84" spans="17:27" x14ac:dyDescent="0.3">
      <c r="Q84" s="4"/>
    </row>
    <row r="85" spans="17:27" x14ac:dyDescent="0.3">
      <c r="Q85" s="4"/>
    </row>
    <row r="86" spans="17:27" x14ac:dyDescent="0.3">
      <c r="Q86" s="4"/>
    </row>
    <row r="87" spans="17:27" x14ac:dyDescent="0.3">
      <c r="Q87" s="4"/>
    </row>
    <row r="88" spans="17:27" x14ac:dyDescent="0.3">
      <c r="Q88" s="4"/>
    </row>
    <row r="89" spans="17:27" x14ac:dyDescent="0.3">
      <c r="Q89" s="4"/>
    </row>
    <row r="90" spans="17:27" x14ac:dyDescent="0.3">
      <c r="Q90" s="4"/>
    </row>
    <row r="91" spans="17:27" x14ac:dyDescent="0.3">
      <c r="Q91" s="4"/>
    </row>
    <row r="92" spans="17:27" x14ac:dyDescent="0.3">
      <c r="Q92" s="4"/>
    </row>
    <row r="93" spans="17:27" x14ac:dyDescent="0.3">
      <c r="Q93" s="4"/>
    </row>
    <row r="94" spans="17:27" x14ac:dyDescent="0.3">
      <c r="Q94" s="4"/>
    </row>
    <row r="95" spans="17:27" x14ac:dyDescent="0.3">
      <c r="Q95" s="4"/>
    </row>
    <row r="96" spans="17:27" x14ac:dyDescent="0.3">
      <c r="Q96" s="4"/>
    </row>
    <row r="97" spans="17:17" x14ac:dyDescent="0.3">
      <c r="Q97" s="4"/>
    </row>
    <row r="98" spans="17:17" x14ac:dyDescent="0.3">
      <c r="Q98" s="4"/>
    </row>
  </sheetData>
  <mergeCells count="29">
    <mergeCell ref="AK19:AK22"/>
    <mergeCell ref="AK25:AK28"/>
    <mergeCell ref="W12:W15"/>
    <mergeCell ref="W17:W28"/>
    <mergeCell ref="AF28:AG28"/>
    <mergeCell ref="AI19:AI22"/>
    <mergeCell ref="AH19:AH20"/>
    <mergeCell ref="AF27:AG27"/>
    <mergeCell ref="AH25:AH28"/>
    <mergeCell ref="AI25:AI28"/>
    <mergeCell ref="AD31:AE32"/>
    <mergeCell ref="AD24:AD29"/>
    <mergeCell ref="T34:T37"/>
    <mergeCell ref="T4:T5"/>
    <mergeCell ref="T6:T11"/>
    <mergeCell ref="T12:T15"/>
    <mergeCell ref="T17:T28"/>
    <mergeCell ref="AD18:AD23"/>
    <mergeCell ref="W6:W11"/>
    <mergeCell ref="V7:V8"/>
    <mergeCell ref="V21:V22"/>
    <mergeCell ref="V27:V28"/>
    <mergeCell ref="S33:S48"/>
    <mergeCell ref="S3:S29"/>
    <mergeCell ref="X38:X40"/>
    <mergeCell ref="X42:X43"/>
    <mergeCell ref="T46:T48"/>
    <mergeCell ref="T38:T41"/>
    <mergeCell ref="T42:T45"/>
  </mergeCells>
  <printOptions horizontalCentered="1" verticalCentered="1"/>
  <pageMargins left="0.7" right="0.7" top="0.5" bottom="0.5" header="0.3" footer="0.3"/>
  <pageSetup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96E9E-86AC-4844-A946-DFFA4DF3CA13}">
  <dimension ref="A1:O178"/>
  <sheetViews>
    <sheetView workbookViewId="0">
      <pane xSplit="1" ySplit="1" topLeftCell="C86" activePane="bottomRight" state="frozen"/>
      <selection pane="topRight" activeCell="B1" sqref="B1"/>
      <selection pane="bottomLeft" activeCell="A2" sqref="A2"/>
      <selection pane="bottomRight" activeCell="K107" sqref="K107"/>
    </sheetView>
  </sheetViews>
  <sheetFormatPr defaultRowHeight="14.4" x14ac:dyDescent="0.3"/>
  <cols>
    <col min="1" max="1" width="2.6640625" customWidth="1"/>
    <col min="2" max="2" width="25.44140625" customWidth="1"/>
    <col min="3" max="3" width="17.77734375" customWidth="1"/>
    <col min="4" max="4" width="29.44140625" customWidth="1"/>
    <col min="5" max="5" width="18.33203125" customWidth="1"/>
    <col min="7" max="7" width="30.44140625" customWidth="1"/>
    <col min="8" max="8" width="14.33203125" customWidth="1"/>
    <col min="9" max="9" width="24.5546875" customWidth="1"/>
    <col min="10" max="10" width="14.5546875" customWidth="1"/>
    <col min="11" max="11" width="22.88671875" customWidth="1"/>
    <col min="12" max="12" width="15" customWidth="1"/>
    <col min="13" max="13" width="21.44140625" customWidth="1"/>
    <col min="14" max="14" width="39" customWidth="1"/>
  </cols>
  <sheetData>
    <row r="1" spans="1:14" x14ac:dyDescent="0.3">
      <c r="A1" s="153"/>
      <c r="B1" s="153" t="s">
        <v>166</v>
      </c>
      <c r="C1" s="153" t="s">
        <v>167</v>
      </c>
      <c r="D1" s="153" t="s">
        <v>168</v>
      </c>
      <c r="E1" s="153" t="s">
        <v>169</v>
      </c>
      <c r="F1" s="154" t="s">
        <v>170</v>
      </c>
      <c r="G1" s="154" t="s">
        <v>171</v>
      </c>
      <c r="H1" s="154" t="s">
        <v>172</v>
      </c>
      <c r="I1" s="153" t="s">
        <v>173</v>
      </c>
      <c r="J1" s="154" t="s">
        <v>174</v>
      </c>
      <c r="K1" s="154" t="s">
        <v>175</v>
      </c>
      <c r="L1" s="153" t="s">
        <v>176</v>
      </c>
      <c r="M1" s="153" t="s">
        <v>177</v>
      </c>
      <c r="N1" s="153" t="s">
        <v>178</v>
      </c>
    </row>
    <row r="2" spans="1:14" x14ac:dyDescent="0.3">
      <c r="B2" t="s">
        <v>35</v>
      </c>
      <c r="C2" t="s">
        <v>1</v>
      </c>
      <c r="D2" t="s">
        <v>50</v>
      </c>
      <c r="E2" t="s">
        <v>5</v>
      </c>
      <c r="F2" s="16">
        <f>Summary!V4</f>
        <v>610</v>
      </c>
      <c r="G2" t="s">
        <v>205</v>
      </c>
      <c r="H2" t="s">
        <v>185</v>
      </c>
      <c r="I2" t="s">
        <v>316</v>
      </c>
      <c r="J2" s="79" t="s">
        <v>323</v>
      </c>
      <c r="K2" s="9" t="s">
        <v>180</v>
      </c>
      <c r="L2" t="s">
        <v>317</v>
      </c>
      <c r="M2" s="161" t="s">
        <v>318</v>
      </c>
      <c r="N2" t="s">
        <v>326</v>
      </c>
    </row>
    <row r="3" spans="1:14" x14ac:dyDescent="0.3">
      <c r="B3" t="s">
        <v>35</v>
      </c>
      <c r="C3" t="s">
        <v>1</v>
      </c>
      <c r="D3" t="s">
        <v>51</v>
      </c>
      <c r="E3" t="s">
        <v>5</v>
      </c>
      <c r="F3" s="16">
        <f>Summary!V5</f>
        <v>640</v>
      </c>
      <c r="G3" t="s">
        <v>205</v>
      </c>
      <c r="I3" t="s">
        <v>198</v>
      </c>
      <c r="K3" s="9" t="s">
        <v>180</v>
      </c>
      <c r="L3" t="s">
        <v>209</v>
      </c>
      <c r="M3" s="161" t="s">
        <v>210</v>
      </c>
    </row>
    <row r="4" spans="1:14" x14ac:dyDescent="0.3">
      <c r="B4" t="s">
        <v>35</v>
      </c>
      <c r="C4" t="s">
        <v>1</v>
      </c>
      <c r="D4" s="155" t="s">
        <v>271</v>
      </c>
      <c r="E4" t="s">
        <v>5</v>
      </c>
      <c r="F4" s="16" t="str">
        <f>Summary!V6</f>
        <v>na</v>
      </c>
      <c r="G4" t="s">
        <v>205</v>
      </c>
      <c r="K4" s="9" t="s">
        <v>180</v>
      </c>
      <c r="N4" t="s">
        <v>179</v>
      </c>
    </row>
    <row r="5" spans="1:14" x14ac:dyDescent="0.3">
      <c r="B5" t="s">
        <v>35</v>
      </c>
      <c r="C5" t="s">
        <v>1</v>
      </c>
      <c r="D5" s="155" t="s">
        <v>45</v>
      </c>
      <c r="E5" t="s">
        <v>5</v>
      </c>
      <c r="F5" s="16">
        <f>Summary!V7</f>
        <v>340</v>
      </c>
      <c r="G5" t="s">
        <v>205</v>
      </c>
      <c r="H5" t="s">
        <v>185</v>
      </c>
      <c r="I5" t="s">
        <v>316</v>
      </c>
      <c r="J5" s="79" t="s">
        <v>324</v>
      </c>
      <c r="K5" s="9" t="s">
        <v>180</v>
      </c>
      <c r="L5" t="s">
        <v>317</v>
      </c>
      <c r="M5" s="161" t="s">
        <v>318</v>
      </c>
      <c r="N5" t="s">
        <v>315</v>
      </c>
    </row>
    <row r="6" spans="1:14" x14ac:dyDescent="0.3">
      <c r="B6" t="s">
        <v>35</v>
      </c>
      <c r="C6" t="s">
        <v>1</v>
      </c>
      <c r="D6" s="155" t="s">
        <v>46</v>
      </c>
      <c r="E6" t="s">
        <v>5</v>
      </c>
      <c r="F6" s="16" t="str">
        <f>Summary!V9</f>
        <v>na</v>
      </c>
      <c r="G6" t="s">
        <v>205</v>
      </c>
      <c r="K6" s="9" t="s">
        <v>180</v>
      </c>
      <c r="N6" t="s">
        <v>179</v>
      </c>
    </row>
    <row r="7" spans="1:14" x14ac:dyDescent="0.3">
      <c r="B7" t="s">
        <v>35</v>
      </c>
      <c r="C7" t="s">
        <v>1</v>
      </c>
      <c r="D7" s="155" t="s">
        <v>281</v>
      </c>
      <c r="E7" t="s">
        <v>5</v>
      </c>
      <c r="F7" s="16" t="str">
        <f>Summary!V10</f>
        <v>na</v>
      </c>
      <c r="G7" t="s">
        <v>205</v>
      </c>
      <c r="K7" s="9" t="s">
        <v>180</v>
      </c>
      <c r="N7" t="s">
        <v>179</v>
      </c>
    </row>
    <row r="8" spans="1:14" x14ac:dyDescent="0.3">
      <c r="B8" t="s">
        <v>35</v>
      </c>
      <c r="C8" t="s">
        <v>1</v>
      </c>
      <c r="D8" s="155" t="s">
        <v>47</v>
      </c>
      <c r="E8" t="s">
        <v>5</v>
      </c>
      <c r="F8" s="16">
        <f>Summary!V7</f>
        <v>340</v>
      </c>
      <c r="G8" t="s">
        <v>205</v>
      </c>
      <c r="H8" t="s">
        <v>185</v>
      </c>
      <c r="I8" t="s">
        <v>316</v>
      </c>
      <c r="J8" s="79" t="s">
        <v>323</v>
      </c>
      <c r="K8" s="9" t="s">
        <v>180</v>
      </c>
      <c r="L8" t="s">
        <v>317</v>
      </c>
      <c r="M8" s="161" t="s">
        <v>318</v>
      </c>
      <c r="N8" t="s">
        <v>320</v>
      </c>
    </row>
    <row r="9" spans="1:14" x14ac:dyDescent="0.3">
      <c r="B9" t="s">
        <v>35</v>
      </c>
      <c r="C9" t="s">
        <v>1</v>
      </c>
      <c r="D9" s="155" t="s">
        <v>273</v>
      </c>
      <c r="E9" t="s">
        <v>5</v>
      </c>
      <c r="F9" s="16">
        <f>Summary!V11</f>
        <v>2040</v>
      </c>
      <c r="G9" t="s">
        <v>205</v>
      </c>
      <c r="K9" s="9" t="s">
        <v>180</v>
      </c>
      <c r="N9" t="s">
        <v>179</v>
      </c>
    </row>
    <row r="10" spans="1:14" x14ac:dyDescent="0.3">
      <c r="B10" t="s">
        <v>35</v>
      </c>
      <c r="C10" t="s">
        <v>1</v>
      </c>
      <c r="D10" t="s">
        <v>269</v>
      </c>
      <c r="E10" t="s">
        <v>5</v>
      </c>
      <c r="F10" s="16">
        <f>Summary!V12</f>
        <v>610</v>
      </c>
      <c r="G10" t="s">
        <v>205</v>
      </c>
      <c r="H10" t="s">
        <v>321</v>
      </c>
      <c r="I10" t="s">
        <v>198</v>
      </c>
      <c r="K10" s="9" t="s">
        <v>180</v>
      </c>
      <c r="L10" t="s">
        <v>200</v>
      </c>
      <c r="M10" s="161" t="s">
        <v>199</v>
      </c>
    </row>
    <row r="11" spans="1:14" x14ac:dyDescent="0.3">
      <c r="B11" t="s">
        <v>35</v>
      </c>
      <c r="C11" t="s">
        <v>1</v>
      </c>
      <c r="D11" s="156" t="s">
        <v>270</v>
      </c>
      <c r="E11" t="s">
        <v>5</v>
      </c>
      <c r="F11" s="16">
        <f>Summary!V13</f>
        <v>2630</v>
      </c>
      <c r="G11" t="s">
        <v>205</v>
      </c>
      <c r="H11" t="s">
        <v>185</v>
      </c>
      <c r="I11" t="s">
        <v>325</v>
      </c>
      <c r="J11" s="79" t="s">
        <v>323</v>
      </c>
      <c r="K11" s="9" t="s">
        <v>180</v>
      </c>
      <c r="L11" t="s">
        <v>317</v>
      </c>
      <c r="M11" s="161" t="s">
        <v>318</v>
      </c>
    </row>
    <row r="12" spans="1:14" x14ac:dyDescent="0.3">
      <c r="B12" t="s">
        <v>35</v>
      </c>
      <c r="C12" t="s">
        <v>1</v>
      </c>
      <c r="D12" s="156" t="s">
        <v>41</v>
      </c>
      <c r="E12" t="s">
        <v>5</v>
      </c>
      <c r="F12" s="16">
        <f>Summary!V14</f>
        <v>2330</v>
      </c>
      <c r="G12" t="s">
        <v>205</v>
      </c>
      <c r="H12" t="s">
        <v>185</v>
      </c>
      <c r="I12" t="s">
        <v>325</v>
      </c>
      <c r="J12" s="79" t="s">
        <v>323</v>
      </c>
      <c r="K12" s="9" t="s">
        <v>180</v>
      </c>
      <c r="L12" t="s">
        <v>317</v>
      </c>
      <c r="M12" s="161" t="s">
        <v>318</v>
      </c>
    </row>
    <row r="13" spans="1:14" x14ac:dyDescent="0.3">
      <c r="B13" t="s">
        <v>35</v>
      </c>
      <c r="C13" t="s">
        <v>1</v>
      </c>
      <c r="D13" s="156" t="s">
        <v>42</v>
      </c>
      <c r="E13" t="s">
        <v>5</v>
      </c>
      <c r="F13" s="16">
        <f>Summary!V15</f>
        <v>1190</v>
      </c>
      <c r="G13" t="s">
        <v>205</v>
      </c>
      <c r="H13" t="s">
        <v>321</v>
      </c>
      <c r="I13" t="s">
        <v>198</v>
      </c>
      <c r="K13" s="9" t="s">
        <v>180</v>
      </c>
      <c r="L13" t="s">
        <v>200</v>
      </c>
      <c r="M13" s="161" t="s">
        <v>199</v>
      </c>
    </row>
    <row r="14" spans="1:14" x14ac:dyDescent="0.3">
      <c r="B14" t="s">
        <v>35</v>
      </c>
      <c r="C14" t="s">
        <v>1</v>
      </c>
      <c r="D14" s="156" t="s">
        <v>48</v>
      </c>
      <c r="E14" t="s">
        <v>5</v>
      </c>
      <c r="F14" s="16" t="str">
        <f>Summary!V16</f>
        <v>na</v>
      </c>
      <c r="G14" t="s">
        <v>205</v>
      </c>
      <c r="K14" s="9" t="s">
        <v>180</v>
      </c>
      <c r="L14" t="s">
        <v>201</v>
      </c>
      <c r="M14" s="161" t="s">
        <v>202</v>
      </c>
    </row>
    <row r="15" spans="1:14" x14ac:dyDescent="0.3">
      <c r="B15" t="s">
        <v>35</v>
      </c>
      <c r="C15" t="s">
        <v>1</v>
      </c>
      <c r="D15" s="156" t="s">
        <v>53</v>
      </c>
      <c r="E15" t="s">
        <v>5</v>
      </c>
      <c r="F15" s="16" t="str">
        <f>Summary!V17</f>
        <v>na</v>
      </c>
      <c r="G15" t="s">
        <v>205</v>
      </c>
      <c r="K15" s="9" t="s">
        <v>180</v>
      </c>
      <c r="N15" t="s">
        <v>179</v>
      </c>
    </row>
    <row r="16" spans="1:14" x14ac:dyDescent="0.3">
      <c r="B16" t="s">
        <v>35</v>
      </c>
      <c r="C16" t="s">
        <v>1</v>
      </c>
      <c r="D16" s="156" t="s">
        <v>54</v>
      </c>
      <c r="E16" t="s">
        <v>5</v>
      </c>
      <c r="F16" s="16" t="str">
        <f>Summary!V18</f>
        <v>na</v>
      </c>
      <c r="G16" t="s">
        <v>205</v>
      </c>
      <c r="K16" s="9" t="s">
        <v>180</v>
      </c>
      <c r="N16" t="s">
        <v>179</v>
      </c>
    </row>
    <row r="17" spans="2:15" x14ac:dyDescent="0.3">
      <c r="B17" t="s">
        <v>35</v>
      </c>
      <c r="C17" t="s">
        <v>1</v>
      </c>
      <c r="D17" s="156" t="s">
        <v>55</v>
      </c>
      <c r="E17" t="s">
        <v>5</v>
      </c>
      <c r="F17" s="16" t="str">
        <f>Summary!V19</f>
        <v>na</v>
      </c>
      <c r="G17" t="s">
        <v>205</v>
      </c>
      <c r="K17" s="9" t="s">
        <v>180</v>
      </c>
      <c r="N17" t="s">
        <v>179</v>
      </c>
    </row>
    <row r="18" spans="2:15" x14ac:dyDescent="0.3">
      <c r="B18" t="s">
        <v>35</v>
      </c>
      <c r="C18" t="s">
        <v>1</v>
      </c>
      <c r="D18" s="156" t="s">
        <v>56</v>
      </c>
      <c r="E18" t="s">
        <v>5</v>
      </c>
      <c r="F18" s="16" t="str">
        <f>Summary!V20</f>
        <v>na</v>
      </c>
      <c r="G18" t="s">
        <v>205</v>
      </c>
      <c r="K18" s="9" t="s">
        <v>180</v>
      </c>
      <c r="N18" t="s">
        <v>179</v>
      </c>
    </row>
    <row r="19" spans="2:15" x14ac:dyDescent="0.3">
      <c r="B19" t="s">
        <v>35</v>
      </c>
      <c r="C19" t="s">
        <v>1</v>
      </c>
      <c r="D19" t="s">
        <v>60</v>
      </c>
      <c r="E19" t="s">
        <v>5</v>
      </c>
      <c r="F19" s="16">
        <f>Summary!V21</f>
        <v>2470</v>
      </c>
      <c r="G19" t="s">
        <v>205</v>
      </c>
      <c r="H19" t="s">
        <v>185</v>
      </c>
      <c r="I19" t="s">
        <v>316</v>
      </c>
      <c r="J19" s="79" t="s">
        <v>323</v>
      </c>
      <c r="K19" s="9" t="s">
        <v>180</v>
      </c>
      <c r="L19" t="s">
        <v>317</v>
      </c>
      <c r="M19" s="161" t="s">
        <v>318</v>
      </c>
      <c r="N19" t="s">
        <v>319</v>
      </c>
    </row>
    <row r="20" spans="2:15" x14ac:dyDescent="0.3">
      <c r="B20" t="s">
        <v>35</v>
      </c>
      <c r="C20" t="s">
        <v>1</v>
      </c>
      <c r="D20" t="s">
        <v>61</v>
      </c>
      <c r="E20" t="s">
        <v>5</v>
      </c>
      <c r="F20" s="16">
        <f>Summary!V21</f>
        <v>2470</v>
      </c>
      <c r="G20" t="s">
        <v>205</v>
      </c>
      <c r="H20" t="s">
        <v>185</v>
      </c>
      <c r="I20" t="s">
        <v>316</v>
      </c>
      <c r="J20" s="79" t="s">
        <v>323</v>
      </c>
      <c r="K20" s="9" t="s">
        <v>180</v>
      </c>
      <c r="L20" t="s">
        <v>317</v>
      </c>
      <c r="M20" s="161" t="s">
        <v>318</v>
      </c>
      <c r="N20" t="s">
        <v>319</v>
      </c>
    </row>
    <row r="21" spans="2:15" x14ac:dyDescent="0.3">
      <c r="B21" t="s">
        <v>35</v>
      </c>
      <c r="C21" t="s">
        <v>1</v>
      </c>
      <c r="D21" t="s">
        <v>275</v>
      </c>
      <c r="E21" t="s">
        <v>5</v>
      </c>
      <c r="F21" s="16" t="str">
        <f>Summary!V23</f>
        <v>na</v>
      </c>
      <c r="G21" t="s">
        <v>205</v>
      </c>
      <c r="K21" s="9" t="s">
        <v>180</v>
      </c>
      <c r="N21" t="s">
        <v>179</v>
      </c>
      <c r="O21" t="s">
        <v>195</v>
      </c>
    </row>
    <row r="22" spans="2:15" x14ac:dyDescent="0.3">
      <c r="B22" t="s">
        <v>35</v>
      </c>
      <c r="C22" t="s">
        <v>1</v>
      </c>
      <c r="D22" t="s">
        <v>57</v>
      </c>
      <c r="E22" t="s">
        <v>5</v>
      </c>
      <c r="F22" s="16" t="str">
        <f>Summary!V24</f>
        <v>na</v>
      </c>
      <c r="G22" t="s">
        <v>205</v>
      </c>
      <c r="K22" s="9" t="s">
        <v>180</v>
      </c>
      <c r="N22" t="s">
        <v>179</v>
      </c>
    </row>
    <row r="23" spans="2:15" x14ac:dyDescent="0.3">
      <c r="B23" t="s">
        <v>35</v>
      </c>
      <c r="C23" t="s">
        <v>1</v>
      </c>
      <c r="D23" t="s">
        <v>58</v>
      </c>
      <c r="E23" t="s">
        <v>5</v>
      </c>
      <c r="F23" s="16" t="str">
        <f>Summary!V25</f>
        <v>na</v>
      </c>
      <c r="G23" t="s">
        <v>205</v>
      </c>
      <c r="K23" s="9" t="s">
        <v>180</v>
      </c>
      <c r="N23" t="s">
        <v>179</v>
      </c>
    </row>
    <row r="24" spans="2:15" x14ac:dyDescent="0.3">
      <c r="B24" t="s">
        <v>35</v>
      </c>
      <c r="C24" t="s">
        <v>1</v>
      </c>
      <c r="D24" t="s">
        <v>272</v>
      </c>
      <c r="E24" t="s">
        <v>5</v>
      </c>
      <c r="F24" s="16" t="str">
        <f>Summary!V26</f>
        <v>na</v>
      </c>
      <c r="G24" t="s">
        <v>205</v>
      </c>
      <c r="K24" s="9" t="s">
        <v>180</v>
      </c>
      <c r="N24" t="s">
        <v>179</v>
      </c>
    </row>
    <row r="25" spans="2:15" x14ac:dyDescent="0.3">
      <c r="B25" t="s">
        <v>35</v>
      </c>
      <c r="C25" t="s">
        <v>1</v>
      </c>
      <c r="D25" t="s">
        <v>59</v>
      </c>
      <c r="E25" t="s">
        <v>5</v>
      </c>
      <c r="F25" s="16">
        <f>Summary!V27</f>
        <v>1220</v>
      </c>
      <c r="G25" t="s">
        <v>205</v>
      </c>
      <c r="K25" s="9" t="s">
        <v>180</v>
      </c>
      <c r="N25" t="s">
        <v>179</v>
      </c>
    </row>
    <row r="26" spans="2:15" x14ac:dyDescent="0.3">
      <c r="B26" t="s">
        <v>35</v>
      </c>
      <c r="C26" t="s">
        <v>1</v>
      </c>
      <c r="D26" t="s">
        <v>276</v>
      </c>
      <c r="E26" t="s">
        <v>5</v>
      </c>
      <c r="F26" s="16">
        <f>Summary!V28</f>
        <v>0</v>
      </c>
      <c r="G26" t="s">
        <v>205</v>
      </c>
      <c r="K26" s="9" t="s">
        <v>180</v>
      </c>
      <c r="N26" t="s">
        <v>179</v>
      </c>
    </row>
    <row r="27" spans="2:15" s="1" customFormat="1" x14ac:dyDescent="0.3">
      <c r="B27" s="1" t="s">
        <v>35</v>
      </c>
      <c r="C27" s="1" t="s">
        <v>1</v>
      </c>
      <c r="D27" s="1" t="s">
        <v>22</v>
      </c>
      <c r="E27" s="1" t="s">
        <v>5</v>
      </c>
      <c r="F27" s="113">
        <f>Summary!V30</f>
        <v>28000</v>
      </c>
      <c r="G27" s="1" t="s">
        <v>205</v>
      </c>
      <c r="H27" s="1" t="s">
        <v>185</v>
      </c>
      <c r="I27" s="1" t="s">
        <v>294</v>
      </c>
      <c r="J27" s="101" t="s">
        <v>323</v>
      </c>
      <c r="K27" s="101" t="s">
        <v>180</v>
      </c>
      <c r="L27" s="1" t="s">
        <v>297</v>
      </c>
      <c r="M27" s="162" t="s">
        <v>298</v>
      </c>
      <c r="N27" s="1" t="s">
        <v>179</v>
      </c>
    </row>
    <row r="28" spans="2:15" x14ac:dyDescent="0.3">
      <c r="B28" t="s">
        <v>35</v>
      </c>
      <c r="C28" t="s">
        <v>1</v>
      </c>
      <c r="D28" t="s">
        <v>50</v>
      </c>
      <c r="E28" t="s">
        <v>62</v>
      </c>
      <c r="F28" s="16">
        <f>'Natl Spnr'!G4</f>
        <v>8677</v>
      </c>
      <c r="G28" t="s">
        <v>205</v>
      </c>
      <c r="H28" t="s">
        <v>321</v>
      </c>
      <c r="I28" t="s">
        <v>296</v>
      </c>
      <c r="J28" s="9" t="s">
        <v>165</v>
      </c>
      <c r="K28" s="9" t="s">
        <v>180</v>
      </c>
      <c r="L28" t="s">
        <v>212</v>
      </c>
      <c r="M28" s="161" t="s">
        <v>211</v>
      </c>
    </row>
    <row r="29" spans="2:15" x14ac:dyDescent="0.3">
      <c r="B29" t="s">
        <v>35</v>
      </c>
      <c r="C29" t="s">
        <v>1</v>
      </c>
      <c r="D29" t="s">
        <v>51</v>
      </c>
      <c r="E29" t="s">
        <v>62</v>
      </c>
      <c r="F29" s="16">
        <f>'Natl Spnr'!G5</f>
        <v>12953</v>
      </c>
      <c r="G29" t="s">
        <v>205</v>
      </c>
      <c r="H29" t="s">
        <v>321</v>
      </c>
      <c r="I29" t="s">
        <v>296</v>
      </c>
      <c r="J29" s="9" t="s">
        <v>165</v>
      </c>
      <c r="K29" s="9" t="s">
        <v>180</v>
      </c>
      <c r="L29" t="s">
        <v>209</v>
      </c>
      <c r="M29" s="161" t="s">
        <v>210</v>
      </c>
    </row>
    <row r="30" spans="2:15" x14ac:dyDescent="0.3">
      <c r="B30" t="s">
        <v>35</v>
      </c>
      <c r="C30" t="s">
        <v>1</v>
      </c>
      <c r="D30" s="191" t="s">
        <v>271</v>
      </c>
      <c r="E30" t="s">
        <v>62</v>
      </c>
      <c r="F30" s="16" t="s">
        <v>181</v>
      </c>
      <c r="G30" t="s">
        <v>205</v>
      </c>
      <c r="J30" s="9" t="s">
        <v>165</v>
      </c>
      <c r="K30" s="9" t="s">
        <v>180</v>
      </c>
      <c r="N30" t="s">
        <v>179</v>
      </c>
    </row>
    <row r="31" spans="2:15" x14ac:dyDescent="0.3">
      <c r="B31" t="s">
        <v>35</v>
      </c>
      <c r="C31" t="s">
        <v>1</v>
      </c>
      <c r="D31" s="191" t="s">
        <v>45</v>
      </c>
      <c r="E31" t="s">
        <v>62</v>
      </c>
      <c r="F31" s="16" t="s">
        <v>181</v>
      </c>
      <c r="G31" t="s">
        <v>205</v>
      </c>
      <c r="J31" s="9" t="s">
        <v>165</v>
      </c>
      <c r="K31" s="9" t="s">
        <v>180</v>
      </c>
      <c r="N31" t="s">
        <v>179</v>
      </c>
    </row>
    <row r="32" spans="2:15" x14ac:dyDescent="0.3">
      <c r="B32" t="s">
        <v>35</v>
      </c>
      <c r="C32" t="s">
        <v>1</v>
      </c>
      <c r="D32" s="191" t="s">
        <v>46</v>
      </c>
      <c r="E32" t="s">
        <v>62</v>
      </c>
      <c r="F32" s="16" t="s">
        <v>181</v>
      </c>
      <c r="G32" t="s">
        <v>205</v>
      </c>
      <c r="J32" s="9" t="s">
        <v>165</v>
      </c>
      <c r="K32" s="9" t="s">
        <v>180</v>
      </c>
      <c r="N32" t="s">
        <v>179</v>
      </c>
    </row>
    <row r="33" spans="2:14" x14ac:dyDescent="0.3">
      <c r="B33" t="s">
        <v>35</v>
      </c>
      <c r="C33" t="s">
        <v>1</v>
      </c>
      <c r="D33" s="191" t="s">
        <v>274</v>
      </c>
      <c r="E33" t="s">
        <v>62</v>
      </c>
      <c r="F33" s="16" t="s">
        <v>181</v>
      </c>
      <c r="G33" t="s">
        <v>205</v>
      </c>
      <c r="J33" s="9" t="s">
        <v>165</v>
      </c>
      <c r="K33" s="9" t="s">
        <v>180</v>
      </c>
      <c r="N33" t="s">
        <v>179</v>
      </c>
    </row>
    <row r="34" spans="2:14" x14ac:dyDescent="0.3">
      <c r="B34" t="s">
        <v>35</v>
      </c>
      <c r="C34" t="s">
        <v>1</v>
      </c>
      <c r="D34" s="191" t="s">
        <v>47</v>
      </c>
      <c r="E34" t="s">
        <v>62</v>
      </c>
      <c r="F34" s="16" t="s">
        <v>181</v>
      </c>
      <c r="G34" t="s">
        <v>205</v>
      </c>
      <c r="J34" s="9" t="s">
        <v>165</v>
      </c>
      <c r="K34" s="9" t="s">
        <v>180</v>
      </c>
      <c r="N34" t="s">
        <v>179</v>
      </c>
    </row>
    <row r="35" spans="2:14" x14ac:dyDescent="0.3">
      <c r="B35" t="s">
        <v>35</v>
      </c>
      <c r="C35" t="s">
        <v>1</v>
      </c>
      <c r="D35" s="191" t="s">
        <v>273</v>
      </c>
      <c r="E35" t="s">
        <v>62</v>
      </c>
      <c r="F35" s="16" t="s">
        <v>181</v>
      </c>
      <c r="G35" t="s">
        <v>205</v>
      </c>
      <c r="J35" s="9" t="s">
        <v>165</v>
      </c>
      <c r="K35" s="9" t="s">
        <v>180</v>
      </c>
      <c r="N35" t="s">
        <v>179</v>
      </c>
    </row>
    <row r="36" spans="2:14" x14ac:dyDescent="0.3">
      <c r="B36" t="s">
        <v>35</v>
      </c>
      <c r="C36" t="s">
        <v>1</v>
      </c>
      <c r="D36" t="s">
        <v>269</v>
      </c>
      <c r="E36" t="s">
        <v>62</v>
      </c>
      <c r="F36" s="16">
        <f>'Natl Spnr'!G12</f>
        <v>2400</v>
      </c>
      <c r="G36" t="s">
        <v>205</v>
      </c>
      <c r="H36" t="s">
        <v>321</v>
      </c>
      <c r="I36" t="s">
        <v>296</v>
      </c>
      <c r="J36" s="9" t="s">
        <v>165</v>
      </c>
      <c r="K36" s="9" t="s">
        <v>180</v>
      </c>
      <c r="L36" t="s">
        <v>200</v>
      </c>
      <c r="M36" s="161" t="s">
        <v>199</v>
      </c>
    </row>
    <row r="37" spans="2:14" x14ac:dyDescent="0.3">
      <c r="B37" t="s">
        <v>35</v>
      </c>
      <c r="C37" t="s">
        <v>1</v>
      </c>
      <c r="D37" s="156" t="s">
        <v>270</v>
      </c>
      <c r="E37" t="s">
        <v>62</v>
      </c>
      <c r="F37" s="16">
        <f>'Natl Spnr'!G13</f>
        <v>5250</v>
      </c>
      <c r="G37" t="s">
        <v>205</v>
      </c>
      <c r="H37" t="s">
        <v>321</v>
      </c>
      <c r="I37" t="s">
        <v>296</v>
      </c>
      <c r="J37" s="9" t="s">
        <v>165</v>
      </c>
      <c r="K37" s="9" t="s">
        <v>180</v>
      </c>
      <c r="L37" t="s">
        <v>200</v>
      </c>
      <c r="M37" s="161" t="s">
        <v>199</v>
      </c>
    </row>
    <row r="38" spans="2:14" x14ac:dyDescent="0.3">
      <c r="B38" t="s">
        <v>35</v>
      </c>
      <c r="C38" t="s">
        <v>1</v>
      </c>
      <c r="D38" s="156" t="s">
        <v>41</v>
      </c>
      <c r="E38" t="s">
        <v>62</v>
      </c>
      <c r="F38" s="16">
        <f>'Natl Spnr'!G14</f>
        <v>3600</v>
      </c>
      <c r="G38" t="s">
        <v>205</v>
      </c>
      <c r="H38" t="s">
        <v>321</v>
      </c>
      <c r="I38" t="s">
        <v>296</v>
      </c>
      <c r="J38" s="9" t="s">
        <v>165</v>
      </c>
      <c r="K38" s="9" t="s">
        <v>180</v>
      </c>
      <c r="L38" t="s">
        <v>200</v>
      </c>
      <c r="M38" s="161" t="s">
        <v>199</v>
      </c>
    </row>
    <row r="39" spans="2:14" x14ac:dyDescent="0.3">
      <c r="B39" t="s">
        <v>35</v>
      </c>
      <c r="C39" t="s">
        <v>1</v>
      </c>
      <c r="D39" s="156" t="s">
        <v>42</v>
      </c>
      <c r="E39" t="s">
        <v>62</v>
      </c>
      <c r="F39" s="16">
        <f>'Natl Spnr'!G15</f>
        <v>3750</v>
      </c>
      <c r="G39" t="s">
        <v>205</v>
      </c>
      <c r="H39" t="s">
        <v>321</v>
      </c>
      <c r="I39" t="s">
        <v>296</v>
      </c>
      <c r="J39" s="9" t="s">
        <v>165</v>
      </c>
      <c r="K39" s="9" t="s">
        <v>180</v>
      </c>
      <c r="L39" t="s">
        <v>200</v>
      </c>
      <c r="M39" s="161" t="s">
        <v>199</v>
      </c>
    </row>
    <row r="40" spans="2:14" x14ac:dyDescent="0.3">
      <c r="B40" t="s">
        <v>35</v>
      </c>
      <c r="C40" t="s">
        <v>1</v>
      </c>
      <c r="D40" s="156" t="s">
        <v>48</v>
      </c>
      <c r="E40" t="s">
        <v>62</v>
      </c>
      <c r="F40" s="16" t="s">
        <v>181</v>
      </c>
      <c r="G40" t="s">
        <v>205</v>
      </c>
      <c r="J40" s="9" t="s">
        <v>165</v>
      </c>
      <c r="K40" s="9" t="s">
        <v>180</v>
      </c>
      <c r="N40" t="s">
        <v>179</v>
      </c>
    </row>
    <row r="41" spans="2:14" x14ac:dyDescent="0.3">
      <c r="B41" t="s">
        <v>35</v>
      </c>
      <c r="C41" t="s">
        <v>1</v>
      </c>
      <c r="D41" s="156" t="s">
        <v>53</v>
      </c>
      <c r="E41" t="s">
        <v>62</v>
      </c>
      <c r="F41" s="16" t="s">
        <v>181</v>
      </c>
      <c r="G41" t="s">
        <v>205</v>
      </c>
      <c r="J41" s="9" t="s">
        <v>165</v>
      </c>
      <c r="K41" s="9" t="s">
        <v>180</v>
      </c>
      <c r="N41" t="s">
        <v>179</v>
      </c>
    </row>
    <row r="42" spans="2:14" x14ac:dyDescent="0.3">
      <c r="B42" t="s">
        <v>35</v>
      </c>
      <c r="C42" t="s">
        <v>1</v>
      </c>
      <c r="D42" s="156" t="s">
        <v>54</v>
      </c>
      <c r="E42" t="s">
        <v>62</v>
      </c>
      <c r="F42" s="16" t="s">
        <v>181</v>
      </c>
      <c r="G42" t="s">
        <v>205</v>
      </c>
      <c r="J42" s="9" t="s">
        <v>165</v>
      </c>
      <c r="K42" s="9" t="s">
        <v>180</v>
      </c>
      <c r="N42" t="s">
        <v>179</v>
      </c>
    </row>
    <row r="43" spans="2:14" x14ac:dyDescent="0.3">
      <c r="B43" t="s">
        <v>35</v>
      </c>
      <c r="C43" t="s">
        <v>1</v>
      </c>
      <c r="D43" s="156" t="s">
        <v>55</v>
      </c>
      <c r="E43" t="s">
        <v>62</v>
      </c>
      <c r="F43" s="16" t="s">
        <v>181</v>
      </c>
      <c r="G43" t="s">
        <v>205</v>
      </c>
      <c r="J43" s="9" t="s">
        <v>165</v>
      </c>
      <c r="K43" s="9" t="s">
        <v>180</v>
      </c>
      <c r="N43" t="s">
        <v>179</v>
      </c>
    </row>
    <row r="44" spans="2:14" x14ac:dyDescent="0.3">
      <c r="B44" t="s">
        <v>35</v>
      </c>
      <c r="C44" t="s">
        <v>1</v>
      </c>
      <c r="D44" s="156" t="s">
        <v>56</v>
      </c>
      <c r="E44" t="s">
        <v>62</v>
      </c>
      <c r="F44" s="16" t="s">
        <v>181</v>
      </c>
      <c r="G44" t="s">
        <v>205</v>
      </c>
      <c r="J44" s="9" t="s">
        <v>165</v>
      </c>
      <c r="K44" s="9" t="s">
        <v>180</v>
      </c>
      <c r="N44" t="s">
        <v>179</v>
      </c>
    </row>
    <row r="45" spans="2:14" x14ac:dyDescent="0.3">
      <c r="B45" t="s">
        <v>35</v>
      </c>
      <c r="C45" t="s">
        <v>1</v>
      </c>
      <c r="D45" t="s">
        <v>60</v>
      </c>
      <c r="E45" t="s">
        <v>62</v>
      </c>
      <c r="F45" s="16" t="s">
        <v>181</v>
      </c>
      <c r="G45" t="s">
        <v>205</v>
      </c>
      <c r="J45" s="9" t="s">
        <v>165</v>
      </c>
      <c r="K45" s="9" t="s">
        <v>180</v>
      </c>
      <c r="N45" t="s">
        <v>179</v>
      </c>
    </row>
    <row r="46" spans="2:14" x14ac:dyDescent="0.3">
      <c r="B46" t="s">
        <v>35</v>
      </c>
      <c r="C46" t="s">
        <v>1</v>
      </c>
      <c r="D46" t="s">
        <v>61</v>
      </c>
      <c r="E46" t="s">
        <v>62</v>
      </c>
      <c r="F46" s="16" t="s">
        <v>181</v>
      </c>
      <c r="G46" t="s">
        <v>205</v>
      </c>
      <c r="J46" s="9" t="s">
        <v>165</v>
      </c>
      <c r="K46" s="9" t="s">
        <v>180</v>
      </c>
      <c r="N46" t="s">
        <v>179</v>
      </c>
    </row>
    <row r="47" spans="2:14" x14ac:dyDescent="0.3">
      <c r="B47" t="s">
        <v>35</v>
      </c>
      <c r="C47" t="s">
        <v>1</v>
      </c>
      <c r="D47" t="s">
        <v>275</v>
      </c>
      <c r="E47" t="s">
        <v>62</v>
      </c>
      <c r="F47" s="16" t="s">
        <v>181</v>
      </c>
      <c r="G47" t="s">
        <v>205</v>
      </c>
      <c r="J47" s="9" t="s">
        <v>165</v>
      </c>
      <c r="K47" s="9" t="s">
        <v>180</v>
      </c>
      <c r="N47" t="s">
        <v>179</v>
      </c>
    </row>
    <row r="48" spans="2:14" x14ac:dyDescent="0.3">
      <c r="B48" t="s">
        <v>35</v>
      </c>
      <c r="C48" t="s">
        <v>1</v>
      </c>
      <c r="D48" t="s">
        <v>57</v>
      </c>
      <c r="E48" t="s">
        <v>62</v>
      </c>
      <c r="F48" s="16" t="s">
        <v>181</v>
      </c>
      <c r="G48" t="s">
        <v>205</v>
      </c>
      <c r="J48" s="9" t="s">
        <v>165</v>
      </c>
      <c r="K48" s="9" t="s">
        <v>180</v>
      </c>
      <c r="N48" t="s">
        <v>179</v>
      </c>
    </row>
    <row r="49" spans="2:14" x14ac:dyDescent="0.3">
      <c r="B49" t="s">
        <v>35</v>
      </c>
      <c r="C49" t="s">
        <v>1</v>
      </c>
      <c r="D49" t="s">
        <v>58</v>
      </c>
      <c r="E49" t="s">
        <v>62</v>
      </c>
      <c r="F49" s="16" t="s">
        <v>181</v>
      </c>
      <c r="G49" t="s">
        <v>205</v>
      </c>
      <c r="J49" s="9" t="s">
        <v>165</v>
      </c>
      <c r="K49" s="9" t="s">
        <v>180</v>
      </c>
      <c r="N49" t="s">
        <v>179</v>
      </c>
    </row>
    <row r="50" spans="2:14" x14ac:dyDescent="0.3">
      <c r="B50" t="s">
        <v>35</v>
      </c>
      <c r="C50" t="s">
        <v>1</v>
      </c>
      <c r="D50" t="s">
        <v>272</v>
      </c>
      <c r="E50" t="s">
        <v>62</v>
      </c>
      <c r="F50" s="16" t="s">
        <v>181</v>
      </c>
      <c r="G50" t="s">
        <v>205</v>
      </c>
      <c r="J50" s="9" t="s">
        <v>165</v>
      </c>
      <c r="K50" s="9" t="s">
        <v>180</v>
      </c>
      <c r="N50" t="s">
        <v>179</v>
      </c>
    </row>
    <row r="51" spans="2:14" x14ac:dyDescent="0.3">
      <c r="B51" t="s">
        <v>35</v>
      </c>
      <c r="C51" t="s">
        <v>1</v>
      </c>
      <c r="D51" t="s">
        <v>59</v>
      </c>
      <c r="E51" t="s">
        <v>62</v>
      </c>
      <c r="F51" s="16" t="s">
        <v>181</v>
      </c>
      <c r="G51" t="s">
        <v>205</v>
      </c>
      <c r="J51" s="9" t="s">
        <v>165</v>
      </c>
      <c r="K51" s="9" t="s">
        <v>180</v>
      </c>
      <c r="N51" t="s">
        <v>179</v>
      </c>
    </row>
    <row r="52" spans="2:14" s="1" customFormat="1" x14ac:dyDescent="0.3">
      <c r="B52" s="1" t="s">
        <v>35</v>
      </c>
      <c r="C52" s="1" t="s">
        <v>1</v>
      </c>
      <c r="D52" s="1" t="s">
        <v>276</v>
      </c>
      <c r="E52" s="1" t="s">
        <v>62</v>
      </c>
      <c r="F52" s="113" t="s">
        <v>181</v>
      </c>
      <c r="G52" s="1" t="s">
        <v>205</v>
      </c>
      <c r="J52" s="101" t="s">
        <v>165</v>
      </c>
      <c r="K52" s="101" t="s">
        <v>180</v>
      </c>
      <c r="N52" s="1" t="s">
        <v>179</v>
      </c>
    </row>
    <row r="53" spans="2:14" x14ac:dyDescent="0.3">
      <c r="B53" t="s">
        <v>35</v>
      </c>
      <c r="C53" t="s">
        <v>1</v>
      </c>
      <c r="D53" t="s">
        <v>50</v>
      </c>
      <c r="E53" t="s">
        <v>62</v>
      </c>
      <c r="F53" s="16">
        <f>Summary!W4</f>
        <v>1700</v>
      </c>
      <c r="G53" t="s">
        <v>205</v>
      </c>
      <c r="H53" t="s">
        <v>295</v>
      </c>
      <c r="J53" s="9" t="s">
        <v>277</v>
      </c>
      <c r="K53" s="9" t="s">
        <v>180</v>
      </c>
      <c r="L53" t="s">
        <v>280</v>
      </c>
      <c r="M53" s="161" t="s">
        <v>279</v>
      </c>
      <c r="N53" t="s">
        <v>179</v>
      </c>
    </row>
    <row r="54" spans="2:14" x14ac:dyDescent="0.3">
      <c r="B54" t="s">
        <v>35</v>
      </c>
      <c r="C54" t="s">
        <v>1</v>
      </c>
      <c r="D54" t="s">
        <v>51</v>
      </c>
      <c r="E54" t="s">
        <v>62</v>
      </c>
      <c r="F54" s="16">
        <f>Summary!W5</f>
        <v>3400</v>
      </c>
      <c r="G54" t="s">
        <v>205</v>
      </c>
      <c r="H54" t="s">
        <v>295</v>
      </c>
      <c r="J54" s="9" t="s">
        <v>277</v>
      </c>
      <c r="K54" s="9" t="s">
        <v>180</v>
      </c>
      <c r="L54" t="s">
        <v>280</v>
      </c>
      <c r="M54" s="161" t="s">
        <v>279</v>
      </c>
      <c r="N54" t="s">
        <v>179</v>
      </c>
    </row>
    <row r="55" spans="2:14" x14ac:dyDescent="0.3">
      <c r="B55" t="s">
        <v>35</v>
      </c>
      <c r="C55" t="s">
        <v>1</v>
      </c>
      <c r="D55" t="s">
        <v>266</v>
      </c>
      <c r="E55" t="s">
        <v>62</v>
      </c>
      <c r="F55" s="16">
        <f>Summary!W6</f>
        <v>43200</v>
      </c>
      <c r="G55" t="s">
        <v>205</v>
      </c>
      <c r="H55" t="s">
        <v>295</v>
      </c>
      <c r="J55" s="9" t="s">
        <v>277</v>
      </c>
      <c r="K55" s="9" t="s">
        <v>180</v>
      </c>
      <c r="L55" t="s">
        <v>280</v>
      </c>
      <c r="M55" s="161" t="s">
        <v>279</v>
      </c>
      <c r="N55" t="s">
        <v>179</v>
      </c>
    </row>
    <row r="56" spans="2:14" x14ac:dyDescent="0.3">
      <c r="B56" t="s">
        <v>35</v>
      </c>
      <c r="C56" t="s">
        <v>1</v>
      </c>
      <c r="D56" t="s">
        <v>265</v>
      </c>
      <c r="E56" t="s">
        <v>62</v>
      </c>
      <c r="F56" s="16">
        <f>Summary!W12</f>
        <v>15900</v>
      </c>
      <c r="G56" t="s">
        <v>205</v>
      </c>
      <c r="H56" t="s">
        <v>295</v>
      </c>
      <c r="J56" s="9" t="s">
        <v>277</v>
      </c>
      <c r="K56" s="9" t="s">
        <v>180</v>
      </c>
      <c r="L56" t="s">
        <v>280</v>
      </c>
      <c r="M56" s="161" t="s">
        <v>279</v>
      </c>
      <c r="N56" t="s">
        <v>179</v>
      </c>
    </row>
    <row r="57" spans="2:14" x14ac:dyDescent="0.3">
      <c r="B57" t="s">
        <v>35</v>
      </c>
      <c r="C57" t="s">
        <v>1</v>
      </c>
      <c r="D57" t="s">
        <v>48</v>
      </c>
      <c r="E57" t="s">
        <v>62</v>
      </c>
      <c r="F57" s="16">
        <f>Summary!W16</f>
        <v>4000</v>
      </c>
      <c r="G57" t="s">
        <v>205</v>
      </c>
      <c r="H57" t="s">
        <v>295</v>
      </c>
      <c r="J57" s="9" t="s">
        <v>277</v>
      </c>
      <c r="K57" s="9" t="s">
        <v>180</v>
      </c>
      <c r="L57" t="s">
        <v>280</v>
      </c>
      <c r="M57" s="161" t="s">
        <v>279</v>
      </c>
      <c r="N57" t="s">
        <v>179</v>
      </c>
    </row>
    <row r="58" spans="2:14" x14ac:dyDescent="0.3">
      <c r="B58" t="s">
        <v>35</v>
      </c>
      <c r="C58" t="s">
        <v>1</v>
      </c>
      <c r="D58" t="s">
        <v>267</v>
      </c>
      <c r="E58" t="s">
        <v>62</v>
      </c>
      <c r="F58" s="16">
        <f>Summary!W17</f>
        <v>35200</v>
      </c>
      <c r="G58" t="s">
        <v>205</v>
      </c>
      <c r="H58" t="s">
        <v>295</v>
      </c>
      <c r="J58" s="9" t="s">
        <v>277</v>
      </c>
      <c r="K58" s="9" t="s">
        <v>180</v>
      </c>
      <c r="L58" t="s">
        <v>280</v>
      </c>
      <c r="M58" s="161" t="s">
        <v>279</v>
      </c>
      <c r="N58" t="s">
        <v>179</v>
      </c>
    </row>
    <row r="59" spans="2:14" x14ac:dyDescent="0.3">
      <c r="B59" t="s">
        <v>35</v>
      </c>
      <c r="C59" t="s">
        <v>1</v>
      </c>
      <c r="D59" t="s">
        <v>268</v>
      </c>
      <c r="E59" t="s">
        <v>62</v>
      </c>
      <c r="F59" s="16">
        <f>Summary!W29</f>
        <v>11400</v>
      </c>
      <c r="G59" t="s">
        <v>205</v>
      </c>
      <c r="H59" t="s">
        <v>295</v>
      </c>
      <c r="J59" s="9" t="s">
        <v>277</v>
      </c>
      <c r="K59" s="9" t="s">
        <v>180</v>
      </c>
      <c r="L59" t="s">
        <v>280</v>
      </c>
      <c r="M59" s="161" t="s">
        <v>279</v>
      </c>
      <c r="N59" t="s">
        <v>179</v>
      </c>
    </row>
    <row r="60" spans="2:14" s="1" customFormat="1" x14ac:dyDescent="0.3">
      <c r="B60" s="1" t="s">
        <v>35</v>
      </c>
      <c r="C60" s="1" t="s">
        <v>1</v>
      </c>
      <c r="D60" s="1" t="s">
        <v>22</v>
      </c>
      <c r="E60" s="1" t="s">
        <v>62</v>
      </c>
      <c r="F60" s="113">
        <f>Summary!W30</f>
        <v>114800</v>
      </c>
      <c r="G60" s="1" t="s">
        <v>205</v>
      </c>
      <c r="H60" s="1" t="s">
        <v>295</v>
      </c>
      <c r="J60" s="101" t="s">
        <v>277</v>
      </c>
      <c r="K60" s="101" t="s">
        <v>180</v>
      </c>
      <c r="L60" s="1" t="s">
        <v>280</v>
      </c>
      <c r="M60" s="162" t="s">
        <v>279</v>
      </c>
      <c r="N60" s="1" t="s">
        <v>299</v>
      </c>
    </row>
    <row r="61" spans="2:14" x14ac:dyDescent="0.3">
      <c r="B61" t="s">
        <v>35</v>
      </c>
      <c r="C61" t="s">
        <v>1</v>
      </c>
      <c r="D61" t="s">
        <v>50</v>
      </c>
      <c r="E61" t="s">
        <v>207</v>
      </c>
      <c r="F61" s="16">
        <f>Summary!X4</f>
        <v>15000</v>
      </c>
      <c r="G61" t="s">
        <v>205</v>
      </c>
      <c r="H61" t="s">
        <v>295</v>
      </c>
      <c r="J61" s="9"/>
      <c r="K61" s="9" t="s">
        <v>180</v>
      </c>
      <c r="L61" t="s">
        <v>182</v>
      </c>
      <c r="M61" s="161" t="s">
        <v>183</v>
      </c>
      <c r="N61" t="s">
        <v>184</v>
      </c>
    </row>
    <row r="62" spans="2:14" x14ac:dyDescent="0.3">
      <c r="B62" t="s">
        <v>35</v>
      </c>
      <c r="C62" t="s">
        <v>1</v>
      </c>
      <c r="D62" t="s">
        <v>51</v>
      </c>
      <c r="E62" t="s">
        <v>207</v>
      </c>
      <c r="F62" s="16">
        <f>Summary!X5</f>
        <v>15000</v>
      </c>
      <c r="G62" t="s">
        <v>205</v>
      </c>
      <c r="H62" t="s">
        <v>295</v>
      </c>
      <c r="J62" s="9"/>
      <c r="K62" s="9" t="s">
        <v>180</v>
      </c>
      <c r="L62" t="s">
        <v>182</v>
      </c>
      <c r="M62" s="161" t="s">
        <v>183</v>
      </c>
      <c r="N62" t="s">
        <v>184</v>
      </c>
    </row>
    <row r="63" spans="2:14" x14ac:dyDescent="0.3">
      <c r="B63" t="s">
        <v>35</v>
      </c>
      <c r="C63" t="s">
        <v>1</v>
      </c>
      <c r="D63" s="155" t="s">
        <v>271</v>
      </c>
      <c r="E63" t="s">
        <v>207</v>
      </c>
      <c r="F63" s="16">
        <f>Summary!X6</f>
        <v>45000</v>
      </c>
      <c r="G63" t="s">
        <v>205</v>
      </c>
      <c r="H63" t="s">
        <v>295</v>
      </c>
      <c r="J63" s="9"/>
      <c r="K63" s="9" t="s">
        <v>180</v>
      </c>
      <c r="L63" t="s">
        <v>182</v>
      </c>
      <c r="M63" s="161" t="s">
        <v>183</v>
      </c>
      <c r="N63" t="s">
        <v>184</v>
      </c>
    </row>
    <row r="64" spans="2:14" x14ac:dyDescent="0.3">
      <c r="B64" t="s">
        <v>35</v>
      </c>
      <c r="C64" t="s">
        <v>1</v>
      </c>
      <c r="D64" s="155" t="s">
        <v>45</v>
      </c>
      <c r="E64" t="s">
        <v>207</v>
      </c>
      <c r="F64" s="16">
        <f>Summary!X7</f>
        <v>37000</v>
      </c>
      <c r="G64" t="s">
        <v>205</v>
      </c>
      <c r="H64" t="s">
        <v>295</v>
      </c>
      <c r="J64" s="9"/>
      <c r="K64" s="9" t="s">
        <v>180</v>
      </c>
      <c r="L64" t="s">
        <v>182</v>
      </c>
      <c r="M64" s="161" t="s">
        <v>183</v>
      </c>
      <c r="N64" t="s">
        <v>184</v>
      </c>
    </row>
    <row r="65" spans="2:14" x14ac:dyDescent="0.3">
      <c r="B65" t="s">
        <v>35</v>
      </c>
      <c r="C65" t="s">
        <v>1</v>
      </c>
      <c r="D65" s="155" t="s">
        <v>46</v>
      </c>
      <c r="E65" t="s">
        <v>207</v>
      </c>
      <c r="F65" s="16">
        <f>Summary!X9</f>
        <v>7000</v>
      </c>
      <c r="G65" t="s">
        <v>205</v>
      </c>
      <c r="H65" t="s">
        <v>295</v>
      </c>
      <c r="J65" s="9"/>
      <c r="K65" s="9" t="s">
        <v>180</v>
      </c>
      <c r="L65" t="s">
        <v>182</v>
      </c>
      <c r="M65" s="161" t="s">
        <v>183</v>
      </c>
      <c r="N65" t="s">
        <v>184</v>
      </c>
    </row>
    <row r="66" spans="2:14" x14ac:dyDescent="0.3">
      <c r="B66" t="s">
        <v>35</v>
      </c>
      <c r="C66" t="s">
        <v>1</v>
      </c>
      <c r="D66" s="155" t="s">
        <v>281</v>
      </c>
      <c r="E66" t="s">
        <v>207</v>
      </c>
      <c r="F66" s="16">
        <f>Summary!X10</f>
        <v>50000</v>
      </c>
      <c r="G66" t="s">
        <v>205</v>
      </c>
      <c r="H66" t="s">
        <v>295</v>
      </c>
      <c r="J66" s="9"/>
      <c r="K66" s="9" t="s">
        <v>180</v>
      </c>
      <c r="L66" t="s">
        <v>182</v>
      </c>
      <c r="M66" s="161" t="s">
        <v>183</v>
      </c>
      <c r="N66" t="s">
        <v>184</v>
      </c>
    </row>
    <row r="67" spans="2:14" x14ac:dyDescent="0.3">
      <c r="B67" t="s">
        <v>35</v>
      </c>
      <c r="C67" t="s">
        <v>1</v>
      </c>
      <c r="D67" s="155" t="s">
        <v>47</v>
      </c>
      <c r="E67" t="s">
        <v>207</v>
      </c>
      <c r="F67" s="16">
        <f>Summary!X8</f>
        <v>55000</v>
      </c>
      <c r="G67" t="s">
        <v>205</v>
      </c>
      <c r="H67" t="s">
        <v>295</v>
      </c>
      <c r="J67" s="9"/>
      <c r="K67" s="9" t="s">
        <v>180</v>
      </c>
      <c r="L67" t="s">
        <v>182</v>
      </c>
      <c r="M67" s="161" t="s">
        <v>183</v>
      </c>
      <c r="N67" t="s">
        <v>184</v>
      </c>
    </row>
    <row r="68" spans="2:14" x14ac:dyDescent="0.3">
      <c r="B68" t="s">
        <v>35</v>
      </c>
      <c r="C68" t="s">
        <v>1</v>
      </c>
      <c r="D68" s="155" t="s">
        <v>273</v>
      </c>
      <c r="E68" t="s">
        <v>207</v>
      </c>
      <c r="F68" s="16">
        <f>Summary!X11</f>
        <v>25000</v>
      </c>
      <c r="G68" t="s">
        <v>205</v>
      </c>
      <c r="H68" t="s">
        <v>295</v>
      </c>
      <c r="J68" s="9"/>
      <c r="K68" s="9" t="s">
        <v>180</v>
      </c>
      <c r="L68" t="s">
        <v>182</v>
      </c>
      <c r="M68" s="161" t="s">
        <v>183</v>
      </c>
      <c r="N68" t="s">
        <v>184</v>
      </c>
    </row>
    <row r="69" spans="2:14" x14ac:dyDescent="0.3">
      <c r="B69" t="s">
        <v>35</v>
      </c>
      <c r="C69" t="s">
        <v>1</v>
      </c>
      <c r="D69" t="s">
        <v>269</v>
      </c>
      <c r="E69" t="s">
        <v>207</v>
      </c>
      <c r="F69" s="16">
        <f>Summary!X12</f>
        <v>38000</v>
      </c>
      <c r="G69" t="s">
        <v>205</v>
      </c>
      <c r="H69" t="s">
        <v>295</v>
      </c>
      <c r="J69" s="9"/>
      <c r="K69" s="9" t="s">
        <v>180</v>
      </c>
      <c r="L69" t="s">
        <v>182</v>
      </c>
      <c r="M69" s="161" t="s">
        <v>183</v>
      </c>
      <c r="N69" t="s">
        <v>184</v>
      </c>
    </row>
    <row r="70" spans="2:14" x14ac:dyDescent="0.3">
      <c r="B70" t="s">
        <v>35</v>
      </c>
      <c r="C70" t="s">
        <v>1</v>
      </c>
      <c r="D70" s="156" t="s">
        <v>270</v>
      </c>
      <c r="E70" t="s">
        <v>207</v>
      </c>
      <c r="F70" s="16">
        <f>Summary!X13</f>
        <v>81000</v>
      </c>
      <c r="G70" t="s">
        <v>205</v>
      </c>
      <c r="H70" t="s">
        <v>295</v>
      </c>
      <c r="J70" s="9"/>
      <c r="K70" s="9" t="s">
        <v>180</v>
      </c>
      <c r="L70" t="s">
        <v>182</v>
      </c>
      <c r="M70" s="161" t="s">
        <v>183</v>
      </c>
      <c r="N70" t="s">
        <v>184</v>
      </c>
    </row>
    <row r="71" spans="2:14" x14ac:dyDescent="0.3">
      <c r="B71" t="s">
        <v>35</v>
      </c>
      <c r="C71" t="s">
        <v>1</v>
      </c>
      <c r="D71" s="156" t="s">
        <v>41</v>
      </c>
      <c r="E71" t="s">
        <v>207</v>
      </c>
      <c r="F71" s="16">
        <f>Summary!X14</f>
        <v>24000</v>
      </c>
      <c r="G71" t="s">
        <v>205</v>
      </c>
      <c r="H71" t="s">
        <v>295</v>
      </c>
      <c r="J71" s="9"/>
      <c r="K71" s="9" t="s">
        <v>180</v>
      </c>
      <c r="L71" t="s">
        <v>182</v>
      </c>
      <c r="M71" s="161" t="s">
        <v>183</v>
      </c>
      <c r="N71" t="s">
        <v>184</v>
      </c>
    </row>
    <row r="72" spans="2:14" x14ac:dyDescent="0.3">
      <c r="B72" t="s">
        <v>35</v>
      </c>
      <c r="C72" t="s">
        <v>1</v>
      </c>
      <c r="D72" s="156" t="s">
        <v>42</v>
      </c>
      <c r="E72" t="s">
        <v>207</v>
      </c>
      <c r="F72" s="16">
        <f>Summary!X15</f>
        <v>41000</v>
      </c>
      <c r="G72" t="s">
        <v>205</v>
      </c>
      <c r="H72" t="s">
        <v>295</v>
      </c>
      <c r="J72" s="9"/>
      <c r="K72" s="9" t="s">
        <v>180</v>
      </c>
      <c r="L72" t="s">
        <v>182</v>
      </c>
      <c r="M72" s="161" t="s">
        <v>183</v>
      </c>
      <c r="N72" t="s">
        <v>184</v>
      </c>
    </row>
    <row r="73" spans="2:14" x14ac:dyDescent="0.3">
      <c r="B73" t="s">
        <v>35</v>
      </c>
      <c r="C73" t="s">
        <v>1</v>
      </c>
      <c r="D73" s="156" t="s">
        <v>48</v>
      </c>
      <c r="E73" t="s">
        <v>207</v>
      </c>
      <c r="F73" s="16">
        <f>Summary!X16</f>
        <v>21000</v>
      </c>
      <c r="G73" t="s">
        <v>205</v>
      </c>
      <c r="H73" t="s">
        <v>295</v>
      </c>
      <c r="J73" s="9"/>
      <c r="K73" s="9" t="s">
        <v>180</v>
      </c>
      <c r="L73" t="s">
        <v>182</v>
      </c>
      <c r="M73" s="161" t="s">
        <v>183</v>
      </c>
      <c r="N73" t="s">
        <v>184</v>
      </c>
    </row>
    <row r="74" spans="2:14" x14ac:dyDescent="0.3">
      <c r="B74" t="s">
        <v>35</v>
      </c>
      <c r="C74" t="s">
        <v>1</v>
      </c>
      <c r="D74" s="156" t="s">
        <v>53</v>
      </c>
      <c r="E74" t="s">
        <v>207</v>
      </c>
      <c r="F74" s="16">
        <f>Summary!X17</f>
        <v>13000</v>
      </c>
      <c r="G74" t="s">
        <v>205</v>
      </c>
      <c r="H74" t="s">
        <v>295</v>
      </c>
      <c r="J74" s="9"/>
      <c r="K74" s="9" t="s">
        <v>180</v>
      </c>
      <c r="L74" t="s">
        <v>182</v>
      </c>
      <c r="M74" s="161" t="s">
        <v>183</v>
      </c>
      <c r="N74" t="s">
        <v>184</v>
      </c>
    </row>
    <row r="75" spans="2:14" x14ac:dyDescent="0.3">
      <c r="B75" t="s">
        <v>35</v>
      </c>
      <c r="C75" t="s">
        <v>1</v>
      </c>
      <c r="D75" s="156" t="s">
        <v>54</v>
      </c>
      <c r="E75" t="s">
        <v>207</v>
      </c>
      <c r="F75" s="16">
        <f>Summary!X18</f>
        <v>19000</v>
      </c>
      <c r="G75" t="s">
        <v>205</v>
      </c>
      <c r="H75" t="s">
        <v>295</v>
      </c>
      <c r="J75" s="9"/>
      <c r="K75" s="9" t="s">
        <v>180</v>
      </c>
      <c r="L75" t="s">
        <v>182</v>
      </c>
      <c r="M75" s="161" t="s">
        <v>183</v>
      </c>
      <c r="N75" t="s">
        <v>184</v>
      </c>
    </row>
    <row r="76" spans="2:14" x14ac:dyDescent="0.3">
      <c r="B76" t="s">
        <v>35</v>
      </c>
      <c r="C76" t="s">
        <v>1</v>
      </c>
      <c r="D76" s="156" t="s">
        <v>55</v>
      </c>
      <c r="E76" t="s">
        <v>207</v>
      </c>
      <c r="F76" s="16">
        <f>Summary!X19</f>
        <v>22000</v>
      </c>
      <c r="G76" t="s">
        <v>205</v>
      </c>
      <c r="H76" t="s">
        <v>295</v>
      </c>
      <c r="J76" s="9"/>
      <c r="K76" s="9" t="s">
        <v>180</v>
      </c>
      <c r="L76" t="s">
        <v>182</v>
      </c>
      <c r="M76" s="161" t="s">
        <v>183</v>
      </c>
      <c r="N76" t="s">
        <v>184</v>
      </c>
    </row>
    <row r="77" spans="2:14" x14ac:dyDescent="0.3">
      <c r="B77" t="s">
        <v>35</v>
      </c>
      <c r="C77" t="s">
        <v>1</v>
      </c>
      <c r="D77" s="156" t="s">
        <v>56</v>
      </c>
      <c r="E77" t="s">
        <v>207</v>
      </c>
      <c r="F77" s="16">
        <f>Summary!X20</f>
        <v>16000</v>
      </c>
      <c r="G77" t="s">
        <v>205</v>
      </c>
      <c r="H77" t="s">
        <v>295</v>
      </c>
      <c r="J77" s="9"/>
      <c r="K77" s="9" t="s">
        <v>180</v>
      </c>
      <c r="L77" t="s">
        <v>182</v>
      </c>
      <c r="M77" s="161" t="s">
        <v>183</v>
      </c>
      <c r="N77" t="s">
        <v>184</v>
      </c>
    </row>
    <row r="78" spans="2:14" x14ac:dyDescent="0.3">
      <c r="B78" t="s">
        <v>35</v>
      </c>
      <c r="C78" t="s">
        <v>1</v>
      </c>
      <c r="D78" t="s">
        <v>60</v>
      </c>
      <c r="E78" t="s">
        <v>207</v>
      </c>
      <c r="F78" s="16">
        <f>Summary!X21</f>
        <v>31000</v>
      </c>
      <c r="G78" t="s">
        <v>205</v>
      </c>
      <c r="H78" t="s">
        <v>295</v>
      </c>
      <c r="J78" s="9"/>
      <c r="K78" s="9" t="s">
        <v>180</v>
      </c>
      <c r="L78" t="s">
        <v>182</v>
      </c>
      <c r="M78" s="161" t="s">
        <v>183</v>
      </c>
      <c r="N78" t="s">
        <v>184</v>
      </c>
    </row>
    <row r="79" spans="2:14" x14ac:dyDescent="0.3">
      <c r="B79" t="s">
        <v>35</v>
      </c>
      <c r="C79" t="s">
        <v>1</v>
      </c>
      <c r="D79" t="s">
        <v>61</v>
      </c>
      <c r="E79" t="s">
        <v>207</v>
      </c>
      <c r="F79" s="16">
        <f>Summary!X22</f>
        <v>28000</v>
      </c>
      <c r="G79" t="s">
        <v>205</v>
      </c>
      <c r="H79" t="s">
        <v>295</v>
      </c>
      <c r="J79" s="9"/>
      <c r="K79" s="9" t="s">
        <v>180</v>
      </c>
      <c r="L79" t="s">
        <v>182</v>
      </c>
      <c r="M79" s="161" t="s">
        <v>183</v>
      </c>
      <c r="N79" t="s">
        <v>184</v>
      </c>
    </row>
    <row r="80" spans="2:14" x14ac:dyDescent="0.3">
      <c r="B80" t="s">
        <v>35</v>
      </c>
      <c r="C80" t="s">
        <v>1</v>
      </c>
      <c r="D80" t="s">
        <v>275</v>
      </c>
      <c r="E80" t="s">
        <v>207</v>
      </c>
      <c r="F80" s="16">
        <f>Summary!X23</f>
        <v>6000</v>
      </c>
      <c r="G80" t="s">
        <v>205</v>
      </c>
      <c r="H80" t="s">
        <v>295</v>
      </c>
      <c r="J80" s="9"/>
      <c r="K80" s="9" t="s">
        <v>180</v>
      </c>
      <c r="L80" t="s">
        <v>182</v>
      </c>
      <c r="M80" s="161" t="s">
        <v>183</v>
      </c>
      <c r="N80" t="s">
        <v>184</v>
      </c>
    </row>
    <row r="81" spans="2:14" x14ac:dyDescent="0.3">
      <c r="B81" t="s">
        <v>35</v>
      </c>
      <c r="C81" t="s">
        <v>1</v>
      </c>
      <c r="D81" t="s">
        <v>57</v>
      </c>
      <c r="E81" t="s">
        <v>207</v>
      </c>
      <c r="F81" s="16">
        <f>Summary!X24</f>
        <v>18000</v>
      </c>
      <c r="G81" t="s">
        <v>205</v>
      </c>
      <c r="H81" t="s">
        <v>295</v>
      </c>
      <c r="J81" s="9"/>
      <c r="K81" s="9" t="s">
        <v>180</v>
      </c>
      <c r="L81" t="s">
        <v>182</v>
      </c>
      <c r="M81" s="161" t="s">
        <v>183</v>
      </c>
      <c r="N81" t="s">
        <v>184</v>
      </c>
    </row>
    <row r="82" spans="2:14" x14ac:dyDescent="0.3">
      <c r="B82" t="s">
        <v>35</v>
      </c>
      <c r="C82" t="s">
        <v>1</v>
      </c>
      <c r="D82" t="s">
        <v>58</v>
      </c>
      <c r="E82" t="s">
        <v>207</v>
      </c>
      <c r="F82" s="16">
        <f>Summary!X25</f>
        <v>13000</v>
      </c>
      <c r="G82" t="s">
        <v>205</v>
      </c>
      <c r="H82" t="s">
        <v>295</v>
      </c>
      <c r="J82" s="9"/>
      <c r="K82" s="9" t="s">
        <v>180</v>
      </c>
      <c r="L82" t="s">
        <v>182</v>
      </c>
      <c r="M82" s="161" t="s">
        <v>183</v>
      </c>
      <c r="N82" t="s">
        <v>184</v>
      </c>
    </row>
    <row r="83" spans="2:14" x14ac:dyDescent="0.3">
      <c r="B83" t="s">
        <v>35</v>
      </c>
      <c r="C83" t="s">
        <v>1</v>
      </c>
      <c r="D83" t="s">
        <v>272</v>
      </c>
      <c r="E83" t="s">
        <v>207</v>
      </c>
      <c r="F83" s="16">
        <f>Summary!X26</f>
        <v>24000</v>
      </c>
      <c r="G83" t="s">
        <v>205</v>
      </c>
      <c r="H83" t="s">
        <v>295</v>
      </c>
      <c r="J83" s="9"/>
      <c r="K83" s="9" t="s">
        <v>180</v>
      </c>
      <c r="L83" t="s">
        <v>182</v>
      </c>
      <c r="M83" s="161" t="s">
        <v>183</v>
      </c>
      <c r="N83" t="s">
        <v>184</v>
      </c>
    </row>
    <row r="84" spans="2:14" x14ac:dyDescent="0.3">
      <c r="B84" t="s">
        <v>35</v>
      </c>
      <c r="C84" t="s">
        <v>1</v>
      </c>
      <c r="D84" t="s">
        <v>59</v>
      </c>
      <c r="E84" t="s">
        <v>207</v>
      </c>
      <c r="F84" s="16">
        <f>Summary!X27</f>
        <v>6000</v>
      </c>
      <c r="G84" t="s">
        <v>205</v>
      </c>
      <c r="H84" t="s">
        <v>295</v>
      </c>
      <c r="J84" s="9"/>
      <c r="K84" s="9" t="s">
        <v>180</v>
      </c>
      <c r="L84" t="s">
        <v>182</v>
      </c>
      <c r="M84" s="161" t="s">
        <v>183</v>
      </c>
      <c r="N84" t="s">
        <v>184</v>
      </c>
    </row>
    <row r="85" spans="2:14" x14ac:dyDescent="0.3">
      <c r="B85" t="s">
        <v>35</v>
      </c>
      <c r="C85" t="s">
        <v>1</v>
      </c>
      <c r="D85" t="s">
        <v>276</v>
      </c>
      <c r="E85" t="s">
        <v>207</v>
      </c>
      <c r="F85" s="16">
        <f>Summary!X28</f>
        <v>2000</v>
      </c>
      <c r="G85" t="s">
        <v>205</v>
      </c>
      <c r="H85" t="s">
        <v>295</v>
      </c>
      <c r="J85" s="9"/>
      <c r="K85" s="9" t="s">
        <v>180</v>
      </c>
      <c r="L85" t="s">
        <v>182</v>
      </c>
      <c r="M85" s="161" t="s">
        <v>183</v>
      </c>
      <c r="N85" t="s">
        <v>184</v>
      </c>
    </row>
    <row r="86" spans="2:14" s="1" customFormat="1" x14ac:dyDescent="0.3">
      <c r="B86" s="1" t="s">
        <v>35</v>
      </c>
      <c r="C86" s="1" t="s">
        <v>1</v>
      </c>
      <c r="D86" s="1" t="s">
        <v>22</v>
      </c>
      <c r="E86" s="1" t="s">
        <v>207</v>
      </c>
      <c r="F86" s="113">
        <f>Summary!X30</f>
        <v>652000</v>
      </c>
      <c r="G86" s="1" t="s">
        <v>205</v>
      </c>
      <c r="H86" s="1" t="s">
        <v>295</v>
      </c>
      <c r="J86" s="101"/>
      <c r="K86" s="101" t="s">
        <v>180</v>
      </c>
      <c r="L86" s="1" t="s">
        <v>182</v>
      </c>
      <c r="M86" s="162" t="s">
        <v>183</v>
      </c>
      <c r="N86" s="1" t="s">
        <v>184</v>
      </c>
    </row>
    <row r="87" spans="2:14" x14ac:dyDescent="0.3">
      <c r="B87" t="s">
        <v>35</v>
      </c>
      <c r="C87" t="s">
        <v>1</v>
      </c>
      <c r="D87" t="s">
        <v>50</v>
      </c>
      <c r="E87" t="s">
        <v>155</v>
      </c>
      <c r="F87" s="16">
        <f>Summary!Y4</f>
        <v>500</v>
      </c>
      <c r="G87" t="s">
        <v>205</v>
      </c>
      <c r="H87" t="s">
        <v>185</v>
      </c>
      <c r="I87" t="s">
        <v>186</v>
      </c>
      <c r="J87" s="9" t="s">
        <v>180</v>
      </c>
      <c r="K87" s="9" t="s">
        <v>187</v>
      </c>
      <c r="L87" t="s">
        <v>188</v>
      </c>
      <c r="M87" s="161" t="s">
        <v>189</v>
      </c>
    </row>
    <row r="88" spans="2:14" x14ac:dyDescent="0.3">
      <c r="B88" t="s">
        <v>35</v>
      </c>
      <c r="C88" t="s">
        <v>1</v>
      </c>
      <c r="D88" t="s">
        <v>51</v>
      </c>
      <c r="E88" t="s">
        <v>155</v>
      </c>
      <c r="F88" s="16">
        <f>Summary!Y5</f>
        <v>1000</v>
      </c>
      <c r="G88" t="s">
        <v>205</v>
      </c>
      <c r="H88" t="s">
        <v>185</v>
      </c>
      <c r="I88" t="s">
        <v>186</v>
      </c>
      <c r="J88" s="9" t="s">
        <v>180</v>
      </c>
      <c r="K88" s="9" t="s">
        <v>187</v>
      </c>
      <c r="L88" t="s">
        <v>188</v>
      </c>
      <c r="M88" s="161" t="s">
        <v>189</v>
      </c>
    </row>
    <row r="89" spans="2:14" x14ac:dyDescent="0.3">
      <c r="B89" t="s">
        <v>35</v>
      </c>
      <c r="C89" t="s">
        <v>1</v>
      </c>
      <c r="D89" s="155" t="s">
        <v>271</v>
      </c>
      <c r="E89" t="s">
        <v>155</v>
      </c>
      <c r="F89" s="16">
        <f>Summary!Y6</f>
        <v>1500</v>
      </c>
      <c r="G89" t="s">
        <v>205</v>
      </c>
      <c r="H89" t="s">
        <v>185</v>
      </c>
      <c r="I89" t="s">
        <v>186</v>
      </c>
      <c r="J89" s="9" t="s">
        <v>180</v>
      </c>
      <c r="K89" s="9" t="s">
        <v>187</v>
      </c>
      <c r="L89" t="s">
        <v>188</v>
      </c>
      <c r="M89" s="161" t="s">
        <v>189</v>
      </c>
    </row>
    <row r="90" spans="2:14" x14ac:dyDescent="0.3">
      <c r="B90" t="s">
        <v>35</v>
      </c>
      <c r="C90" t="s">
        <v>1</v>
      </c>
      <c r="D90" s="155" t="s">
        <v>45</v>
      </c>
      <c r="E90" t="s">
        <v>155</v>
      </c>
      <c r="F90" s="16">
        <f>Summary!Y7</f>
        <v>1000</v>
      </c>
      <c r="G90" t="s">
        <v>205</v>
      </c>
      <c r="H90" t="s">
        <v>185</v>
      </c>
      <c r="I90" t="s">
        <v>186</v>
      </c>
      <c r="J90" s="9" t="s">
        <v>180</v>
      </c>
      <c r="K90" s="9" t="s">
        <v>187</v>
      </c>
      <c r="L90" t="s">
        <v>188</v>
      </c>
      <c r="M90" s="161" t="s">
        <v>189</v>
      </c>
    </row>
    <row r="91" spans="2:14" x14ac:dyDescent="0.3">
      <c r="B91" t="s">
        <v>35</v>
      </c>
      <c r="C91" t="s">
        <v>1</v>
      </c>
      <c r="D91" s="155" t="s">
        <v>46</v>
      </c>
      <c r="E91" t="s">
        <v>155</v>
      </c>
      <c r="F91" s="16">
        <f>Summary!Y9</f>
        <v>500</v>
      </c>
      <c r="G91" t="s">
        <v>205</v>
      </c>
      <c r="H91" t="s">
        <v>185</v>
      </c>
      <c r="I91" t="s">
        <v>186</v>
      </c>
      <c r="J91" s="9" t="s">
        <v>180</v>
      </c>
      <c r="K91" s="9" t="s">
        <v>187</v>
      </c>
      <c r="L91" t="s">
        <v>188</v>
      </c>
      <c r="M91" s="161" t="s">
        <v>189</v>
      </c>
    </row>
    <row r="92" spans="2:14" x14ac:dyDescent="0.3">
      <c r="B92" t="s">
        <v>35</v>
      </c>
      <c r="C92" t="s">
        <v>1</v>
      </c>
      <c r="D92" s="155" t="s">
        <v>281</v>
      </c>
      <c r="E92" t="s">
        <v>155</v>
      </c>
      <c r="F92" s="16">
        <f>Summary!Y10</f>
        <v>1500</v>
      </c>
      <c r="G92" t="s">
        <v>205</v>
      </c>
      <c r="H92" t="s">
        <v>185</v>
      </c>
      <c r="I92" t="s">
        <v>186</v>
      </c>
      <c r="J92" s="9" t="s">
        <v>180</v>
      </c>
      <c r="K92" s="9" t="s">
        <v>187</v>
      </c>
      <c r="L92" t="s">
        <v>188</v>
      </c>
      <c r="M92" s="161" t="s">
        <v>189</v>
      </c>
      <c r="N92" t="s">
        <v>206</v>
      </c>
    </row>
    <row r="93" spans="2:14" x14ac:dyDescent="0.3">
      <c r="B93" t="s">
        <v>35</v>
      </c>
      <c r="C93" t="s">
        <v>1</v>
      </c>
      <c r="D93" s="155" t="s">
        <v>47</v>
      </c>
      <c r="E93" t="s">
        <v>155</v>
      </c>
      <c r="F93" s="16">
        <f>Summary!Y8</f>
        <v>1000</v>
      </c>
      <c r="G93" t="s">
        <v>205</v>
      </c>
      <c r="H93" t="s">
        <v>185</v>
      </c>
      <c r="I93" t="s">
        <v>186</v>
      </c>
      <c r="J93" s="9" t="s">
        <v>180</v>
      </c>
      <c r="K93" s="9" t="s">
        <v>187</v>
      </c>
      <c r="L93" t="s">
        <v>188</v>
      </c>
      <c r="M93" s="161" t="s">
        <v>189</v>
      </c>
    </row>
    <row r="94" spans="2:14" x14ac:dyDescent="0.3">
      <c r="B94" t="s">
        <v>35</v>
      </c>
      <c r="C94" t="s">
        <v>1</v>
      </c>
      <c r="D94" s="155" t="s">
        <v>273</v>
      </c>
      <c r="E94" t="s">
        <v>155</v>
      </c>
      <c r="F94" s="16">
        <f>Summary!Y11</f>
        <v>1000</v>
      </c>
      <c r="G94" t="s">
        <v>205</v>
      </c>
      <c r="H94" t="s">
        <v>185</v>
      </c>
      <c r="I94" t="s">
        <v>186</v>
      </c>
      <c r="J94" s="9" t="s">
        <v>180</v>
      </c>
      <c r="K94" s="9" t="s">
        <v>187</v>
      </c>
      <c r="L94" t="s">
        <v>188</v>
      </c>
      <c r="M94" s="161" t="s">
        <v>189</v>
      </c>
    </row>
    <row r="95" spans="2:14" x14ac:dyDescent="0.3">
      <c r="B95" t="s">
        <v>35</v>
      </c>
      <c r="C95" t="s">
        <v>1</v>
      </c>
      <c r="D95" t="s">
        <v>269</v>
      </c>
      <c r="E95" t="s">
        <v>155</v>
      </c>
      <c r="F95" s="16">
        <f>Summary!Y12</f>
        <v>1000</v>
      </c>
      <c r="G95" t="s">
        <v>205</v>
      </c>
      <c r="H95" t="s">
        <v>185</v>
      </c>
      <c r="I95" t="s">
        <v>186</v>
      </c>
      <c r="J95" s="9" t="s">
        <v>180</v>
      </c>
      <c r="K95" s="9" t="s">
        <v>187</v>
      </c>
      <c r="L95" t="s">
        <v>188</v>
      </c>
      <c r="M95" s="161" t="s">
        <v>189</v>
      </c>
    </row>
    <row r="96" spans="2:14" x14ac:dyDescent="0.3">
      <c r="B96" t="s">
        <v>35</v>
      </c>
      <c r="C96" t="s">
        <v>1</v>
      </c>
      <c r="D96" s="156" t="s">
        <v>270</v>
      </c>
      <c r="E96" t="s">
        <v>155</v>
      </c>
      <c r="F96" s="16">
        <f>Summary!Y13</f>
        <v>1500</v>
      </c>
      <c r="G96" t="s">
        <v>205</v>
      </c>
      <c r="H96" t="s">
        <v>185</v>
      </c>
      <c r="I96" t="s">
        <v>186</v>
      </c>
      <c r="J96" s="9" t="s">
        <v>180</v>
      </c>
      <c r="K96" s="9" t="s">
        <v>187</v>
      </c>
      <c r="L96" t="s">
        <v>188</v>
      </c>
      <c r="M96" s="161" t="s">
        <v>189</v>
      </c>
    </row>
    <row r="97" spans="2:13" x14ac:dyDescent="0.3">
      <c r="B97" t="s">
        <v>35</v>
      </c>
      <c r="C97" t="s">
        <v>1</v>
      </c>
      <c r="D97" s="156" t="s">
        <v>41</v>
      </c>
      <c r="E97" t="s">
        <v>155</v>
      </c>
      <c r="F97" s="16">
        <f>Summary!Y14</f>
        <v>500</v>
      </c>
      <c r="G97" t="s">
        <v>205</v>
      </c>
      <c r="H97" t="s">
        <v>185</v>
      </c>
      <c r="I97" t="s">
        <v>186</v>
      </c>
      <c r="J97" s="9" t="s">
        <v>180</v>
      </c>
      <c r="K97" s="9" t="s">
        <v>187</v>
      </c>
      <c r="L97" t="s">
        <v>188</v>
      </c>
      <c r="M97" s="161" t="s">
        <v>189</v>
      </c>
    </row>
    <row r="98" spans="2:13" x14ac:dyDescent="0.3">
      <c r="B98" t="s">
        <v>35</v>
      </c>
      <c r="C98" t="s">
        <v>1</v>
      </c>
      <c r="D98" s="156" t="s">
        <v>42</v>
      </c>
      <c r="E98" t="s">
        <v>155</v>
      </c>
      <c r="F98" s="16">
        <f>Summary!Y15</f>
        <v>1000</v>
      </c>
      <c r="G98" t="s">
        <v>205</v>
      </c>
      <c r="H98" t="s">
        <v>185</v>
      </c>
      <c r="I98" t="s">
        <v>186</v>
      </c>
      <c r="J98" s="9" t="s">
        <v>180</v>
      </c>
      <c r="K98" s="9" t="s">
        <v>187</v>
      </c>
      <c r="L98" t="s">
        <v>188</v>
      </c>
      <c r="M98" s="161" t="s">
        <v>189</v>
      </c>
    </row>
    <row r="99" spans="2:13" x14ac:dyDescent="0.3">
      <c r="B99" t="s">
        <v>35</v>
      </c>
      <c r="C99" t="s">
        <v>1</v>
      </c>
      <c r="D99" s="156" t="s">
        <v>48</v>
      </c>
      <c r="E99" t="s">
        <v>155</v>
      </c>
      <c r="F99" s="16">
        <f>Summary!Y16</f>
        <v>1000</v>
      </c>
      <c r="G99" t="s">
        <v>205</v>
      </c>
      <c r="H99" t="s">
        <v>185</v>
      </c>
      <c r="I99" t="s">
        <v>186</v>
      </c>
      <c r="J99" s="9" t="s">
        <v>180</v>
      </c>
      <c r="K99" s="9" t="s">
        <v>187</v>
      </c>
      <c r="L99" t="s">
        <v>188</v>
      </c>
      <c r="M99" s="161" t="s">
        <v>189</v>
      </c>
    </row>
    <row r="100" spans="2:13" x14ac:dyDescent="0.3">
      <c r="B100" t="s">
        <v>35</v>
      </c>
      <c r="C100" t="s">
        <v>1</v>
      </c>
      <c r="D100" s="156" t="s">
        <v>53</v>
      </c>
      <c r="E100" t="s">
        <v>155</v>
      </c>
      <c r="F100" s="16">
        <f>Summary!Y17</f>
        <v>500</v>
      </c>
      <c r="G100" t="s">
        <v>205</v>
      </c>
      <c r="H100" t="s">
        <v>185</v>
      </c>
      <c r="I100" t="s">
        <v>186</v>
      </c>
      <c r="J100" s="9" t="s">
        <v>180</v>
      </c>
      <c r="K100" s="9" t="s">
        <v>187</v>
      </c>
      <c r="L100" t="s">
        <v>188</v>
      </c>
      <c r="M100" s="161" t="s">
        <v>189</v>
      </c>
    </row>
    <row r="101" spans="2:13" x14ac:dyDescent="0.3">
      <c r="B101" t="s">
        <v>35</v>
      </c>
      <c r="C101" t="s">
        <v>1</v>
      </c>
      <c r="D101" s="156" t="s">
        <v>54</v>
      </c>
      <c r="E101" t="s">
        <v>155</v>
      </c>
      <c r="F101" s="16">
        <f>Summary!Y18</f>
        <v>1000</v>
      </c>
      <c r="G101" t="s">
        <v>205</v>
      </c>
      <c r="H101" t="s">
        <v>185</v>
      </c>
      <c r="I101" t="s">
        <v>186</v>
      </c>
      <c r="J101" s="9" t="s">
        <v>180</v>
      </c>
      <c r="K101" s="9" t="s">
        <v>187</v>
      </c>
      <c r="L101" t="s">
        <v>188</v>
      </c>
      <c r="M101" s="161" t="s">
        <v>189</v>
      </c>
    </row>
    <row r="102" spans="2:13" x14ac:dyDescent="0.3">
      <c r="B102" t="s">
        <v>35</v>
      </c>
      <c r="C102" t="s">
        <v>1</v>
      </c>
      <c r="D102" s="156" t="s">
        <v>55</v>
      </c>
      <c r="E102" t="s">
        <v>155</v>
      </c>
      <c r="F102" s="16">
        <f>Summary!Y19</f>
        <v>1000</v>
      </c>
      <c r="G102" t="s">
        <v>205</v>
      </c>
      <c r="H102" t="s">
        <v>185</v>
      </c>
      <c r="I102" t="s">
        <v>186</v>
      </c>
      <c r="J102" s="9" t="s">
        <v>180</v>
      </c>
      <c r="K102" s="9" t="s">
        <v>187</v>
      </c>
      <c r="L102" t="s">
        <v>188</v>
      </c>
      <c r="M102" s="161" t="s">
        <v>189</v>
      </c>
    </row>
    <row r="103" spans="2:13" x14ac:dyDescent="0.3">
      <c r="B103" t="s">
        <v>35</v>
      </c>
      <c r="C103" t="s">
        <v>1</v>
      </c>
      <c r="D103" s="156" t="s">
        <v>56</v>
      </c>
      <c r="E103" t="s">
        <v>155</v>
      </c>
      <c r="F103" s="16">
        <f>Summary!Y20</f>
        <v>500</v>
      </c>
      <c r="G103" t="s">
        <v>205</v>
      </c>
      <c r="H103" t="s">
        <v>185</v>
      </c>
      <c r="I103" t="s">
        <v>186</v>
      </c>
      <c r="J103" s="9" t="s">
        <v>180</v>
      </c>
      <c r="K103" s="9" t="s">
        <v>187</v>
      </c>
      <c r="L103" t="s">
        <v>188</v>
      </c>
      <c r="M103" s="161" t="s">
        <v>189</v>
      </c>
    </row>
    <row r="104" spans="2:13" x14ac:dyDescent="0.3">
      <c r="B104" t="s">
        <v>35</v>
      </c>
      <c r="C104" t="s">
        <v>1</v>
      </c>
      <c r="D104" t="s">
        <v>60</v>
      </c>
      <c r="E104" t="s">
        <v>155</v>
      </c>
      <c r="F104" s="16">
        <f>Summary!Y21</f>
        <v>1000</v>
      </c>
      <c r="G104" t="s">
        <v>205</v>
      </c>
      <c r="H104" t="s">
        <v>185</v>
      </c>
      <c r="I104" t="s">
        <v>186</v>
      </c>
      <c r="J104" s="9" t="s">
        <v>180</v>
      </c>
      <c r="K104" s="9" t="s">
        <v>187</v>
      </c>
      <c r="L104" t="s">
        <v>188</v>
      </c>
      <c r="M104" s="161" t="s">
        <v>189</v>
      </c>
    </row>
    <row r="105" spans="2:13" x14ac:dyDescent="0.3">
      <c r="B105" t="s">
        <v>35</v>
      </c>
      <c r="C105" t="s">
        <v>1</v>
      </c>
      <c r="D105" t="s">
        <v>61</v>
      </c>
      <c r="E105" t="s">
        <v>155</v>
      </c>
      <c r="F105" s="16">
        <f>Summary!Y22</f>
        <v>1000</v>
      </c>
      <c r="G105" t="s">
        <v>205</v>
      </c>
      <c r="H105" t="s">
        <v>185</v>
      </c>
      <c r="I105" t="s">
        <v>186</v>
      </c>
      <c r="J105" s="9" t="s">
        <v>180</v>
      </c>
      <c r="K105" s="9" t="s">
        <v>187</v>
      </c>
      <c r="L105" t="s">
        <v>188</v>
      </c>
      <c r="M105" s="161" t="s">
        <v>189</v>
      </c>
    </row>
    <row r="106" spans="2:13" x14ac:dyDescent="0.3">
      <c r="B106" t="s">
        <v>35</v>
      </c>
      <c r="C106" t="s">
        <v>1</v>
      </c>
      <c r="D106" t="s">
        <v>275</v>
      </c>
      <c r="E106" t="s">
        <v>155</v>
      </c>
      <c r="F106" s="16">
        <f>Summary!Y23</f>
        <v>500</v>
      </c>
      <c r="G106" t="s">
        <v>205</v>
      </c>
      <c r="H106" t="s">
        <v>185</v>
      </c>
      <c r="I106" t="s">
        <v>186</v>
      </c>
      <c r="J106" s="9" t="s">
        <v>180</v>
      </c>
      <c r="K106" s="9" t="s">
        <v>187</v>
      </c>
      <c r="L106" t="s">
        <v>188</v>
      </c>
      <c r="M106" s="161" t="s">
        <v>189</v>
      </c>
    </row>
    <row r="107" spans="2:13" x14ac:dyDescent="0.3">
      <c r="B107" t="s">
        <v>35</v>
      </c>
      <c r="C107" t="s">
        <v>1</v>
      </c>
      <c r="D107" t="s">
        <v>57</v>
      </c>
      <c r="E107" t="s">
        <v>155</v>
      </c>
      <c r="F107" s="16">
        <f>Summary!Y24</f>
        <v>1000</v>
      </c>
      <c r="G107" t="s">
        <v>205</v>
      </c>
      <c r="H107" t="s">
        <v>185</v>
      </c>
      <c r="I107" t="s">
        <v>186</v>
      </c>
      <c r="J107" s="9" t="s">
        <v>180</v>
      </c>
      <c r="K107" s="9" t="s">
        <v>187</v>
      </c>
      <c r="L107" t="s">
        <v>188</v>
      </c>
      <c r="M107" s="161" t="s">
        <v>189</v>
      </c>
    </row>
    <row r="108" spans="2:13" x14ac:dyDescent="0.3">
      <c r="B108" t="s">
        <v>35</v>
      </c>
      <c r="C108" t="s">
        <v>1</v>
      </c>
      <c r="D108" t="s">
        <v>58</v>
      </c>
      <c r="E108" t="s">
        <v>155</v>
      </c>
      <c r="F108" s="16">
        <f>Summary!Y25</f>
        <v>500</v>
      </c>
      <c r="G108" t="s">
        <v>205</v>
      </c>
      <c r="H108" t="s">
        <v>185</v>
      </c>
      <c r="I108" t="s">
        <v>186</v>
      </c>
      <c r="J108" s="9" t="s">
        <v>180</v>
      </c>
      <c r="K108" s="9" t="s">
        <v>187</v>
      </c>
      <c r="L108" t="s">
        <v>188</v>
      </c>
      <c r="M108" s="161" t="s">
        <v>189</v>
      </c>
    </row>
    <row r="109" spans="2:13" x14ac:dyDescent="0.3">
      <c r="B109" t="s">
        <v>35</v>
      </c>
      <c r="C109" t="s">
        <v>1</v>
      </c>
      <c r="D109" t="s">
        <v>272</v>
      </c>
      <c r="E109" t="s">
        <v>155</v>
      </c>
      <c r="F109" s="16">
        <f>Summary!Y26</f>
        <v>1000</v>
      </c>
      <c r="G109" t="s">
        <v>205</v>
      </c>
      <c r="H109" t="s">
        <v>185</v>
      </c>
      <c r="I109" t="s">
        <v>186</v>
      </c>
      <c r="J109" s="9" t="s">
        <v>180</v>
      </c>
      <c r="K109" s="9" t="s">
        <v>187</v>
      </c>
      <c r="L109" t="s">
        <v>188</v>
      </c>
      <c r="M109" s="161" t="s">
        <v>189</v>
      </c>
    </row>
    <row r="110" spans="2:13" x14ac:dyDescent="0.3">
      <c r="B110" t="s">
        <v>35</v>
      </c>
      <c r="C110" t="s">
        <v>1</v>
      </c>
      <c r="D110" t="s">
        <v>59</v>
      </c>
      <c r="E110" t="s">
        <v>155</v>
      </c>
      <c r="F110" s="16">
        <f>Summary!Y27</f>
        <v>500</v>
      </c>
      <c r="G110" t="s">
        <v>205</v>
      </c>
      <c r="H110" t="s">
        <v>185</v>
      </c>
      <c r="I110" t="s">
        <v>186</v>
      </c>
      <c r="J110" s="9" t="s">
        <v>180</v>
      </c>
      <c r="K110" s="9" t="s">
        <v>187</v>
      </c>
      <c r="L110" t="s">
        <v>188</v>
      </c>
      <c r="M110" s="161" t="s">
        <v>189</v>
      </c>
    </row>
    <row r="111" spans="2:13" s="1" customFormat="1" x14ac:dyDescent="0.3">
      <c r="B111" s="1" t="s">
        <v>35</v>
      </c>
      <c r="C111" s="1" t="s">
        <v>1</v>
      </c>
      <c r="D111" t="s">
        <v>276</v>
      </c>
      <c r="E111" s="1" t="s">
        <v>155</v>
      </c>
      <c r="F111" s="113">
        <f>Summary!Y28</f>
        <v>1000</v>
      </c>
      <c r="G111" t="s">
        <v>205</v>
      </c>
      <c r="H111" s="1" t="s">
        <v>185</v>
      </c>
      <c r="I111" s="1" t="s">
        <v>186</v>
      </c>
      <c r="J111" s="101" t="s">
        <v>180</v>
      </c>
      <c r="K111" s="101" t="s">
        <v>187</v>
      </c>
      <c r="L111" s="1" t="s">
        <v>188</v>
      </c>
      <c r="M111" s="162" t="s">
        <v>189</v>
      </c>
    </row>
    <row r="112" spans="2:13" x14ac:dyDescent="0.3">
      <c r="B112" t="s">
        <v>35</v>
      </c>
      <c r="C112" t="s">
        <v>1</v>
      </c>
      <c r="D112" t="s">
        <v>50</v>
      </c>
      <c r="E112" t="s">
        <v>156</v>
      </c>
      <c r="F112" s="16">
        <f>Summary!Z4</f>
        <v>1500</v>
      </c>
      <c r="G112" t="s">
        <v>205</v>
      </c>
      <c r="H112" t="s">
        <v>185</v>
      </c>
      <c r="I112" t="s">
        <v>190</v>
      </c>
      <c r="J112" s="9" t="s">
        <v>180</v>
      </c>
      <c r="K112" s="9" t="s">
        <v>191</v>
      </c>
      <c r="L112" t="s">
        <v>192</v>
      </c>
    </row>
    <row r="113" spans="2:14" x14ac:dyDescent="0.3">
      <c r="B113" t="s">
        <v>35</v>
      </c>
      <c r="C113" t="s">
        <v>1</v>
      </c>
      <c r="D113" t="s">
        <v>51</v>
      </c>
      <c r="E113" t="s">
        <v>156</v>
      </c>
      <c r="F113" s="16">
        <f>Summary!Z5</f>
        <v>3000</v>
      </c>
      <c r="G113" t="s">
        <v>205</v>
      </c>
      <c r="H113" t="s">
        <v>185</v>
      </c>
      <c r="I113" t="s">
        <v>190</v>
      </c>
      <c r="J113" s="9" t="s">
        <v>180</v>
      </c>
      <c r="K113" s="9" t="s">
        <v>191</v>
      </c>
      <c r="L113" t="s">
        <v>192</v>
      </c>
    </row>
    <row r="114" spans="2:14" x14ac:dyDescent="0.3">
      <c r="B114" t="s">
        <v>35</v>
      </c>
      <c r="C114" t="s">
        <v>1</v>
      </c>
      <c r="D114" s="155" t="s">
        <v>271</v>
      </c>
      <c r="E114" t="s">
        <v>156</v>
      </c>
      <c r="F114" s="16">
        <f>Summary!Z6</f>
        <v>4500</v>
      </c>
      <c r="G114" t="s">
        <v>205</v>
      </c>
      <c r="H114" t="s">
        <v>185</v>
      </c>
      <c r="I114" t="s">
        <v>190</v>
      </c>
      <c r="J114" s="9" t="s">
        <v>180</v>
      </c>
      <c r="K114" s="9" t="s">
        <v>191</v>
      </c>
      <c r="L114" t="s">
        <v>192</v>
      </c>
    </row>
    <row r="115" spans="2:14" x14ac:dyDescent="0.3">
      <c r="B115" t="s">
        <v>35</v>
      </c>
      <c r="C115" t="s">
        <v>1</v>
      </c>
      <c r="D115" s="155" t="s">
        <v>45</v>
      </c>
      <c r="E115" t="s">
        <v>156</v>
      </c>
      <c r="F115" s="16">
        <f>Summary!Z7</f>
        <v>3000</v>
      </c>
      <c r="G115" t="s">
        <v>205</v>
      </c>
      <c r="H115" t="s">
        <v>185</v>
      </c>
      <c r="I115" t="s">
        <v>190</v>
      </c>
      <c r="J115" s="9" t="s">
        <v>180</v>
      </c>
      <c r="K115" s="9" t="s">
        <v>191</v>
      </c>
      <c r="L115" t="s">
        <v>192</v>
      </c>
    </row>
    <row r="116" spans="2:14" x14ac:dyDescent="0.3">
      <c r="B116" t="s">
        <v>35</v>
      </c>
      <c r="C116" t="s">
        <v>1</v>
      </c>
      <c r="D116" s="155" t="s">
        <v>46</v>
      </c>
      <c r="E116" t="s">
        <v>156</v>
      </c>
      <c r="F116" s="16">
        <f>Summary!Z9</f>
        <v>1500</v>
      </c>
      <c r="G116" t="s">
        <v>205</v>
      </c>
      <c r="H116" t="s">
        <v>185</v>
      </c>
      <c r="I116" t="s">
        <v>190</v>
      </c>
      <c r="J116" s="9" t="s">
        <v>180</v>
      </c>
      <c r="K116" s="9" t="s">
        <v>191</v>
      </c>
      <c r="L116" t="s">
        <v>192</v>
      </c>
    </row>
    <row r="117" spans="2:14" x14ac:dyDescent="0.3">
      <c r="B117" t="s">
        <v>35</v>
      </c>
      <c r="C117" t="s">
        <v>1</v>
      </c>
      <c r="D117" s="155" t="s">
        <v>281</v>
      </c>
      <c r="E117" t="s">
        <v>156</v>
      </c>
      <c r="F117" s="16">
        <f>Summary!Z10</f>
        <v>4500</v>
      </c>
      <c r="G117" t="s">
        <v>205</v>
      </c>
      <c r="H117" t="s">
        <v>185</v>
      </c>
      <c r="J117" s="9" t="s">
        <v>180</v>
      </c>
      <c r="K117" s="9" t="s">
        <v>191</v>
      </c>
      <c r="L117" t="s">
        <v>192</v>
      </c>
      <c r="N117" t="s">
        <v>206</v>
      </c>
    </row>
    <row r="118" spans="2:14" x14ac:dyDescent="0.3">
      <c r="B118" t="s">
        <v>35</v>
      </c>
      <c r="C118" t="s">
        <v>1</v>
      </c>
      <c r="D118" s="155" t="s">
        <v>47</v>
      </c>
      <c r="E118" t="s">
        <v>156</v>
      </c>
      <c r="F118" s="16">
        <f>Summary!Z8</f>
        <v>3000</v>
      </c>
      <c r="G118" t="s">
        <v>205</v>
      </c>
      <c r="H118" t="s">
        <v>185</v>
      </c>
      <c r="I118" t="s">
        <v>190</v>
      </c>
      <c r="J118" s="9" t="s">
        <v>180</v>
      </c>
      <c r="K118" s="9" t="s">
        <v>191</v>
      </c>
      <c r="L118" t="s">
        <v>192</v>
      </c>
    </row>
    <row r="119" spans="2:14" x14ac:dyDescent="0.3">
      <c r="B119" t="s">
        <v>35</v>
      </c>
      <c r="C119" t="s">
        <v>1</v>
      </c>
      <c r="D119" s="155" t="s">
        <v>273</v>
      </c>
      <c r="E119" t="s">
        <v>156</v>
      </c>
      <c r="F119" s="16">
        <f>Summary!Z11</f>
        <v>3000</v>
      </c>
      <c r="G119" t="s">
        <v>205</v>
      </c>
      <c r="H119" t="s">
        <v>185</v>
      </c>
      <c r="I119" t="s">
        <v>190</v>
      </c>
      <c r="J119" s="9" t="s">
        <v>180</v>
      </c>
      <c r="K119" s="9" t="s">
        <v>191</v>
      </c>
      <c r="L119" t="s">
        <v>192</v>
      </c>
    </row>
    <row r="120" spans="2:14" x14ac:dyDescent="0.3">
      <c r="B120" t="s">
        <v>35</v>
      </c>
      <c r="C120" t="s">
        <v>1</v>
      </c>
      <c r="D120" t="s">
        <v>269</v>
      </c>
      <c r="E120" t="s">
        <v>156</v>
      </c>
      <c r="F120" s="16">
        <f>Summary!Z12</f>
        <v>3000</v>
      </c>
      <c r="G120" t="s">
        <v>205</v>
      </c>
      <c r="H120" t="s">
        <v>185</v>
      </c>
      <c r="I120" t="s">
        <v>190</v>
      </c>
      <c r="J120" s="9" t="s">
        <v>180</v>
      </c>
      <c r="K120" s="9" t="s">
        <v>191</v>
      </c>
      <c r="L120" t="s">
        <v>192</v>
      </c>
    </row>
    <row r="121" spans="2:14" x14ac:dyDescent="0.3">
      <c r="B121" t="s">
        <v>35</v>
      </c>
      <c r="C121" t="s">
        <v>1</v>
      </c>
      <c r="D121" s="156" t="s">
        <v>270</v>
      </c>
      <c r="E121" t="s">
        <v>156</v>
      </c>
      <c r="F121" s="16">
        <f>Summary!Z13</f>
        <v>4500</v>
      </c>
      <c r="G121" t="s">
        <v>205</v>
      </c>
      <c r="H121" t="s">
        <v>185</v>
      </c>
      <c r="I121" t="s">
        <v>190</v>
      </c>
      <c r="J121" s="9" t="s">
        <v>180</v>
      </c>
      <c r="K121" s="9" t="s">
        <v>191</v>
      </c>
      <c r="L121" t="s">
        <v>192</v>
      </c>
    </row>
    <row r="122" spans="2:14" x14ac:dyDescent="0.3">
      <c r="B122" t="s">
        <v>35</v>
      </c>
      <c r="C122" t="s">
        <v>1</v>
      </c>
      <c r="D122" s="156" t="s">
        <v>41</v>
      </c>
      <c r="E122" t="s">
        <v>156</v>
      </c>
      <c r="F122" s="16">
        <f>Summary!Z14</f>
        <v>1500</v>
      </c>
      <c r="G122" t="s">
        <v>205</v>
      </c>
      <c r="H122" t="s">
        <v>185</v>
      </c>
      <c r="I122" t="s">
        <v>190</v>
      </c>
      <c r="J122" s="9" t="s">
        <v>180</v>
      </c>
      <c r="K122" s="9" t="s">
        <v>191</v>
      </c>
      <c r="L122" t="s">
        <v>192</v>
      </c>
    </row>
    <row r="123" spans="2:14" x14ac:dyDescent="0.3">
      <c r="B123" t="s">
        <v>35</v>
      </c>
      <c r="C123" t="s">
        <v>1</v>
      </c>
      <c r="D123" s="156" t="s">
        <v>42</v>
      </c>
      <c r="E123" t="s">
        <v>156</v>
      </c>
      <c r="F123" s="16">
        <f>Summary!Z15</f>
        <v>3000</v>
      </c>
      <c r="G123" t="s">
        <v>205</v>
      </c>
      <c r="H123" t="s">
        <v>185</v>
      </c>
      <c r="I123" t="s">
        <v>190</v>
      </c>
      <c r="J123" s="9" t="s">
        <v>180</v>
      </c>
      <c r="K123" s="9" t="s">
        <v>191</v>
      </c>
      <c r="L123" t="s">
        <v>192</v>
      </c>
    </row>
    <row r="124" spans="2:14" x14ac:dyDescent="0.3">
      <c r="B124" t="s">
        <v>35</v>
      </c>
      <c r="C124" t="s">
        <v>1</v>
      </c>
      <c r="D124" s="156" t="s">
        <v>48</v>
      </c>
      <c r="E124" t="s">
        <v>156</v>
      </c>
      <c r="F124" s="16">
        <f>Summary!Z16</f>
        <v>3000</v>
      </c>
      <c r="G124" t="s">
        <v>205</v>
      </c>
      <c r="H124" t="s">
        <v>185</v>
      </c>
      <c r="I124" t="s">
        <v>190</v>
      </c>
      <c r="J124" s="9" t="s">
        <v>180</v>
      </c>
      <c r="K124" s="9" t="s">
        <v>191</v>
      </c>
      <c r="L124" t="s">
        <v>192</v>
      </c>
    </row>
    <row r="125" spans="2:14" x14ac:dyDescent="0.3">
      <c r="B125" t="s">
        <v>35</v>
      </c>
      <c r="C125" t="s">
        <v>1</v>
      </c>
      <c r="D125" s="156" t="s">
        <v>53</v>
      </c>
      <c r="E125" t="s">
        <v>156</v>
      </c>
      <c r="F125" s="16">
        <f>Summary!Z17</f>
        <v>1500</v>
      </c>
      <c r="G125" t="s">
        <v>205</v>
      </c>
      <c r="H125" t="s">
        <v>185</v>
      </c>
      <c r="I125" t="s">
        <v>190</v>
      </c>
      <c r="J125" s="9" t="s">
        <v>180</v>
      </c>
      <c r="K125" s="9" t="s">
        <v>191</v>
      </c>
      <c r="L125" t="s">
        <v>192</v>
      </c>
    </row>
    <row r="126" spans="2:14" x14ac:dyDescent="0.3">
      <c r="B126" t="s">
        <v>35</v>
      </c>
      <c r="C126" t="s">
        <v>1</v>
      </c>
      <c r="D126" s="156" t="s">
        <v>54</v>
      </c>
      <c r="E126" t="s">
        <v>156</v>
      </c>
      <c r="F126" s="16">
        <f>Summary!Z18</f>
        <v>3000</v>
      </c>
      <c r="G126" t="s">
        <v>205</v>
      </c>
      <c r="H126" t="s">
        <v>185</v>
      </c>
      <c r="I126" t="s">
        <v>190</v>
      </c>
      <c r="J126" s="9" t="s">
        <v>180</v>
      </c>
      <c r="K126" s="9" t="s">
        <v>191</v>
      </c>
      <c r="L126" t="s">
        <v>192</v>
      </c>
    </row>
    <row r="127" spans="2:14" x14ac:dyDescent="0.3">
      <c r="B127" t="s">
        <v>35</v>
      </c>
      <c r="C127" t="s">
        <v>1</v>
      </c>
      <c r="D127" s="156" t="s">
        <v>55</v>
      </c>
      <c r="E127" t="s">
        <v>156</v>
      </c>
      <c r="F127" s="16">
        <f>Summary!Z19</f>
        <v>3000</v>
      </c>
      <c r="G127" t="s">
        <v>205</v>
      </c>
      <c r="H127" t="s">
        <v>185</v>
      </c>
      <c r="I127" t="s">
        <v>190</v>
      </c>
      <c r="J127" s="9" t="s">
        <v>180</v>
      </c>
      <c r="K127" s="9" t="s">
        <v>191</v>
      </c>
      <c r="L127" t="s">
        <v>192</v>
      </c>
    </row>
    <row r="128" spans="2:14" x14ac:dyDescent="0.3">
      <c r="B128" t="s">
        <v>35</v>
      </c>
      <c r="C128" t="s">
        <v>1</v>
      </c>
      <c r="D128" s="156" t="s">
        <v>56</v>
      </c>
      <c r="E128" t="s">
        <v>156</v>
      </c>
      <c r="F128" s="16">
        <f>Summary!Z20</f>
        <v>1500</v>
      </c>
      <c r="G128" t="s">
        <v>205</v>
      </c>
      <c r="H128" t="s">
        <v>185</v>
      </c>
      <c r="I128" t="s">
        <v>190</v>
      </c>
      <c r="J128" s="9" t="s">
        <v>180</v>
      </c>
      <c r="K128" s="9" t="s">
        <v>191</v>
      </c>
      <c r="L128" t="s">
        <v>192</v>
      </c>
    </row>
    <row r="129" spans="2:14" x14ac:dyDescent="0.3">
      <c r="B129" t="s">
        <v>35</v>
      </c>
      <c r="C129" t="s">
        <v>1</v>
      </c>
      <c r="D129" t="s">
        <v>60</v>
      </c>
      <c r="E129" t="s">
        <v>156</v>
      </c>
      <c r="F129" s="16">
        <f>Summary!Z21</f>
        <v>3000</v>
      </c>
      <c r="G129" t="s">
        <v>205</v>
      </c>
      <c r="H129" t="s">
        <v>185</v>
      </c>
      <c r="I129" t="s">
        <v>190</v>
      </c>
      <c r="J129" s="9" t="s">
        <v>180</v>
      </c>
      <c r="K129" s="9" t="s">
        <v>191</v>
      </c>
      <c r="L129" t="s">
        <v>192</v>
      </c>
    </row>
    <row r="130" spans="2:14" x14ac:dyDescent="0.3">
      <c r="B130" t="s">
        <v>35</v>
      </c>
      <c r="C130" t="s">
        <v>1</v>
      </c>
      <c r="D130" t="s">
        <v>61</v>
      </c>
      <c r="E130" t="s">
        <v>156</v>
      </c>
      <c r="F130" s="16">
        <f>Summary!Z22</f>
        <v>3000</v>
      </c>
      <c r="G130" t="s">
        <v>205</v>
      </c>
      <c r="H130" t="s">
        <v>185</v>
      </c>
      <c r="I130" t="s">
        <v>190</v>
      </c>
      <c r="J130" s="9" t="s">
        <v>180</v>
      </c>
      <c r="K130" s="9" t="s">
        <v>191</v>
      </c>
      <c r="L130" t="s">
        <v>192</v>
      </c>
    </row>
    <row r="131" spans="2:14" x14ac:dyDescent="0.3">
      <c r="B131" t="s">
        <v>35</v>
      </c>
      <c r="C131" t="s">
        <v>1</v>
      </c>
      <c r="D131" t="s">
        <v>275</v>
      </c>
      <c r="E131" t="s">
        <v>156</v>
      </c>
      <c r="F131" s="16">
        <f>Summary!Z23</f>
        <v>1500</v>
      </c>
      <c r="G131" t="s">
        <v>205</v>
      </c>
      <c r="H131" t="s">
        <v>185</v>
      </c>
      <c r="I131" t="s">
        <v>190</v>
      </c>
      <c r="J131" s="9" t="s">
        <v>180</v>
      </c>
      <c r="K131" s="9" t="s">
        <v>191</v>
      </c>
      <c r="L131" t="s">
        <v>192</v>
      </c>
    </row>
    <row r="132" spans="2:14" x14ac:dyDescent="0.3">
      <c r="B132" t="s">
        <v>35</v>
      </c>
      <c r="C132" t="s">
        <v>1</v>
      </c>
      <c r="D132" t="s">
        <v>57</v>
      </c>
      <c r="E132" t="s">
        <v>156</v>
      </c>
      <c r="F132" s="16">
        <f>Summary!Z24</f>
        <v>3000</v>
      </c>
      <c r="G132" t="s">
        <v>205</v>
      </c>
      <c r="H132" t="s">
        <v>185</v>
      </c>
      <c r="I132" t="s">
        <v>190</v>
      </c>
      <c r="J132" s="9" t="s">
        <v>180</v>
      </c>
      <c r="K132" s="9" t="s">
        <v>191</v>
      </c>
      <c r="L132" t="s">
        <v>192</v>
      </c>
    </row>
    <row r="133" spans="2:14" x14ac:dyDescent="0.3">
      <c r="B133" t="s">
        <v>35</v>
      </c>
      <c r="C133" t="s">
        <v>1</v>
      </c>
      <c r="D133" t="s">
        <v>58</v>
      </c>
      <c r="E133" t="s">
        <v>156</v>
      </c>
      <c r="F133" s="16">
        <f>Summary!Z25</f>
        <v>1500</v>
      </c>
      <c r="G133" t="s">
        <v>205</v>
      </c>
      <c r="H133" t="s">
        <v>185</v>
      </c>
      <c r="I133" t="s">
        <v>190</v>
      </c>
      <c r="J133" s="9" t="s">
        <v>180</v>
      </c>
      <c r="K133" s="9" t="s">
        <v>191</v>
      </c>
      <c r="L133" t="s">
        <v>192</v>
      </c>
    </row>
    <row r="134" spans="2:14" x14ac:dyDescent="0.3">
      <c r="B134" t="s">
        <v>35</v>
      </c>
      <c r="C134" t="s">
        <v>1</v>
      </c>
      <c r="D134" t="s">
        <v>272</v>
      </c>
      <c r="E134" t="s">
        <v>156</v>
      </c>
      <c r="F134" s="16">
        <f>Summary!Z26</f>
        <v>3000</v>
      </c>
      <c r="G134" t="s">
        <v>205</v>
      </c>
      <c r="H134" t="s">
        <v>185</v>
      </c>
      <c r="I134" t="s">
        <v>190</v>
      </c>
      <c r="J134" s="9" t="s">
        <v>180</v>
      </c>
      <c r="K134" s="9" t="s">
        <v>191</v>
      </c>
      <c r="L134" t="s">
        <v>192</v>
      </c>
    </row>
    <row r="135" spans="2:14" x14ac:dyDescent="0.3">
      <c r="B135" t="s">
        <v>35</v>
      </c>
      <c r="C135" t="s">
        <v>1</v>
      </c>
      <c r="D135" t="s">
        <v>59</v>
      </c>
      <c r="E135" t="s">
        <v>156</v>
      </c>
      <c r="F135" s="16">
        <f>Summary!Z27</f>
        <v>1500</v>
      </c>
      <c r="G135" t="s">
        <v>205</v>
      </c>
      <c r="H135" t="s">
        <v>185</v>
      </c>
      <c r="I135" t="s">
        <v>190</v>
      </c>
      <c r="J135" s="9" t="s">
        <v>180</v>
      </c>
      <c r="K135" s="9" t="s">
        <v>191</v>
      </c>
      <c r="L135" t="s">
        <v>192</v>
      </c>
    </row>
    <row r="136" spans="2:14" s="1" customFormat="1" x14ac:dyDescent="0.3">
      <c r="B136" s="1" t="s">
        <v>35</v>
      </c>
      <c r="C136" s="1" t="s">
        <v>1</v>
      </c>
      <c r="D136" t="s">
        <v>276</v>
      </c>
      <c r="E136" s="1" t="s">
        <v>156</v>
      </c>
      <c r="F136" s="113">
        <f>Summary!Z28</f>
        <v>3000</v>
      </c>
      <c r="G136" t="s">
        <v>205</v>
      </c>
      <c r="H136" s="1" t="s">
        <v>185</v>
      </c>
      <c r="I136" s="1" t="s">
        <v>190</v>
      </c>
      <c r="J136" s="101" t="s">
        <v>180</v>
      </c>
      <c r="K136" s="101" t="s">
        <v>191</v>
      </c>
      <c r="L136" s="1" t="s">
        <v>192</v>
      </c>
    </row>
    <row r="137" spans="2:14" x14ac:dyDescent="0.3">
      <c r="B137" t="s">
        <v>35</v>
      </c>
      <c r="C137" t="s">
        <v>1</v>
      </c>
      <c r="D137" t="s">
        <v>50</v>
      </c>
      <c r="E137" t="s">
        <v>157</v>
      </c>
      <c r="F137" s="16">
        <f>Summary!AA4</f>
        <v>2500</v>
      </c>
      <c r="G137" t="s">
        <v>205</v>
      </c>
      <c r="H137" t="s">
        <v>185</v>
      </c>
      <c r="I137" t="s">
        <v>194</v>
      </c>
      <c r="J137" s="9" t="s">
        <v>180</v>
      </c>
      <c r="K137" s="9" t="s">
        <v>193</v>
      </c>
      <c r="L137" t="s">
        <v>192</v>
      </c>
    </row>
    <row r="138" spans="2:14" x14ac:dyDescent="0.3">
      <c r="B138" t="s">
        <v>35</v>
      </c>
      <c r="C138" t="s">
        <v>1</v>
      </c>
      <c r="D138" t="s">
        <v>51</v>
      </c>
      <c r="E138" t="s">
        <v>157</v>
      </c>
      <c r="F138" s="16">
        <f>Summary!AA5</f>
        <v>5000</v>
      </c>
      <c r="G138" t="s">
        <v>205</v>
      </c>
      <c r="H138" t="s">
        <v>185</v>
      </c>
      <c r="I138" t="s">
        <v>194</v>
      </c>
      <c r="J138" s="9" t="s">
        <v>180</v>
      </c>
      <c r="K138" s="9" t="s">
        <v>193</v>
      </c>
      <c r="L138" t="s">
        <v>192</v>
      </c>
    </row>
    <row r="139" spans="2:14" x14ac:dyDescent="0.3">
      <c r="B139" t="s">
        <v>35</v>
      </c>
      <c r="C139" t="s">
        <v>1</v>
      </c>
      <c r="D139" s="155" t="s">
        <v>271</v>
      </c>
      <c r="E139" t="s">
        <v>157</v>
      </c>
      <c r="F139" s="16">
        <f>Summary!AA6</f>
        <v>7500</v>
      </c>
      <c r="G139" t="s">
        <v>205</v>
      </c>
      <c r="H139" t="s">
        <v>185</v>
      </c>
      <c r="I139" t="s">
        <v>194</v>
      </c>
      <c r="J139" s="9" t="s">
        <v>180</v>
      </c>
      <c r="K139" s="9" t="s">
        <v>193</v>
      </c>
      <c r="L139" t="s">
        <v>192</v>
      </c>
    </row>
    <row r="140" spans="2:14" x14ac:dyDescent="0.3">
      <c r="B140" t="s">
        <v>35</v>
      </c>
      <c r="C140" t="s">
        <v>1</v>
      </c>
      <c r="D140" s="155" t="s">
        <v>45</v>
      </c>
      <c r="E140" t="s">
        <v>157</v>
      </c>
      <c r="F140" s="16">
        <f>Summary!AA7</f>
        <v>5000</v>
      </c>
      <c r="G140" t="s">
        <v>205</v>
      </c>
      <c r="H140" t="s">
        <v>185</v>
      </c>
      <c r="I140" t="s">
        <v>194</v>
      </c>
      <c r="J140" s="9" t="s">
        <v>180</v>
      </c>
      <c r="K140" s="9" t="s">
        <v>193</v>
      </c>
      <c r="L140" t="s">
        <v>192</v>
      </c>
    </row>
    <row r="141" spans="2:14" x14ac:dyDescent="0.3">
      <c r="B141" t="s">
        <v>35</v>
      </c>
      <c r="C141" t="s">
        <v>1</v>
      </c>
      <c r="D141" s="155" t="s">
        <v>46</v>
      </c>
      <c r="E141" t="s">
        <v>157</v>
      </c>
      <c r="F141" s="16">
        <f>Summary!AA9</f>
        <v>2500</v>
      </c>
      <c r="G141" t="s">
        <v>205</v>
      </c>
      <c r="H141" t="s">
        <v>185</v>
      </c>
      <c r="I141" t="s">
        <v>194</v>
      </c>
      <c r="J141" s="9" t="s">
        <v>180</v>
      </c>
      <c r="K141" s="9" t="s">
        <v>193</v>
      </c>
      <c r="L141" t="s">
        <v>192</v>
      </c>
    </row>
    <row r="142" spans="2:14" x14ac:dyDescent="0.3">
      <c r="B142" t="s">
        <v>35</v>
      </c>
      <c r="C142" t="s">
        <v>1</v>
      </c>
      <c r="D142" s="155" t="s">
        <v>281</v>
      </c>
      <c r="E142" t="s">
        <v>157</v>
      </c>
      <c r="F142" s="16">
        <f>Summary!AA10</f>
        <v>7500</v>
      </c>
      <c r="G142" t="s">
        <v>205</v>
      </c>
      <c r="H142" t="s">
        <v>185</v>
      </c>
      <c r="J142" s="9" t="s">
        <v>180</v>
      </c>
      <c r="K142" s="9" t="s">
        <v>193</v>
      </c>
      <c r="L142" t="s">
        <v>192</v>
      </c>
      <c r="N142" t="s">
        <v>206</v>
      </c>
    </row>
    <row r="143" spans="2:14" x14ac:dyDescent="0.3">
      <c r="B143" t="s">
        <v>35</v>
      </c>
      <c r="C143" t="s">
        <v>1</v>
      </c>
      <c r="D143" s="155" t="s">
        <v>47</v>
      </c>
      <c r="E143" t="s">
        <v>157</v>
      </c>
      <c r="F143" s="16">
        <f>Summary!AA8</f>
        <v>5000</v>
      </c>
      <c r="G143" t="s">
        <v>205</v>
      </c>
      <c r="H143" t="s">
        <v>185</v>
      </c>
      <c r="I143" t="s">
        <v>194</v>
      </c>
      <c r="J143" s="9" t="s">
        <v>180</v>
      </c>
      <c r="K143" s="9" t="s">
        <v>193</v>
      </c>
      <c r="L143" t="s">
        <v>192</v>
      </c>
    </row>
    <row r="144" spans="2:14" x14ac:dyDescent="0.3">
      <c r="B144" t="s">
        <v>35</v>
      </c>
      <c r="C144" t="s">
        <v>1</v>
      </c>
      <c r="D144" s="155" t="s">
        <v>273</v>
      </c>
      <c r="E144" t="s">
        <v>157</v>
      </c>
      <c r="F144" s="16">
        <f>Summary!AA11</f>
        <v>5000</v>
      </c>
      <c r="G144" t="s">
        <v>205</v>
      </c>
      <c r="H144" t="s">
        <v>185</v>
      </c>
      <c r="I144" t="s">
        <v>194</v>
      </c>
      <c r="J144" s="9" t="s">
        <v>180</v>
      </c>
      <c r="K144" s="9" t="s">
        <v>193</v>
      </c>
      <c r="L144" t="s">
        <v>192</v>
      </c>
    </row>
    <row r="145" spans="2:12" x14ac:dyDescent="0.3">
      <c r="B145" t="s">
        <v>35</v>
      </c>
      <c r="C145" t="s">
        <v>1</v>
      </c>
      <c r="D145" t="s">
        <v>269</v>
      </c>
      <c r="E145" t="s">
        <v>157</v>
      </c>
      <c r="F145" s="16">
        <f>Summary!AA12</f>
        <v>5000</v>
      </c>
      <c r="G145" t="s">
        <v>205</v>
      </c>
      <c r="H145" t="s">
        <v>185</v>
      </c>
      <c r="I145" t="s">
        <v>194</v>
      </c>
      <c r="J145" s="9" t="s">
        <v>180</v>
      </c>
      <c r="K145" s="9" t="s">
        <v>193</v>
      </c>
      <c r="L145" t="s">
        <v>192</v>
      </c>
    </row>
    <row r="146" spans="2:12" x14ac:dyDescent="0.3">
      <c r="B146" t="s">
        <v>35</v>
      </c>
      <c r="C146" t="s">
        <v>1</v>
      </c>
      <c r="D146" s="156" t="s">
        <v>270</v>
      </c>
      <c r="E146" t="s">
        <v>157</v>
      </c>
      <c r="F146" s="16">
        <f>Summary!AA13</f>
        <v>7500</v>
      </c>
      <c r="G146" t="s">
        <v>205</v>
      </c>
      <c r="H146" t="s">
        <v>185</v>
      </c>
      <c r="I146" t="s">
        <v>194</v>
      </c>
      <c r="J146" s="9" t="s">
        <v>180</v>
      </c>
      <c r="K146" s="9" t="s">
        <v>193</v>
      </c>
      <c r="L146" t="s">
        <v>192</v>
      </c>
    </row>
    <row r="147" spans="2:12" x14ac:dyDescent="0.3">
      <c r="B147" t="s">
        <v>35</v>
      </c>
      <c r="C147" t="s">
        <v>1</v>
      </c>
      <c r="D147" s="156" t="s">
        <v>41</v>
      </c>
      <c r="E147" t="s">
        <v>157</v>
      </c>
      <c r="F147" s="16">
        <f>Summary!AA14</f>
        <v>2500</v>
      </c>
      <c r="G147" t="s">
        <v>205</v>
      </c>
      <c r="H147" t="s">
        <v>185</v>
      </c>
      <c r="I147" t="s">
        <v>194</v>
      </c>
      <c r="J147" s="9" t="s">
        <v>180</v>
      </c>
      <c r="K147" s="9" t="s">
        <v>193</v>
      </c>
      <c r="L147" t="s">
        <v>192</v>
      </c>
    </row>
    <row r="148" spans="2:12" x14ac:dyDescent="0.3">
      <c r="B148" t="s">
        <v>35</v>
      </c>
      <c r="C148" t="s">
        <v>1</v>
      </c>
      <c r="D148" s="156" t="s">
        <v>42</v>
      </c>
      <c r="E148" t="s">
        <v>157</v>
      </c>
      <c r="F148" s="16">
        <f>Summary!AA15</f>
        <v>5000</v>
      </c>
      <c r="G148" t="s">
        <v>205</v>
      </c>
      <c r="H148" t="s">
        <v>185</v>
      </c>
      <c r="I148" t="s">
        <v>194</v>
      </c>
      <c r="J148" s="9" t="s">
        <v>180</v>
      </c>
      <c r="K148" s="9" t="s">
        <v>193</v>
      </c>
      <c r="L148" t="s">
        <v>192</v>
      </c>
    </row>
    <row r="149" spans="2:12" x14ac:dyDescent="0.3">
      <c r="B149" t="s">
        <v>35</v>
      </c>
      <c r="C149" t="s">
        <v>1</v>
      </c>
      <c r="D149" s="156" t="s">
        <v>48</v>
      </c>
      <c r="E149" t="s">
        <v>157</v>
      </c>
      <c r="F149" s="16">
        <f>Summary!AA16</f>
        <v>5000</v>
      </c>
      <c r="G149" t="s">
        <v>205</v>
      </c>
      <c r="H149" t="s">
        <v>185</v>
      </c>
      <c r="I149" t="s">
        <v>194</v>
      </c>
      <c r="J149" s="9" t="s">
        <v>180</v>
      </c>
      <c r="K149" s="9" t="s">
        <v>193</v>
      </c>
      <c r="L149" t="s">
        <v>192</v>
      </c>
    </row>
    <row r="150" spans="2:12" x14ac:dyDescent="0.3">
      <c r="B150" t="s">
        <v>35</v>
      </c>
      <c r="C150" t="s">
        <v>1</v>
      </c>
      <c r="D150" s="156" t="s">
        <v>53</v>
      </c>
      <c r="E150" t="s">
        <v>157</v>
      </c>
      <c r="F150" s="16">
        <f>Summary!AA17</f>
        <v>2500</v>
      </c>
      <c r="G150" t="s">
        <v>205</v>
      </c>
      <c r="H150" t="s">
        <v>185</v>
      </c>
      <c r="I150" t="s">
        <v>194</v>
      </c>
      <c r="J150" s="9" t="s">
        <v>180</v>
      </c>
      <c r="K150" s="9" t="s">
        <v>193</v>
      </c>
      <c r="L150" t="s">
        <v>192</v>
      </c>
    </row>
    <row r="151" spans="2:12" x14ac:dyDescent="0.3">
      <c r="B151" t="s">
        <v>35</v>
      </c>
      <c r="C151" t="s">
        <v>1</v>
      </c>
      <c r="D151" s="156" t="s">
        <v>54</v>
      </c>
      <c r="E151" t="s">
        <v>157</v>
      </c>
      <c r="F151" s="16">
        <f>Summary!AA18</f>
        <v>5000</v>
      </c>
      <c r="G151" t="s">
        <v>205</v>
      </c>
      <c r="H151" t="s">
        <v>185</v>
      </c>
      <c r="I151" t="s">
        <v>194</v>
      </c>
      <c r="J151" s="9" t="s">
        <v>180</v>
      </c>
      <c r="K151" s="9" t="s">
        <v>193</v>
      </c>
      <c r="L151" t="s">
        <v>192</v>
      </c>
    </row>
    <row r="152" spans="2:12" x14ac:dyDescent="0.3">
      <c r="B152" t="s">
        <v>35</v>
      </c>
      <c r="C152" t="s">
        <v>1</v>
      </c>
      <c r="D152" s="156" t="s">
        <v>55</v>
      </c>
      <c r="E152" t="s">
        <v>157</v>
      </c>
      <c r="F152" s="16">
        <f>Summary!AA19</f>
        <v>5000</v>
      </c>
      <c r="G152" t="s">
        <v>205</v>
      </c>
      <c r="H152" t="s">
        <v>185</v>
      </c>
      <c r="I152" t="s">
        <v>194</v>
      </c>
      <c r="J152" s="9" t="s">
        <v>180</v>
      </c>
      <c r="K152" s="9" t="s">
        <v>193</v>
      </c>
      <c r="L152" t="s">
        <v>192</v>
      </c>
    </row>
    <row r="153" spans="2:12" x14ac:dyDescent="0.3">
      <c r="B153" t="s">
        <v>35</v>
      </c>
      <c r="C153" t="s">
        <v>1</v>
      </c>
      <c r="D153" s="156" t="s">
        <v>56</v>
      </c>
      <c r="E153" t="s">
        <v>157</v>
      </c>
      <c r="F153" s="16">
        <f>Summary!AA20</f>
        <v>2500</v>
      </c>
      <c r="G153" t="s">
        <v>205</v>
      </c>
      <c r="H153" t="s">
        <v>185</v>
      </c>
      <c r="I153" t="s">
        <v>194</v>
      </c>
      <c r="J153" s="9" t="s">
        <v>180</v>
      </c>
      <c r="K153" s="9" t="s">
        <v>193</v>
      </c>
      <c r="L153" t="s">
        <v>192</v>
      </c>
    </row>
    <row r="154" spans="2:12" x14ac:dyDescent="0.3">
      <c r="B154" t="s">
        <v>35</v>
      </c>
      <c r="C154" t="s">
        <v>1</v>
      </c>
      <c r="D154" t="s">
        <v>60</v>
      </c>
      <c r="E154" t="s">
        <v>157</v>
      </c>
      <c r="F154" s="16">
        <f>Summary!AA21</f>
        <v>5000</v>
      </c>
      <c r="G154" t="s">
        <v>205</v>
      </c>
      <c r="H154" t="s">
        <v>185</v>
      </c>
      <c r="I154" t="s">
        <v>194</v>
      </c>
      <c r="J154" s="9" t="s">
        <v>180</v>
      </c>
      <c r="K154" s="9" t="s">
        <v>193</v>
      </c>
      <c r="L154" t="s">
        <v>192</v>
      </c>
    </row>
    <row r="155" spans="2:12" x14ac:dyDescent="0.3">
      <c r="B155" t="s">
        <v>35</v>
      </c>
      <c r="C155" t="s">
        <v>1</v>
      </c>
      <c r="D155" t="s">
        <v>61</v>
      </c>
      <c r="E155" t="s">
        <v>157</v>
      </c>
      <c r="F155" s="16">
        <f>Summary!AA22</f>
        <v>5000</v>
      </c>
      <c r="G155" t="s">
        <v>205</v>
      </c>
      <c r="H155" t="s">
        <v>185</v>
      </c>
      <c r="I155" t="s">
        <v>194</v>
      </c>
      <c r="J155" s="9" t="s">
        <v>180</v>
      </c>
      <c r="K155" s="9" t="s">
        <v>193</v>
      </c>
      <c r="L155" t="s">
        <v>192</v>
      </c>
    </row>
    <row r="156" spans="2:12" x14ac:dyDescent="0.3">
      <c r="B156" t="s">
        <v>35</v>
      </c>
      <c r="C156" t="s">
        <v>1</v>
      </c>
      <c r="D156" t="s">
        <v>275</v>
      </c>
      <c r="E156" t="s">
        <v>157</v>
      </c>
      <c r="F156" s="16">
        <f>Summary!AA23</f>
        <v>2500</v>
      </c>
      <c r="G156" t="s">
        <v>205</v>
      </c>
      <c r="H156" t="s">
        <v>185</v>
      </c>
      <c r="I156" t="s">
        <v>194</v>
      </c>
      <c r="J156" s="9" t="s">
        <v>180</v>
      </c>
      <c r="K156" s="9" t="s">
        <v>193</v>
      </c>
      <c r="L156" t="s">
        <v>192</v>
      </c>
    </row>
    <row r="157" spans="2:12" x14ac:dyDescent="0.3">
      <c r="B157" t="s">
        <v>35</v>
      </c>
      <c r="C157" t="s">
        <v>1</v>
      </c>
      <c r="D157" t="s">
        <v>57</v>
      </c>
      <c r="E157" t="s">
        <v>157</v>
      </c>
      <c r="F157" s="16">
        <f>Summary!AA24</f>
        <v>5000</v>
      </c>
      <c r="G157" t="s">
        <v>205</v>
      </c>
      <c r="H157" t="s">
        <v>185</v>
      </c>
      <c r="I157" t="s">
        <v>194</v>
      </c>
      <c r="J157" s="9" t="s">
        <v>180</v>
      </c>
      <c r="K157" s="9" t="s">
        <v>193</v>
      </c>
      <c r="L157" t="s">
        <v>192</v>
      </c>
    </row>
    <row r="158" spans="2:12" x14ac:dyDescent="0.3">
      <c r="B158" t="s">
        <v>35</v>
      </c>
      <c r="C158" t="s">
        <v>1</v>
      </c>
      <c r="D158" t="s">
        <v>58</v>
      </c>
      <c r="E158" t="s">
        <v>157</v>
      </c>
      <c r="F158" s="16">
        <f>Summary!AA25</f>
        <v>2500</v>
      </c>
      <c r="G158" t="s">
        <v>205</v>
      </c>
      <c r="H158" t="s">
        <v>185</v>
      </c>
      <c r="I158" t="s">
        <v>194</v>
      </c>
      <c r="J158" s="9" t="s">
        <v>180</v>
      </c>
      <c r="K158" s="9" t="s">
        <v>193</v>
      </c>
      <c r="L158" t="s">
        <v>192</v>
      </c>
    </row>
    <row r="159" spans="2:12" x14ac:dyDescent="0.3">
      <c r="B159" t="s">
        <v>35</v>
      </c>
      <c r="C159" t="s">
        <v>1</v>
      </c>
      <c r="D159" t="s">
        <v>272</v>
      </c>
      <c r="E159" t="s">
        <v>157</v>
      </c>
      <c r="F159" s="16">
        <f>Summary!AA26</f>
        <v>5000</v>
      </c>
      <c r="G159" t="s">
        <v>205</v>
      </c>
      <c r="H159" t="s">
        <v>185</v>
      </c>
      <c r="I159" t="s">
        <v>194</v>
      </c>
      <c r="J159" s="9" t="s">
        <v>180</v>
      </c>
      <c r="K159" s="9" t="s">
        <v>193</v>
      </c>
      <c r="L159" t="s">
        <v>192</v>
      </c>
    </row>
    <row r="160" spans="2:12" x14ac:dyDescent="0.3">
      <c r="B160" t="s">
        <v>35</v>
      </c>
      <c r="C160" t="s">
        <v>1</v>
      </c>
      <c r="D160" t="s">
        <v>59</v>
      </c>
      <c r="E160" t="s">
        <v>157</v>
      </c>
      <c r="F160" s="16">
        <f>Summary!AA27</f>
        <v>2500</v>
      </c>
      <c r="G160" t="s">
        <v>205</v>
      </c>
      <c r="H160" t="s">
        <v>185</v>
      </c>
      <c r="I160" t="s">
        <v>194</v>
      </c>
      <c r="J160" s="9" t="s">
        <v>180</v>
      </c>
      <c r="K160" s="9" t="s">
        <v>193</v>
      </c>
      <c r="L160" t="s">
        <v>192</v>
      </c>
    </row>
    <row r="161" spans="2:12" x14ac:dyDescent="0.3">
      <c r="B161" t="s">
        <v>35</v>
      </c>
      <c r="C161" t="s">
        <v>1</v>
      </c>
      <c r="D161" t="s">
        <v>276</v>
      </c>
      <c r="E161" t="s">
        <v>157</v>
      </c>
      <c r="F161" s="16">
        <f>Summary!AA28</f>
        <v>5000</v>
      </c>
      <c r="G161" t="s">
        <v>205</v>
      </c>
      <c r="H161" t="s">
        <v>185</v>
      </c>
      <c r="I161" t="s">
        <v>194</v>
      </c>
      <c r="J161" s="9" t="s">
        <v>180</v>
      </c>
      <c r="K161" s="9" t="s">
        <v>193</v>
      </c>
      <c r="L161" t="s">
        <v>192</v>
      </c>
    </row>
    <row r="164" spans="2:12" x14ac:dyDescent="0.3">
      <c r="D164" s="155"/>
    </row>
    <row r="165" spans="2:12" x14ac:dyDescent="0.3">
      <c r="D165" s="155"/>
    </row>
    <row r="166" spans="2:12" x14ac:dyDescent="0.3">
      <c r="D166" s="155"/>
    </row>
    <row r="167" spans="2:12" x14ac:dyDescent="0.3">
      <c r="D167" s="155"/>
    </row>
    <row r="168" spans="2:12" x14ac:dyDescent="0.3">
      <c r="D168" s="155"/>
    </row>
    <row r="169" spans="2:12" x14ac:dyDescent="0.3">
      <c r="D169" s="155"/>
    </row>
    <row r="171" spans="2:12" x14ac:dyDescent="0.3">
      <c r="D171" s="156"/>
    </row>
    <row r="172" spans="2:12" x14ac:dyDescent="0.3">
      <c r="D172" s="156"/>
    </row>
    <row r="173" spans="2:12" x14ac:dyDescent="0.3">
      <c r="D173" s="156"/>
    </row>
    <row r="174" spans="2:12" x14ac:dyDescent="0.3">
      <c r="D174" s="156"/>
    </row>
    <row r="175" spans="2:12" x14ac:dyDescent="0.3">
      <c r="D175" s="156"/>
    </row>
    <row r="176" spans="2:12" x14ac:dyDescent="0.3">
      <c r="D176" s="156"/>
    </row>
    <row r="177" spans="4:4" x14ac:dyDescent="0.3">
      <c r="D177" s="156"/>
    </row>
    <row r="178" spans="4:4" x14ac:dyDescent="0.3">
      <c r="D178" s="156"/>
    </row>
  </sheetData>
  <hyperlinks>
    <hyperlink ref="M61" r:id="rId1" xr:uid="{580D1FE0-0F01-4DB8-A779-632F662B3D62}"/>
    <hyperlink ref="M62" r:id="rId2" xr:uid="{3B05A8E2-61F9-4E19-8596-6E8BA42F77B5}"/>
    <hyperlink ref="M63" r:id="rId3" xr:uid="{1334EEDD-7B13-4D84-8B8D-65FCD0B159DC}"/>
    <hyperlink ref="M64" r:id="rId4" xr:uid="{D670B0AF-6796-4DCA-90D5-479D7305ABCC}"/>
    <hyperlink ref="M65" r:id="rId5" xr:uid="{959A2033-9BD9-43B4-9EF6-6D2AEF8336E6}"/>
    <hyperlink ref="M66" r:id="rId6" xr:uid="{7F610211-D625-4BA0-BB01-C16A00B92431}"/>
    <hyperlink ref="M67" r:id="rId7" xr:uid="{BF747D8B-EF76-4A3F-8A8E-D76D6113413F}"/>
    <hyperlink ref="M68" r:id="rId8" xr:uid="{CAA8DD88-B70F-4E19-9234-47D870D1E1DA}"/>
    <hyperlink ref="M69" r:id="rId9" xr:uid="{88444224-30E9-4362-A38A-5FEA631A655C}"/>
    <hyperlink ref="M70" r:id="rId10" xr:uid="{DC9B0040-CB06-4669-8EA9-B6C82E053072}"/>
    <hyperlink ref="M71" r:id="rId11" xr:uid="{D21E49A7-501F-4E5C-8283-7D69AECD49C1}"/>
    <hyperlink ref="M72" r:id="rId12" xr:uid="{A61FB131-3A24-48CC-8748-7257DB912925}"/>
    <hyperlink ref="M73" r:id="rId13" xr:uid="{59E73495-843D-438F-83A3-7A934F41C04A}"/>
    <hyperlink ref="M74" r:id="rId14" xr:uid="{025A8606-3148-4E98-A46C-C80835A4FCEF}"/>
    <hyperlink ref="M75" r:id="rId15" xr:uid="{C0B7AE02-AFFF-473C-9B3E-3397115E554C}"/>
    <hyperlink ref="M76" r:id="rId16" xr:uid="{C1A5EB58-2349-43E7-96B6-62E24FDFCEE0}"/>
    <hyperlink ref="M77" r:id="rId17" xr:uid="{F3700115-7E43-4054-A024-0F7FF37895D2}"/>
    <hyperlink ref="M78" r:id="rId18" xr:uid="{BF86CDA9-40A3-44F4-BC3F-A4C1961A317D}"/>
    <hyperlink ref="M79" r:id="rId19" xr:uid="{A11CEB37-EA70-4F69-9EAE-9385C1E82C19}"/>
    <hyperlink ref="M80" r:id="rId20" xr:uid="{74F9E66E-7BE2-4DAB-8940-9ECD08B7945F}"/>
    <hyperlink ref="M81" r:id="rId21" xr:uid="{10E1EE89-6513-469B-969F-FB47E17A72BE}"/>
    <hyperlink ref="M82" r:id="rId22" xr:uid="{AB4B2934-7131-4179-BDA6-47A2EE01C7ED}"/>
    <hyperlink ref="M83" r:id="rId23" xr:uid="{7AF8EBE0-A3F9-42EF-94B0-E196DAEB1DF4}"/>
    <hyperlink ref="M84" r:id="rId24" xr:uid="{F780424D-68D9-44D5-B96D-454A6FDE99C0}"/>
    <hyperlink ref="M85" r:id="rId25" xr:uid="{32095791-710E-4134-8261-902A7BB28E7B}"/>
    <hyperlink ref="M87" r:id="rId26" xr:uid="{2E089F33-136C-48CC-B3B2-88BF05E0F95F}"/>
    <hyperlink ref="M88" r:id="rId27" xr:uid="{A2EA2B0A-4579-4D9D-8CC0-8ED6FFD721F9}"/>
    <hyperlink ref="M89" r:id="rId28" xr:uid="{6A37AADA-A57B-4BA2-9061-8510BFE2B4BA}"/>
    <hyperlink ref="M90" r:id="rId29" xr:uid="{CBF88A7E-D204-42D4-80C6-2D9A5A35AB21}"/>
    <hyperlink ref="M91" r:id="rId30" xr:uid="{9487C2FC-BEC3-4D1F-B36A-789B5A195C3E}"/>
    <hyperlink ref="M92" r:id="rId31" xr:uid="{9D92DBEF-13B2-4D7F-847D-0B15AB48AF42}"/>
    <hyperlink ref="M93" r:id="rId32" xr:uid="{74A4664D-F493-4AA3-8EED-A873178C5467}"/>
    <hyperlink ref="M94" r:id="rId33" xr:uid="{1C0465E6-21B4-4BA4-9C9E-00675751CCC1}"/>
    <hyperlink ref="M95" r:id="rId34" xr:uid="{371A20AA-39CB-434C-86C6-B22C56A72470}"/>
    <hyperlink ref="M96" r:id="rId35" xr:uid="{FAAC10FF-1E91-4B2D-B4FD-9D5536C4058D}"/>
    <hyperlink ref="M97" r:id="rId36" xr:uid="{9E92CC85-E367-4C5F-9A79-99E93DAE431A}"/>
    <hyperlink ref="M98" r:id="rId37" xr:uid="{6D42E935-61C5-40BC-BEEF-C1B88ACD8715}"/>
    <hyperlink ref="M99" r:id="rId38" xr:uid="{B6182E5A-87D7-4F75-AAFE-12B4E3506BEE}"/>
    <hyperlink ref="M100" r:id="rId39" xr:uid="{409FB85F-CC22-4880-B2C6-D0060F15485E}"/>
    <hyperlink ref="M101" r:id="rId40" xr:uid="{509AC702-BC64-4D50-A459-B9DF251D7339}"/>
    <hyperlink ref="M102" r:id="rId41" xr:uid="{1DD83533-EE9F-49BC-B76B-1E6AB477F8F3}"/>
    <hyperlink ref="M103" r:id="rId42" xr:uid="{5244C6D9-4CE1-4678-9C09-8E307717C0BB}"/>
    <hyperlink ref="M104" r:id="rId43" xr:uid="{BC794FB4-D809-4B2B-8E77-13954A8AC708}"/>
    <hyperlink ref="M105" r:id="rId44" xr:uid="{C472B992-2567-4313-92AA-BC84303D5A90}"/>
    <hyperlink ref="M106" r:id="rId45" xr:uid="{65E2C03D-2DC2-4194-9612-DE02DACBD2FF}"/>
    <hyperlink ref="M107" r:id="rId46" xr:uid="{A6EE77D8-FEB6-4682-A7EB-9E2C61919260}"/>
    <hyperlink ref="M108" r:id="rId47" xr:uid="{9DA6CE22-B49C-49DE-A3B6-A7BB730BCCFA}"/>
    <hyperlink ref="M109" r:id="rId48" xr:uid="{BE2C5568-0E4E-463E-91FB-076116F92D98}"/>
    <hyperlink ref="M110" r:id="rId49" xr:uid="{97B7BA0B-17E4-47E4-914B-323023E26F9A}"/>
    <hyperlink ref="M111" r:id="rId50" xr:uid="{47E7F6C6-7351-44B9-8FEF-EB94A2F1A813}"/>
    <hyperlink ref="M12:M13" r:id="rId51" display="https://www.nwcouncil.org/sites/default/files/GRSPfinal.pdf" xr:uid="{491376A3-A82E-44A6-910C-90A66570F01F}"/>
    <hyperlink ref="M10" r:id="rId52" xr:uid="{4C4A2868-D658-4DAC-A3BB-1E29CC497308}"/>
    <hyperlink ref="M14" r:id="rId53" xr:uid="{52A68A03-0008-467F-A550-39089F02EE0E}"/>
    <hyperlink ref="M36" r:id="rId54" xr:uid="{B2082A23-109F-4E5C-B753-4026E8BFE2D2}"/>
    <hyperlink ref="M3" r:id="rId55" xr:uid="{BB77ACA6-3A04-4DBA-915C-B7662695AE6E}"/>
    <hyperlink ref="M29" r:id="rId56" xr:uid="{6E22B1D1-25C5-40F9-BA6A-705727C2DF66}"/>
    <hyperlink ref="M28" r:id="rId57" xr:uid="{203ED870-CAD6-4BA4-9AF7-202EC7F15862}"/>
    <hyperlink ref="M53" r:id="rId58" xr:uid="{B8155164-D826-4A49-AA64-D564014BEB59}"/>
    <hyperlink ref="M54" r:id="rId59" xr:uid="{8CB80719-2851-4614-90BD-9B27B4972078}"/>
    <hyperlink ref="M55" r:id="rId60" xr:uid="{5F13CB23-7F3B-4241-A558-884AC0104F04}"/>
    <hyperlink ref="M56" r:id="rId61" xr:uid="{B3F0C7BD-CB6B-47B0-8179-961FCD5EBE79}"/>
    <hyperlink ref="M57" r:id="rId62" xr:uid="{C191BC67-8273-4E01-838F-19C73E2081E3}"/>
    <hyperlink ref="M58" r:id="rId63" xr:uid="{5C908EDD-F248-4740-B7EC-4D1869A1D55B}"/>
    <hyperlink ref="M59" r:id="rId64" xr:uid="{C719E06B-47F7-49F5-8157-38E726F958D4}"/>
    <hyperlink ref="M37:M39" r:id="rId65" display="https://www.nwcouncil.org/sites/default/files/GRSPfinal.pdf" xr:uid="{047AA859-F05C-4656-8B64-6C83B5BBE058}"/>
    <hyperlink ref="M27" r:id="rId66" xr:uid="{89014075-CAE0-46D5-A92F-7A31BEF689A0}"/>
    <hyperlink ref="M60" r:id="rId67" xr:uid="{81386670-892E-4068-8985-ACB3DDEB7C06}"/>
    <hyperlink ref="M86" r:id="rId68" xr:uid="{7C35710D-0C54-4D45-87A3-992E3B2355E2}"/>
    <hyperlink ref="M5" r:id="rId69" xr:uid="{F9555A31-58AF-4CF2-A2F6-CE6214A80DBA}"/>
    <hyperlink ref="M8" r:id="rId70" xr:uid="{BB2903BB-E7AD-4766-A734-E270C9486762}"/>
    <hyperlink ref="M19" r:id="rId71" xr:uid="{7A1E8CE3-837A-4E8F-9B6F-C2DBF993D504}"/>
    <hyperlink ref="M20" r:id="rId72" xr:uid="{5D45EA46-A65E-4F39-A2E7-27FB6E0BB08B}"/>
    <hyperlink ref="M11" r:id="rId73" xr:uid="{D091E971-4123-4B36-9765-8D9A921045A0}"/>
    <hyperlink ref="M12" r:id="rId74" xr:uid="{3D387CED-0097-4798-9F6C-AA4FCC9CF8FA}"/>
    <hyperlink ref="M2" r:id="rId75" xr:uid="{A0986F66-9C12-4CF4-891A-E869DAC92BDE}"/>
  </hyperlinks>
  <pageMargins left="0.7" right="0.7" top="0.75" bottom="0.75" header="0.3" footer="0.3"/>
  <legacyDrawing r:id="rId7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F92F9-B287-427C-AE1F-4D7692B6710C}">
  <dimension ref="B1:Y32"/>
  <sheetViews>
    <sheetView workbookViewId="0">
      <selection activeCell="Q16" sqref="Q16"/>
    </sheetView>
  </sheetViews>
  <sheetFormatPr defaultRowHeight="14.4" x14ac:dyDescent="0.3"/>
  <cols>
    <col min="3" max="3" width="30.109375" customWidth="1"/>
    <col min="9" max="9" width="8.88671875" style="10"/>
  </cols>
  <sheetData>
    <row r="1" spans="2:25" x14ac:dyDescent="0.3">
      <c r="F1" s="163" t="s">
        <v>197</v>
      </c>
    </row>
    <row r="2" spans="2:25" x14ac:dyDescent="0.3">
      <c r="F2" s="9" t="s">
        <v>196</v>
      </c>
      <c r="G2" s="9" t="s">
        <v>196</v>
      </c>
      <c r="H2" s="9" t="s">
        <v>196</v>
      </c>
      <c r="I2" s="16" t="s">
        <v>219</v>
      </c>
    </row>
    <row r="3" spans="2:25" x14ac:dyDescent="0.3">
      <c r="B3" s="115" t="s">
        <v>3</v>
      </c>
      <c r="C3" s="116" t="s">
        <v>4</v>
      </c>
      <c r="E3" t="s">
        <v>213</v>
      </c>
      <c r="F3" s="9" t="s">
        <v>19</v>
      </c>
      <c r="G3" t="s">
        <v>62</v>
      </c>
      <c r="H3" t="s">
        <v>208</v>
      </c>
      <c r="L3" t="s">
        <v>282</v>
      </c>
      <c r="Y3" t="s">
        <v>283</v>
      </c>
    </row>
    <row r="4" spans="2:25" x14ac:dyDescent="0.3">
      <c r="B4" s="410" t="s">
        <v>49</v>
      </c>
      <c r="C4" s="123" t="s">
        <v>50</v>
      </c>
      <c r="E4" s="258">
        <f>Run!CB67</f>
        <v>610.12522379145923</v>
      </c>
      <c r="F4" s="257">
        <v>206</v>
      </c>
      <c r="G4">
        <v>8677</v>
      </c>
      <c r="H4">
        <v>356</v>
      </c>
      <c r="I4" s="10">
        <v>1700</v>
      </c>
    </row>
    <row r="5" spans="2:25" x14ac:dyDescent="0.3">
      <c r="B5" s="411"/>
      <c r="C5" s="124" t="s">
        <v>51</v>
      </c>
      <c r="F5" s="257">
        <v>636</v>
      </c>
      <c r="G5">
        <v>12953</v>
      </c>
      <c r="H5">
        <v>1213</v>
      </c>
      <c r="I5" s="10">
        <v>3400</v>
      </c>
    </row>
    <row r="6" spans="2:25" x14ac:dyDescent="0.3">
      <c r="B6" s="412" t="s">
        <v>37</v>
      </c>
      <c r="C6" s="130" t="s">
        <v>43</v>
      </c>
      <c r="I6" s="432">
        <v>43200</v>
      </c>
    </row>
    <row r="7" spans="2:25" x14ac:dyDescent="0.3">
      <c r="B7" s="412"/>
      <c r="C7" s="131" t="s">
        <v>45</v>
      </c>
      <c r="E7" s="254">
        <f>Run!CC67</f>
        <v>342.56249558671271</v>
      </c>
      <c r="I7" s="432"/>
    </row>
    <row r="8" spans="2:25" x14ac:dyDescent="0.3">
      <c r="B8" s="412"/>
      <c r="C8" s="131" t="s">
        <v>47</v>
      </c>
      <c r="E8" s="255"/>
      <c r="I8" s="432"/>
    </row>
    <row r="9" spans="2:25" x14ac:dyDescent="0.3">
      <c r="B9" s="412"/>
      <c r="C9" s="131" t="s">
        <v>46</v>
      </c>
      <c r="I9" s="432"/>
    </row>
    <row r="10" spans="2:25" x14ac:dyDescent="0.3">
      <c r="B10" s="412"/>
      <c r="C10" s="131" t="s">
        <v>38</v>
      </c>
      <c r="I10" s="432"/>
    </row>
    <row r="11" spans="2:25" x14ac:dyDescent="0.3">
      <c r="B11" s="412"/>
      <c r="C11" s="132" t="s">
        <v>39</v>
      </c>
      <c r="E11" s="246">
        <f>Run!CD67</f>
        <v>2039.3111004640555</v>
      </c>
      <c r="I11" s="432"/>
    </row>
    <row r="12" spans="2:25" x14ac:dyDescent="0.3">
      <c r="B12" s="413" t="s">
        <v>40</v>
      </c>
      <c r="C12" s="126" t="s">
        <v>43</v>
      </c>
      <c r="F12">
        <v>608</v>
      </c>
      <c r="G12">
        <v>2400</v>
      </c>
      <c r="I12" s="431">
        <v>15900</v>
      </c>
    </row>
    <row r="13" spans="2:25" x14ac:dyDescent="0.3">
      <c r="B13" s="413"/>
      <c r="C13" s="127" t="s">
        <v>44</v>
      </c>
      <c r="E13" s="246">
        <f>Run!CE67</f>
        <v>2628.1313350696291</v>
      </c>
      <c r="F13">
        <v>1755</v>
      </c>
      <c r="G13">
        <v>5250</v>
      </c>
      <c r="I13" s="431"/>
    </row>
    <row r="14" spans="2:25" x14ac:dyDescent="0.3">
      <c r="B14" s="413"/>
      <c r="C14" s="127" t="s">
        <v>41</v>
      </c>
      <c r="E14" s="246">
        <f>Run!CF67</f>
        <v>2326.5885472996156</v>
      </c>
      <c r="F14">
        <v>945</v>
      </c>
      <c r="G14">
        <v>3600</v>
      </c>
      <c r="I14" s="431"/>
    </row>
    <row r="15" spans="2:25" x14ac:dyDescent="0.3">
      <c r="B15" s="413"/>
      <c r="C15" s="128" t="s">
        <v>42</v>
      </c>
      <c r="F15" s="257">
        <v>1193</v>
      </c>
      <c r="G15">
        <v>3750</v>
      </c>
      <c r="I15" s="431"/>
    </row>
    <row r="16" spans="2:25" x14ac:dyDescent="0.3">
      <c r="B16" s="117" t="s">
        <v>25</v>
      </c>
      <c r="C16" s="129" t="s">
        <v>48</v>
      </c>
      <c r="I16" s="16">
        <v>4000</v>
      </c>
    </row>
    <row r="17" spans="2:12" x14ac:dyDescent="0.3">
      <c r="B17" s="414" t="s">
        <v>52</v>
      </c>
      <c r="C17" s="133" t="s">
        <v>53</v>
      </c>
      <c r="I17" s="431">
        <v>35200</v>
      </c>
      <c r="L17" t="s">
        <v>219</v>
      </c>
    </row>
    <row r="18" spans="2:12" x14ac:dyDescent="0.3">
      <c r="B18" s="414"/>
      <c r="C18" s="127" t="s">
        <v>54</v>
      </c>
      <c r="I18" s="431"/>
    </row>
    <row r="19" spans="2:12" x14ac:dyDescent="0.3">
      <c r="B19" s="414"/>
      <c r="C19" s="127" t="s">
        <v>55</v>
      </c>
      <c r="I19" s="431"/>
    </row>
    <row r="20" spans="2:12" x14ac:dyDescent="0.3">
      <c r="B20" s="414"/>
      <c r="C20" s="127" t="s">
        <v>56</v>
      </c>
      <c r="I20" s="431"/>
    </row>
    <row r="21" spans="2:12" x14ac:dyDescent="0.3">
      <c r="B21" s="414"/>
      <c r="C21" s="123" t="s">
        <v>60</v>
      </c>
      <c r="E21" s="254">
        <f>Run!CG67</f>
        <v>2471.5530522737649</v>
      </c>
      <c r="I21" s="431"/>
    </row>
    <row r="22" spans="2:12" x14ac:dyDescent="0.3">
      <c r="B22" s="414"/>
      <c r="C22" s="123" t="s">
        <v>61</v>
      </c>
      <c r="E22" s="256"/>
      <c r="I22" s="431"/>
    </row>
    <row r="23" spans="2:12" x14ac:dyDescent="0.3">
      <c r="B23" s="414"/>
      <c r="C23" s="123" t="s">
        <v>38</v>
      </c>
      <c r="I23" s="431"/>
    </row>
    <row r="24" spans="2:12" x14ac:dyDescent="0.3">
      <c r="B24" s="414"/>
      <c r="C24" s="123" t="s">
        <v>57</v>
      </c>
      <c r="I24" s="431"/>
    </row>
    <row r="25" spans="2:12" x14ac:dyDescent="0.3">
      <c r="B25" s="414"/>
      <c r="C25" s="123" t="s">
        <v>58</v>
      </c>
      <c r="I25" s="431"/>
    </row>
    <row r="26" spans="2:12" x14ac:dyDescent="0.3">
      <c r="B26" s="414"/>
      <c r="C26" s="123" t="s">
        <v>44</v>
      </c>
      <c r="I26" s="431"/>
    </row>
    <row r="27" spans="2:12" x14ac:dyDescent="0.3">
      <c r="B27" s="414"/>
      <c r="C27" s="123" t="s">
        <v>59</v>
      </c>
      <c r="E27" s="254">
        <f>Run!CH67</f>
        <v>1222.2203637182322</v>
      </c>
      <c r="I27" s="431"/>
    </row>
    <row r="28" spans="2:12" x14ac:dyDescent="0.3">
      <c r="B28" s="414"/>
      <c r="C28" s="124" t="s">
        <v>39</v>
      </c>
      <c r="E28" s="256"/>
      <c r="I28" s="431"/>
    </row>
    <row r="30" spans="2:12" x14ac:dyDescent="0.3">
      <c r="B30" t="s">
        <v>220</v>
      </c>
      <c r="I30" s="10">
        <f>4600+5700+1100</f>
        <v>11400</v>
      </c>
    </row>
    <row r="32" spans="2:12" x14ac:dyDescent="0.3">
      <c r="I32" s="10">
        <f>SUM(I4:I30)</f>
        <v>114800</v>
      </c>
    </row>
  </sheetData>
  <mergeCells count="7">
    <mergeCell ref="B4:B5"/>
    <mergeCell ref="B6:B11"/>
    <mergeCell ref="B12:B15"/>
    <mergeCell ref="B17:B28"/>
    <mergeCell ref="I12:I15"/>
    <mergeCell ref="I17:I28"/>
    <mergeCell ref="I6:I1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04B8-3FD3-4959-AD4A-38E6E6B2110D}">
  <dimension ref="B1:AS38"/>
  <sheetViews>
    <sheetView tabSelected="1" zoomScale="130" zoomScaleNormal="13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P14" sqref="P14"/>
    </sheetView>
  </sheetViews>
  <sheetFormatPr defaultRowHeight="14.4" x14ac:dyDescent="0.3"/>
  <cols>
    <col min="1" max="1" width="3.44140625" customWidth="1"/>
    <col min="3" max="3" width="26.44140625" customWidth="1"/>
    <col min="5" max="5" width="8.88671875" style="371"/>
    <col min="6" max="9" width="6.77734375" style="371" customWidth="1"/>
    <col min="10" max="10" width="6.77734375" customWidth="1"/>
    <col min="11" max="11" width="6.5546875" style="371" customWidth="1"/>
    <col min="12" max="12" width="6.5546875" style="278" customWidth="1"/>
    <col min="13" max="13" width="8.88671875" style="371"/>
    <col min="14" max="16" width="8.88671875" style="501"/>
    <col min="17" max="17" width="3" customWidth="1"/>
    <col min="18" max="18" width="36.109375" customWidth="1"/>
    <col min="19" max="29" width="0" hidden="1" customWidth="1"/>
    <col min="31" max="31" width="1.88671875" hidden="1" customWidth="1"/>
    <col min="32" max="32" width="54.5546875" hidden="1" customWidth="1"/>
    <col min="33" max="43" width="8.88671875" hidden="1" customWidth="1"/>
    <col min="44" max="44" width="8.88671875" style="258"/>
  </cols>
  <sheetData>
    <row r="1" spans="2:45" x14ac:dyDescent="0.3">
      <c r="L1" s="259" t="s">
        <v>439</v>
      </c>
      <c r="M1" s="495">
        <f>AVERAGE(M5:M29)</f>
        <v>0.32765515735138889</v>
      </c>
      <c r="N1" s="500"/>
      <c r="O1" s="500"/>
      <c r="P1" s="500"/>
    </row>
    <row r="2" spans="2:45" x14ac:dyDescent="0.3">
      <c r="E2" s="163"/>
      <c r="F2" s="163" t="s">
        <v>435</v>
      </c>
      <c r="N2" s="504" t="s">
        <v>443</v>
      </c>
      <c r="O2" s="499">
        <f>N30/O30</f>
        <v>0.59099040985013773</v>
      </c>
      <c r="R2" t="s">
        <v>424</v>
      </c>
      <c r="AS2" s="387" t="s">
        <v>383</v>
      </c>
    </row>
    <row r="3" spans="2:45" x14ac:dyDescent="0.3">
      <c r="D3" s="369" t="s">
        <v>228</v>
      </c>
      <c r="K3" s="371" t="s">
        <v>436</v>
      </c>
      <c r="M3" s="371" t="s">
        <v>425</v>
      </c>
      <c r="O3" s="501" t="s">
        <v>153</v>
      </c>
      <c r="AS3" s="387" t="s">
        <v>384</v>
      </c>
    </row>
    <row r="4" spans="2:45" x14ac:dyDescent="0.3">
      <c r="B4" s="372" t="s">
        <v>3</v>
      </c>
      <c r="C4" s="373" t="s">
        <v>4</v>
      </c>
      <c r="D4" s="369" t="s">
        <v>385</v>
      </c>
      <c r="E4" s="371" t="s">
        <v>426</v>
      </c>
      <c r="F4" s="371" t="s">
        <v>431</v>
      </c>
      <c r="G4" s="371" t="s">
        <v>433</v>
      </c>
      <c r="H4" s="371" t="s">
        <v>432</v>
      </c>
      <c r="I4" s="371" t="s">
        <v>434</v>
      </c>
      <c r="J4" s="371" t="s">
        <v>396</v>
      </c>
      <c r="K4" s="371" t="s">
        <v>437</v>
      </c>
      <c r="L4" s="278" t="s">
        <v>438</v>
      </c>
      <c r="M4" s="371" t="s">
        <v>382</v>
      </c>
      <c r="N4" s="501" t="s">
        <v>441</v>
      </c>
      <c r="O4" s="501" t="s">
        <v>442</v>
      </c>
      <c r="R4" t="s">
        <v>387</v>
      </c>
      <c r="S4" t="s">
        <v>388</v>
      </c>
      <c r="AD4" t="s">
        <v>382</v>
      </c>
      <c r="AF4" t="s">
        <v>387</v>
      </c>
      <c r="AG4" t="s">
        <v>388</v>
      </c>
      <c r="AR4" s="258" t="s">
        <v>441</v>
      </c>
    </row>
    <row r="5" spans="2:45" x14ac:dyDescent="0.3">
      <c r="B5" s="410" t="s">
        <v>49</v>
      </c>
      <c r="C5" s="374" t="s">
        <v>50</v>
      </c>
      <c r="D5" s="79" t="s">
        <v>12</v>
      </c>
      <c r="E5" s="371" t="s">
        <v>427</v>
      </c>
      <c r="F5" s="371">
        <v>1</v>
      </c>
      <c r="G5" s="371">
        <v>1</v>
      </c>
      <c r="H5" s="371">
        <v>1</v>
      </c>
      <c r="J5">
        <f>(F5*0.125+G5*0.375+H5*0.625+I5*0.875)/SUM(F5:I5)</f>
        <v>0.375</v>
      </c>
      <c r="K5" s="371" t="s">
        <v>386</v>
      </c>
      <c r="L5" s="498">
        <f>AD10</f>
        <v>6.1999999999999998E-3</v>
      </c>
      <c r="M5" s="496">
        <f>J5</f>
        <v>0.375</v>
      </c>
      <c r="N5" s="502">
        <f>AR10</f>
        <v>998.4</v>
      </c>
      <c r="O5" s="502">
        <f>N5/(1-M5)</f>
        <v>1597.44</v>
      </c>
      <c r="P5" s="499"/>
      <c r="R5" t="s">
        <v>389</v>
      </c>
      <c r="S5" t="s">
        <v>390</v>
      </c>
      <c r="AF5" t="s">
        <v>389</v>
      </c>
      <c r="AG5" t="s">
        <v>390</v>
      </c>
    </row>
    <row r="6" spans="2:45" x14ac:dyDescent="0.3">
      <c r="B6" s="411"/>
      <c r="C6" s="256" t="s">
        <v>51</v>
      </c>
      <c r="D6" s="371" t="s">
        <v>386</v>
      </c>
      <c r="E6" s="371" t="s">
        <v>8</v>
      </c>
      <c r="G6" s="371">
        <v>3</v>
      </c>
      <c r="J6">
        <f>(F6*0.125+G6*0.375+H6*0.625+I6*0.875)/SUM(F6:I6)</f>
        <v>0.375</v>
      </c>
      <c r="L6" s="278">
        <f>AD34</f>
        <v>0.68499999999999994</v>
      </c>
      <c r="M6" s="496">
        <f>J6</f>
        <v>0.375</v>
      </c>
      <c r="N6" s="502">
        <f>AR34</f>
        <v>615</v>
      </c>
      <c r="O6" s="502">
        <f t="shared" ref="O6:O17" si="0">N6/(1-M6)</f>
        <v>984</v>
      </c>
      <c r="P6" s="502"/>
      <c r="R6" t="s">
        <v>391</v>
      </c>
      <c r="S6" t="s">
        <v>390</v>
      </c>
      <c r="AF6" t="s">
        <v>391</v>
      </c>
      <c r="AG6" t="s">
        <v>390</v>
      </c>
    </row>
    <row r="7" spans="2:45" x14ac:dyDescent="0.3">
      <c r="B7" s="412" t="s">
        <v>37</v>
      </c>
      <c r="C7" s="375" t="s">
        <v>43</v>
      </c>
      <c r="D7" s="371" t="s">
        <v>386</v>
      </c>
      <c r="E7" s="371" t="s">
        <v>427</v>
      </c>
      <c r="K7" s="371" t="s">
        <v>386</v>
      </c>
      <c r="L7" s="498">
        <f>AD11</f>
        <v>0</v>
      </c>
      <c r="M7" s="496">
        <f>IF(E7="Mod",0.375)</f>
        <v>0.375</v>
      </c>
      <c r="N7" s="502">
        <f>AR11</f>
        <v>699.5</v>
      </c>
      <c r="O7" s="502">
        <f t="shared" si="0"/>
        <v>1119.2</v>
      </c>
      <c r="P7" s="502"/>
    </row>
    <row r="8" spans="2:45" x14ac:dyDescent="0.3">
      <c r="B8" s="412"/>
      <c r="C8" s="376" t="s">
        <v>45</v>
      </c>
      <c r="D8" s="79" t="s">
        <v>12</v>
      </c>
      <c r="E8" s="371" t="s">
        <v>6</v>
      </c>
      <c r="K8" s="371" t="s">
        <v>386</v>
      </c>
      <c r="L8" s="278">
        <f>AD20</f>
        <v>0</v>
      </c>
      <c r="M8" s="496">
        <v>0</v>
      </c>
      <c r="N8" s="502">
        <f>AR20</f>
        <v>400</v>
      </c>
      <c r="O8" s="502">
        <f t="shared" si="0"/>
        <v>400</v>
      </c>
      <c r="P8" s="502"/>
      <c r="R8" t="s">
        <v>392</v>
      </c>
      <c r="S8" t="s">
        <v>393</v>
      </c>
      <c r="AF8" t="s">
        <v>440</v>
      </c>
      <c r="AG8" t="s">
        <v>393</v>
      </c>
    </row>
    <row r="9" spans="2:45" x14ac:dyDescent="0.3">
      <c r="B9" s="412"/>
      <c r="C9" s="376" t="s">
        <v>47</v>
      </c>
      <c r="D9" s="79" t="s">
        <v>12</v>
      </c>
      <c r="E9" s="371" t="s">
        <v>6</v>
      </c>
      <c r="L9" s="278">
        <f>AD29</f>
        <v>0</v>
      </c>
      <c r="M9" s="496">
        <v>0</v>
      </c>
      <c r="N9" s="502">
        <f>AR29</f>
        <v>286.5</v>
      </c>
      <c r="O9" s="502">
        <f t="shared" si="0"/>
        <v>286.5</v>
      </c>
      <c r="P9" s="502"/>
      <c r="R9" t="s">
        <v>394</v>
      </c>
      <c r="S9">
        <v>2010</v>
      </c>
      <c r="T9">
        <v>2011</v>
      </c>
      <c r="U9">
        <v>2012</v>
      </c>
      <c r="V9">
        <v>2013</v>
      </c>
      <c r="W9">
        <v>2014</v>
      </c>
      <c r="X9">
        <v>2015</v>
      </c>
      <c r="Y9">
        <v>2016</v>
      </c>
      <c r="Z9">
        <v>2017</v>
      </c>
      <c r="AA9">
        <v>2018</v>
      </c>
      <c r="AB9">
        <v>2019</v>
      </c>
      <c r="AC9" t="s">
        <v>395</v>
      </c>
      <c r="AD9" t="s">
        <v>396</v>
      </c>
      <c r="AF9" t="s">
        <v>394</v>
      </c>
      <c r="AG9">
        <v>2010</v>
      </c>
      <c r="AH9">
        <v>2011</v>
      </c>
      <c r="AI9">
        <v>2012</v>
      </c>
      <c r="AJ9">
        <v>2013</v>
      </c>
      <c r="AK9">
        <v>2014</v>
      </c>
      <c r="AL9">
        <v>2015</v>
      </c>
      <c r="AM9">
        <v>2016</v>
      </c>
      <c r="AN9">
        <v>2017</v>
      </c>
      <c r="AO9">
        <v>2018</v>
      </c>
      <c r="AP9">
        <v>2019</v>
      </c>
      <c r="AQ9" t="s">
        <v>395</v>
      </c>
      <c r="AR9" s="258" t="s">
        <v>396</v>
      </c>
    </row>
    <row r="10" spans="2:45" x14ac:dyDescent="0.3">
      <c r="B10" s="412"/>
      <c r="C10" s="376" t="s">
        <v>46</v>
      </c>
      <c r="D10" s="369" t="s">
        <v>386</v>
      </c>
      <c r="E10" s="371" t="s">
        <v>8</v>
      </c>
      <c r="G10" s="371">
        <v>1</v>
      </c>
      <c r="H10" s="371">
        <v>1</v>
      </c>
      <c r="I10" s="371">
        <v>1</v>
      </c>
      <c r="J10">
        <f>(F10*0.125+G10*0.375+H10*0.625+I10*0.875)/SUM(F10:I10)</f>
        <v>0.625</v>
      </c>
      <c r="L10" s="278">
        <f>AD21</f>
        <v>0</v>
      </c>
      <c r="M10" s="496">
        <f>J10</f>
        <v>0.625</v>
      </c>
      <c r="N10" s="502">
        <f>AR21</f>
        <v>367.85714285714283</v>
      </c>
      <c r="O10" s="502">
        <f t="shared" si="0"/>
        <v>980.95238095238085</v>
      </c>
      <c r="P10" s="502"/>
      <c r="R10" t="s">
        <v>397</v>
      </c>
      <c r="S10">
        <v>5.0000000000000001E-3</v>
      </c>
      <c r="T10">
        <v>4.0000000000000001E-3</v>
      </c>
      <c r="U10">
        <v>1.6E-2</v>
      </c>
      <c r="V10">
        <v>2E-3</v>
      </c>
      <c r="W10">
        <v>1.7999999999999999E-2</v>
      </c>
      <c r="X10">
        <v>2E-3</v>
      </c>
      <c r="Y10">
        <v>0</v>
      </c>
      <c r="Z10">
        <v>8.9999999999999993E-3</v>
      </c>
      <c r="AA10">
        <v>6.0000000000000001E-3</v>
      </c>
      <c r="AB10">
        <v>0</v>
      </c>
      <c r="AC10">
        <v>1.7999999999999999E-2</v>
      </c>
      <c r="AD10">
        <v>6.1999999999999998E-3</v>
      </c>
      <c r="AF10" t="s">
        <v>397</v>
      </c>
      <c r="AG10">
        <v>1849</v>
      </c>
      <c r="AH10">
        <v>1209</v>
      </c>
      <c r="AI10">
        <v>1329</v>
      </c>
      <c r="AJ10">
        <v>895</v>
      </c>
      <c r="AK10">
        <v>1032</v>
      </c>
      <c r="AL10">
        <v>1435</v>
      </c>
      <c r="AM10">
        <v>1314</v>
      </c>
      <c r="AN10">
        <v>313</v>
      </c>
      <c r="AO10">
        <v>308</v>
      </c>
      <c r="AP10">
        <v>300</v>
      </c>
      <c r="AQ10">
        <v>1849</v>
      </c>
      <c r="AR10" s="258">
        <v>998.4</v>
      </c>
    </row>
    <row r="11" spans="2:45" x14ac:dyDescent="0.3">
      <c r="B11" s="412"/>
      <c r="C11" s="376" t="s">
        <v>38</v>
      </c>
      <c r="D11" s="371" t="s">
        <v>181</v>
      </c>
      <c r="E11" s="371" t="s">
        <v>181</v>
      </c>
      <c r="M11" s="496"/>
      <c r="N11" s="502">
        <f>AR24</f>
        <v>154.33333333333334</v>
      </c>
      <c r="O11" s="502">
        <f t="shared" si="0"/>
        <v>154.33333333333334</v>
      </c>
      <c r="P11" s="502"/>
      <c r="R11" t="s">
        <v>398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F11" t="s">
        <v>398</v>
      </c>
      <c r="AG11">
        <v>1392</v>
      </c>
      <c r="AH11">
        <v>549</v>
      </c>
      <c r="AI11">
        <v>858</v>
      </c>
      <c r="AJ11">
        <v>698</v>
      </c>
      <c r="AK11">
        <v>740</v>
      </c>
      <c r="AL11">
        <v>1106</v>
      </c>
      <c r="AM11">
        <v>916</v>
      </c>
      <c r="AN11">
        <v>272</v>
      </c>
      <c r="AO11">
        <v>274</v>
      </c>
      <c r="AP11">
        <v>190</v>
      </c>
      <c r="AQ11">
        <v>1392</v>
      </c>
      <c r="AR11" s="258">
        <v>699.5</v>
      </c>
    </row>
    <row r="12" spans="2:45" x14ac:dyDescent="0.3">
      <c r="B12" s="412"/>
      <c r="C12" s="377" t="s">
        <v>39</v>
      </c>
      <c r="D12" s="369" t="s">
        <v>386</v>
      </c>
      <c r="E12" s="371" t="s">
        <v>8</v>
      </c>
      <c r="H12" s="371">
        <v>1</v>
      </c>
      <c r="I12" s="371">
        <v>1</v>
      </c>
      <c r="J12">
        <f t="shared" ref="J12:J13" si="1">(F12*0.125+G12*0.375+H12*0.625+I12*0.875)/SUM(F12:I12)</f>
        <v>0.75</v>
      </c>
      <c r="L12" s="498">
        <f>AD30</f>
        <v>0</v>
      </c>
      <c r="M12" s="496">
        <f>J12</f>
        <v>0.75</v>
      </c>
      <c r="N12" s="502">
        <f>AR31</f>
        <v>2157.5555555555557</v>
      </c>
      <c r="O12" s="502">
        <f t="shared" si="0"/>
        <v>8630.2222222222226</v>
      </c>
      <c r="P12" s="502"/>
      <c r="R12" t="s">
        <v>399</v>
      </c>
      <c r="U12">
        <v>0</v>
      </c>
      <c r="V12">
        <v>0</v>
      </c>
      <c r="X12">
        <v>0</v>
      </c>
      <c r="AB12">
        <v>0</v>
      </c>
      <c r="AC12">
        <v>0</v>
      </c>
      <c r="AD12">
        <v>0</v>
      </c>
      <c r="AF12" t="s">
        <v>399</v>
      </c>
      <c r="AI12">
        <v>24</v>
      </c>
      <c r="AJ12">
        <v>30</v>
      </c>
      <c r="AL12">
        <v>54</v>
      </c>
      <c r="AP12">
        <v>28</v>
      </c>
      <c r="AQ12">
        <v>54</v>
      </c>
      <c r="AR12" s="258">
        <v>34</v>
      </c>
    </row>
    <row r="13" spans="2:45" x14ac:dyDescent="0.3">
      <c r="B13" s="413" t="s">
        <v>40</v>
      </c>
      <c r="C13" s="378" t="s">
        <v>43</v>
      </c>
      <c r="D13" s="369" t="s">
        <v>386</v>
      </c>
      <c r="E13" s="371" t="s">
        <v>427</v>
      </c>
      <c r="G13" s="371">
        <v>1</v>
      </c>
      <c r="H13" s="371">
        <v>1</v>
      </c>
      <c r="J13">
        <f t="shared" si="1"/>
        <v>0.5</v>
      </c>
      <c r="L13" s="498">
        <f>AD13</f>
        <v>0</v>
      </c>
      <c r="M13" s="496">
        <f>J13</f>
        <v>0.5</v>
      </c>
      <c r="N13" s="502">
        <f>AR13</f>
        <v>421</v>
      </c>
      <c r="O13" s="502">
        <f t="shared" si="0"/>
        <v>842</v>
      </c>
      <c r="P13" s="502"/>
      <c r="R13" t="s">
        <v>400</v>
      </c>
      <c r="AB13">
        <v>0</v>
      </c>
      <c r="AC13">
        <v>0</v>
      </c>
      <c r="AD13">
        <v>0</v>
      </c>
      <c r="AF13" t="s">
        <v>400</v>
      </c>
      <c r="AP13">
        <v>421</v>
      </c>
      <c r="AQ13">
        <v>421</v>
      </c>
      <c r="AR13" s="258">
        <v>421</v>
      </c>
    </row>
    <row r="14" spans="2:45" x14ac:dyDescent="0.3">
      <c r="B14" s="413"/>
      <c r="C14" s="379" t="s">
        <v>44</v>
      </c>
      <c r="D14" s="79" t="s">
        <v>12</v>
      </c>
      <c r="E14" s="371" t="s">
        <v>6</v>
      </c>
      <c r="L14" s="278">
        <f>AD14</f>
        <v>9.9271101000000007E-3</v>
      </c>
      <c r="M14" s="496">
        <f>L14</f>
        <v>9.9271101000000007E-3</v>
      </c>
      <c r="N14" s="502">
        <f>AR14</f>
        <v>2330.1999999999998</v>
      </c>
      <c r="O14" s="502">
        <f t="shared" si="0"/>
        <v>2353.5640898473207</v>
      </c>
      <c r="P14" s="502"/>
      <c r="R14" t="s">
        <v>401</v>
      </c>
      <c r="S14">
        <v>4.8640910000000002E-2</v>
      </c>
      <c r="T14">
        <v>4.694836E-3</v>
      </c>
      <c r="U14">
        <v>1.618123E-3</v>
      </c>
      <c r="V14">
        <v>8.3565459999999994E-3</v>
      </c>
      <c r="W14">
        <v>4.4345900000000004E-3</v>
      </c>
      <c r="X14">
        <v>6.2630480000000002E-3</v>
      </c>
      <c r="Y14">
        <v>6.2630480000000002E-3</v>
      </c>
      <c r="Z14">
        <v>1.9E-2</v>
      </c>
      <c r="AA14">
        <v>0</v>
      </c>
      <c r="AB14">
        <v>0</v>
      </c>
      <c r="AC14">
        <v>4.8640910000000002E-2</v>
      </c>
      <c r="AD14">
        <v>9.9271101000000007E-3</v>
      </c>
      <c r="AF14" t="s">
        <v>401</v>
      </c>
      <c r="AG14">
        <v>2736</v>
      </c>
      <c r="AH14">
        <v>3259</v>
      </c>
      <c r="AI14">
        <v>3255</v>
      </c>
      <c r="AJ14">
        <v>1540</v>
      </c>
      <c r="AK14">
        <v>2501</v>
      </c>
      <c r="AL14">
        <v>4908</v>
      </c>
      <c r="AM14">
        <v>2556</v>
      </c>
      <c r="AN14">
        <v>1699</v>
      </c>
      <c r="AO14">
        <v>447</v>
      </c>
      <c r="AP14">
        <v>401</v>
      </c>
      <c r="AQ14">
        <v>4908</v>
      </c>
      <c r="AR14" s="258">
        <v>2330.1999999999998</v>
      </c>
    </row>
    <row r="15" spans="2:45" x14ac:dyDescent="0.3">
      <c r="B15" s="413"/>
      <c r="C15" s="379" t="s">
        <v>41</v>
      </c>
      <c r="D15" s="79" t="s">
        <v>12</v>
      </c>
      <c r="E15" s="371" t="s">
        <v>6</v>
      </c>
      <c r="K15" s="371" t="s">
        <v>386</v>
      </c>
      <c r="L15" s="278">
        <f>AD16</f>
        <v>2.0463333E-2</v>
      </c>
      <c r="M15" s="496">
        <f>L15</f>
        <v>2.0463333E-2</v>
      </c>
      <c r="N15" s="502">
        <f>AR16</f>
        <v>2210.1999999999998</v>
      </c>
      <c r="O15" s="502">
        <f t="shared" si="0"/>
        <v>2256.3729102343036</v>
      </c>
      <c r="P15" s="502"/>
      <c r="R15" t="s">
        <v>402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F15" t="s">
        <v>402</v>
      </c>
      <c r="AH15">
        <v>3419</v>
      </c>
      <c r="AI15">
        <v>2971</v>
      </c>
      <c r="AJ15">
        <v>1569</v>
      </c>
      <c r="AK15">
        <v>2514</v>
      </c>
      <c r="AL15">
        <v>2652</v>
      </c>
      <c r="AM15">
        <v>2002</v>
      </c>
      <c r="AN15">
        <v>918</v>
      </c>
      <c r="AO15">
        <v>674</v>
      </c>
      <c r="AP15">
        <v>698</v>
      </c>
      <c r="AQ15">
        <v>3419</v>
      </c>
      <c r="AR15" s="258">
        <v>1935.2222222222222</v>
      </c>
    </row>
    <row r="16" spans="2:45" x14ac:dyDescent="0.3">
      <c r="B16" s="413"/>
      <c r="C16" s="380" t="s">
        <v>42</v>
      </c>
      <c r="D16" s="369" t="s">
        <v>386</v>
      </c>
      <c r="E16" s="371" t="s">
        <v>6</v>
      </c>
      <c r="G16" s="371">
        <v>1</v>
      </c>
      <c r="J16">
        <f t="shared" ref="J16:J17" si="2">(F16*0.125+G16*0.375+H16*0.625+I16*0.875)/SUM(F16:I16)</f>
        <v>0.375</v>
      </c>
      <c r="L16" s="498">
        <f>AD36</f>
        <v>0</v>
      </c>
      <c r="M16" s="496">
        <f>J16</f>
        <v>0.375</v>
      </c>
      <c r="N16" s="502">
        <f>AR36</f>
        <v>644.16666666666663</v>
      </c>
      <c r="O16" s="502">
        <f t="shared" si="0"/>
        <v>1030.6666666666665</v>
      </c>
      <c r="P16" s="502"/>
      <c r="R16" t="s">
        <v>403</v>
      </c>
      <c r="S16">
        <v>0</v>
      </c>
      <c r="T16">
        <v>2.8000000000000001E-2</v>
      </c>
      <c r="U16">
        <v>3.7999999999999999E-2</v>
      </c>
      <c r="V16">
        <v>2.1999999999999999E-2</v>
      </c>
      <c r="W16">
        <v>2.9333330000000001E-2</v>
      </c>
      <c r="X16">
        <v>1.78E-2</v>
      </c>
      <c r="Y16">
        <v>4.2000000000000003E-2</v>
      </c>
      <c r="Z16">
        <v>2.75E-2</v>
      </c>
      <c r="AA16">
        <v>0</v>
      </c>
      <c r="AB16">
        <v>0</v>
      </c>
      <c r="AC16">
        <v>4.2000000000000003E-2</v>
      </c>
      <c r="AD16">
        <v>2.0463333E-2</v>
      </c>
      <c r="AF16" t="s">
        <v>403</v>
      </c>
      <c r="AG16">
        <v>1831</v>
      </c>
      <c r="AH16">
        <v>5647</v>
      </c>
      <c r="AI16">
        <v>1915</v>
      </c>
      <c r="AJ16">
        <v>2149</v>
      </c>
      <c r="AK16">
        <v>2641</v>
      </c>
      <c r="AL16">
        <v>3212</v>
      </c>
      <c r="AM16">
        <v>1914</v>
      </c>
      <c r="AN16">
        <v>1565</v>
      </c>
      <c r="AO16">
        <v>750</v>
      </c>
      <c r="AP16">
        <v>478</v>
      </c>
      <c r="AQ16">
        <v>5647</v>
      </c>
      <c r="AR16" s="258">
        <v>2210.1999999999998</v>
      </c>
    </row>
    <row r="17" spans="2:44" x14ac:dyDescent="0.3">
      <c r="B17" s="117" t="s">
        <v>25</v>
      </c>
      <c r="C17" s="381" t="s">
        <v>48</v>
      </c>
      <c r="D17" s="369" t="s">
        <v>386</v>
      </c>
      <c r="E17" s="371" t="s">
        <v>428</v>
      </c>
      <c r="F17" s="371">
        <v>2</v>
      </c>
      <c r="J17">
        <f t="shared" si="2"/>
        <v>0.125</v>
      </c>
      <c r="L17" s="278">
        <f>AD15</f>
        <v>0</v>
      </c>
      <c r="M17" s="496">
        <f>J17</f>
        <v>0.125</v>
      </c>
      <c r="N17" s="502">
        <f>AR15</f>
        <v>1935.2222222222222</v>
      </c>
      <c r="O17" s="502">
        <f t="shared" si="0"/>
        <v>2211.6825396825398</v>
      </c>
      <c r="P17" s="502"/>
      <c r="R17" t="s">
        <v>404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F17" t="s">
        <v>404</v>
      </c>
      <c r="AG17">
        <v>515</v>
      </c>
      <c r="AH17">
        <v>341</v>
      </c>
      <c r="AI17">
        <v>347</v>
      </c>
      <c r="AJ17">
        <v>368</v>
      </c>
      <c r="AK17">
        <v>347</v>
      </c>
      <c r="AL17">
        <v>376</v>
      </c>
      <c r="AM17">
        <v>408</v>
      </c>
      <c r="AN17">
        <v>169</v>
      </c>
      <c r="AO17">
        <v>107</v>
      </c>
      <c r="AP17">
        <v>63</v>
      </c>
      <c r="AQ17">
        <v>515</v>
      </c>
      <c r="AR17" s="258">
        <v>304.10000000000002</v>
      </c>
    </row>
    <row r="18" spans="2:44" x14ac:dyDescent="0.3">
      <c r="B18" s="414" t="s">
        <v>52</v>
      </c>
      <c r="C18" s="382" t="s">
        <v>53</v>
      </c>
      <c r="D18" s="79" t="s">
        <v>12</v>
      </c>
      <c r="E18" s="371" t="s">
        <v>6</v>
      </c>
      <c r="M18" s="496">
        <v>0</v>
      </c>
      <c r="N18" s="502"/>
      <c r="O18" s="502"/>
      <c r="P18" s="502"/>
      <c r="R18" t="s">
        <v>405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F18" t="s">
        <v>405</v>
      </c>
      <c r="AG18">
        <v>116</v>
      </c>
      <c r="AH18">
        <v>91</v>
      </c>
      <c r="AI18">
        <v>58</v>
      </c>
      <c r="AJ18">
        <v>24</v>
      </c>
      <c r="AK18">
        <v>19</v>
      </c>
      <c r="AL18">
        <v>51</v>
      </c>
      <c r="AM18">
        <v>26</v>
      </c>
      <c r="AN18">
        <v>6</v>
      </c>
      <c r="AO18">
        <v>23</v>
      </c>
      <c r="AP18">
        <v>11</v>
      </c>
      <c r="AQ18">
        <v>116</v>
      </c>
      <c r="AR18" s="258">
        <v>42.5</v>
      </c>
    </row>
    <row r="19" spans="2:44" x14ac:dyDescent="0.3">
      <c r="B19" s="414"/>
      <c r="C19" s="379" t="s">
        <v>54</v>
      </c>
      <c r="D19" s="369" t="s">
        <v>386</v>
      </c>
      <c r="E19" s="371" t="s">
        <v>8</v>
      </c>
      <c r="I19" s="371">
        <v>3</v>
      </c>
      <c r="J19">
        <f t="shared" ref="J19:J21" si="3">(F19*0.125+G19*0.375+H19*0.625+I19*0.875)/SUM(F19:I19)</f>
        <v>0.875</v>
      </c>
      <c r="L19" s="498">
        <f>AD12</f>
        <v>0</v>
      </c>
      <c r="M19" s="496">
        <f>J19</f>
        <v>0.875</v>
      </c>
      <c r="N19" s="502">
        <f>AR12</f>
        <v>34</v>
      </c>
      <c r="O19" s="502">
        <f t="shared" ref="O19:O29" si="4">N19/(1-M19)</f>
        <v>272</v>
      </c>
      <c r="P19" s="502"/>
      <c r="R19" t="s">
        <v>406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C19">
        <v>0</v>
      </c>
      <c r="AD19">
        <v>0</v>
      </c>
      <c r="AF19" t="s">
        <v>406</v>
      </c>
      <c r="AG19">
        <v>2652</v>
      </c>
      <c r="AH19">
        <v>3885</v>
      </c>
      <c r="AI19">
        <v>2426</v>
      </c>
      <c r="AJ19">
        <v>1298</v>
      </c>
      <c r="AK19">
        <v>1288</v>
      </c>
      <c r="AL19">
        <v>5064</v>
      </c>
      <c r="AM19">
        <v>3300</v>
      </c>
      <c r="AN19">
        <v>2149</v>
      </c>
      <c r="AO19">
        <v>735</v>
      </c>
      <c r="AQ19">
        <v>5064</v>
      </c>
      <c r="AR19" s="258">
        <v>2533</v>
      </c>
    </row>
    <row r="20" spans="2:44" x14ac:dyDescent="0.3">
      <c r="B20" s="414"/>
      <c r="C20" s="379" t="s">
        <v>55</v>
      </c>
      <c r="D20" s="79" t="s">
        <v>12</v>
      </c>
      <c r="E20" s="371" t="s">
        <v>8</v>
      </c>
      <c r="H20" s="371">
        <v>1</v>
      </c>
      <c r="I20" s="371">
        <v>2</v>
      </c>
      <c r="J20">
        <f t="shared" si="3"/>
        <v>0.79166666666666663</v>
      </c>
      <c r="L20" s="498">
        <f>AD17</f>
        <v>0</v>
      </c>
      <c r="M20" s="496">
        <f>J20</f>
        <v>0.79166666666666663</v>
      </c>
      <c r="N20" s="502">
        <f>AR17</f>
        <v>304.10000000000002</v>
      </c>
      <c r="O20" s="502">
        <f t="shared" si="4"/>
        <v>1459.6799999999998</v>
      </c>
      <c r="P20" s="502"/>
      <c r="R20" t="s">
        <v>407</v>
      </c>
      <c r="AA20">
        <v>0</v>
      </c>
      <c r="AB20">
        <v>0</v>
      </c>
      <c r="AC20">
        <v>0</v>
      </c>
      <c r="AD20">
        <v>0</v>
      </c>
      <c r="AF20" t="s">
        <v>407</v>
      </c>
      <c r="AO20">
        <v>356</v>
      </c>
      <c r="AP20">
        <v>444</v>
      </c>
      <c r="AQ20">
        <v>444</v>
      </c>
      <c r="AR20" s="258">
        <v>400</v>
      </c>
    </row>
    <row r="21" spans="2:44" x14ac:dyDescent="0.3">
      <c r="B21" s="414"/>
      <c r="C21" s="379" t="s">
        <v>56</v>
      </c>
      <c r="D21" s="371" t="s">
        <v>386</v>
      </c>
      <c r="E21" s="371" t="s">
        <v>8</v>
      </c>
      <c r="H21" s="371">
        <v>1</v>
      </c>
      <c r="I21" s="371">
        <v>2</v>
      </c>
      <c r="J21">
        <f t="shared" si="3"/>
        <v>0.79166666666666663</v>
      </c>
      <c r="K21" s="371" t="s">
        <v>386</v>
      </c>
      <c r="L21" s="498">
        <f>AD18</f>
        <v>0</v>
      </c>
      <c r="M21" s="496">
        <f>J21</f>
        <v>0.79166666666666663</v>
      </c>
      <c r="N21" s="502">
        <f>AR18</f>
        <v>42.5</v>
      </c>
      <c r="O21" s="502">
        <f t="shared" si="4"/>
        <v>203.99999999999997</v>
      </c>
      <c r="P21" s="502"/>
      <c r="R21" t="s">
        <v>408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C21">
        <v>0</v>
      </c>
      <c r="AD21">
        <v>0</v>
      </c>
      <c r="AF21" t="s">
        <v>408</v>
      </c>
      <c r="AI21">
        <v>666</v>
      </c>
      <c r="AJ21">
        <v>337</v>
      </c>
      <c r="AK21">
        <v>289</v>
      </c>
      <c r="AL21">
        <v>650</v>
      </c>
      <c r="AM21">
        <v>372</v>
      </c>
      <c r="AN21">
        <v>126</v>
      </c>
      <c r="AO21">
        <v>135</v>
      </c>
      <c r="AQ21">
        <v>666</v>
      </c>
      <c r="AR21" s="258">
        <v>367.85714285714283</v>
      </c>
    </row>
    <row r="22" spans="2:44" x14ac:dyDescent="0.3">
      <c r="B22" s="414"/>
      <c r="C22" s="374" t="s">
        <v>60</v>
      </c>
      <c r="D22" s="79" t="s">
        <v>12</v>
      </c>
      <c r="E22" s="371" t="s">
        <v>6</v>
      </c>
      <c r="L22" s="278">
        <f>AD23</f>
        <v>0</v>
      </c>
      <c r="M22" s="496">
        <v>0</v>
      </c>
      <c r="N22" s="502">
        <f>AR23</f>
        <v>348.22222222222223</v>
      </c>
      <c r="O22" s="502">
        <f t="shared" si="4"/>
        <v>348.22222222222223</v>
      </c>
      <c r="P22" s="502"/>
      <c r="R22" t="s">
        <v>409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C22">
        <v>0</v>
      </c>
      <c r="AD22" s="497">
        <f>L22</f>
        <v>0</v>
      </c>
      <c r="AF22" t="s">
        <v>409</v>
      </c>
      <c r="AG22">
        <v>4927</v>
      </c>
      <c r="AH22">
        <v>4312</v>
      </c>
      <c r="AI22">
        <v>3069</v>
      </c>
      <c r="AJ22">
        <v>2097</v>
      </c>
      <c r="AK22">
        <v>1821</v>
      </c>
      <c r="AL22">
        <v>4000</v>
      </c>
      <c r="AM22">
        <v>2385</v>
      </c>
      <c r="AN22">
        <v>1021</v>
      </c>
      <c r="AO22">
        <v>676</v>
      </c>
      <c r="AQ22">
        <v>4927</v>
      </c>
      <c r="AR22" s="258">
        <v>2700.8888888888887</v>
      </c>
    </row>
    <row r="23" spans="2:44" x14ac:dyDescent="0.3">
      <c r="B23" s="414"/>
      <c r="C23" s="374" t="s">
        <v>61</v>
      </c>
      <c r="D23" s="79" t="s">
        <v>12</v>
      </c>
      <c r="E23" s="371" t="s">
        <v>430</v>
      </c>
      <c r="L23" s="278">
        <f>AD22</f>
        <v>0</v>
      </c>
      <c r="M23" s="496">
        <v>0</v>
      </c>
      <c r="N23" s="502">
        <f>AR22-AR23</f>
        <v>2352.6666666666665</v>
      </c>
      <c r="O23" s="502">
        <f t="shared" si="4"/>
        <v>2352.6666666666665</v>
      </c>
      <c r="P23" s="502"/>
      <c r="R23" t="s">
        <v>410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F23" t="s">
        <v>410</v>
      </c>
      <c r="AH23">
        <v>652</v>
      </c>
      <c r="AI23">
        <v>402</v>
      </c>
      <c r="AJ23">
        <v>443</v>
      </c>
      <c r="AK23">
        <v>273</v>
      </c>
      <c r="AL23">
        <v>718</v>
      </c>
      <c r="AM23">
        <v>360</v>
      </c>
      <c r="AN23">
        <v>67</v>
      </c>
      <c r="AO23">
        <v>139</v>
      </c>
      <c r="AP23">
        <v>80</v>
      </c>
      <c r="AQ23">
        <v>718</v>
      </c>
      <c r="AR23" s="258">
        <v>348.22222222222223</v>
      </c>
    </row>
    <row r="24" spans="2:44" x14ac:dyDescent="0.3">
      <c r="B24" s="414"/>
      <c r="C24" s="374" t="s">
        <v>38</v>
      </c>
      <c r="D24" s="79" t="s">
        <v>12</v>
      </c>
      <c r="E24" s="371" t="s">
        <v>8</v>
      </c>
      <c r="L24" s="278">
        <f>AD24</f>
        <v>0</v>
      </c>
      <c r="M24" s="496">
        <v>0</v>
      </c>
      <c r="N24" s="502">
        <f>AR24</f>
        <v>154.33333333333334</v>
      </c>
      <c r="O24" s="502">
        <f t="shared" si="4"/>
        <v>154.33333333333334</v>
      </c>
      <c r="P24" s="502"/>
      <c r="R24" t="s">
        <v>411</v>
      </c>
      <c r="Y24">
        <v>0</v>
      </c>
      <c r="AA24">
        <v>0</v>
      </c>
      <c r="AB24">
        <v>0</v>
      </c>
      <c r="AC24">
        <v>0</v>
      </c>
      <c r="AD24">
        <v>0</v>
      </c>
      <c r="AF24" t="s">
        <v>411</v>
      </c>
      <c r="AM24">
        <v>159</v>
      </c>
      <c r="AO24">
        <v>213</v>
      </c>
      <c r="AP24">
        <v>91</v>
      </c>
      <c r="AQ24">
        <v>213</v>
      </c>
      <c r="AR24" s="258">
        <v>154.33333333333334</v>
      </c>
    </row>
    <row r="25" spans="2:44" x14ac:dyDescent="0.3">
      <c r="B25" s="414"/>
      <c r="C25" s="374" t="s">
        <v>57</v>
      </c>
      <c r="D25" s="79" t="s">
        <v>12</v>
      </c>
      <c r="E25" s="371" t="s">
        <v>8</v>
      </c>
      <c r="H25" s="371">
        <v>2</v>
      </c>
      <c r="I25" s="371">
        <v>1</v>
      </c>
      <c r="J25">
        <f>(F25*0.125+G25*0.375+H25*0.625+I25*0.875)/SUM(F25:I25)</f>
        <v>0.70833333333333337</v>
      </c>
      <c r="L25" s="498">
        <f>AD25</f>
        <v>0</v>
      </c>
      <c r="M25" s="496">
        <f>J25</f>
        <v>0.70833333333333337</v>
      </c>
      <c r="N25" s="502">
        <f>AR25</f>
        <v>103.625</v>
      </c>
      <c r="O25" s="502">
        <f t="shared" si="4"/>
        <v>355.28571428571433</v>
      </c>
      <c r="P25" s="502"/>
      <c r="R25" t="s">
        <v>412</v>
      </c>
      <c r="T25">
        <v>0</v>
      </c>
      <c r="U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F25" t="s">
        <v>412</v>
      </c>
      <c r="AH25">
        <v>236</v>
      </c>
      <c r="AI25">
        <v>171</v>
      </c>
      <c r="AK25">
        <v>151</v>
      </c>
      <c r="AL25">
        <v>118</v>
      </c>
      <c r="AM25">
        <v>75</v>
      </c>
      <c r="AN25">
        <v>11</v>
      </c>
      <c r="AO25">
        <v>31</v>
      </c>
      <c r="AP25">
        <v>36</v>
      </c>
      <c r="AQ25">
        <v>236</v>
      </c>
      <c r="AR25" s="258">
        <v>103.625</v>
      </c>
    </row>
    <row r="26" spans="2:44" x14ac:dyDescent="0.3">
      <c r="B26" s="414"/>
      <c r="C26" s="374" t="s">
        <v>58</v>
      </c>
      <c r="D26" s="79" t="s">
        <v>12</v>
      </c>
      <c r="E26" s="371" t="s">
        <v>427</v>
      </c>
      <c r="K26" s="371" t="s">
        <v>386</v>
      </c>
      <c r="L26" s="498">
        <f>AD26</f>
        <v>0</v>
      </c>
      <c r="M26" s="496">
        <f>IF(E26="Mod",0.375)</f>
        <v>0.375</v>
      </c>
      <c r="N26" s="502">
        <f>AR26</f>
        <v>93.5</v>
      </c>
      <c r="O26" s="502">
        <f t="shared" si="4"/>
        <v>149.6</v>
      </c>
      <c r="P26" s="502"/>
      <c r="R26" t="s">
        <v>413</v>
      </c>
      <c r="AA26">
        <v>0</v>
      </c>
      <c r="AB26">
        <v>0</v>
      </c>
      <c r="AC26">
        <v>0</v>
      </c>
      <c r="AD26">
        <v>0</v>
      </c>
      <c r="AF26" t="s">
        <v>413</v>
      </c>
      <c r="AO26">
        <v>82</v>
      </c>
      <c r="AP26">
        <v>105</v>
      </c>
      <c r="AQ26">
        <v>105</v>
      </c>
      <c r="AR26" s="258">
        <v>93.5</v>
      </c>
    </row>
    <row r="27" spans="2:44" x14ac:dyDescent="0.3">
      <c r="B27" s="414"/>
      <c r="C27" s="374" t="s">
        <v>44</v>
      </c>
      <c r="D27" s="369" t="s">
        <v>386</v>
      </c>
      <c r="E27" s="371" t="s">
        <v>8</v>
      </c>
      <c r="H27" s="371">
        <v>1</v>
      </c>
      <c r="I27" s="371">
        <v>2</v>
      </c>
      <c r="J27">
        <f>(F27*0.125+G27*0.375+H27*0.625+I27*0.875)/SUM(F27:I27)</f>
        <v>0.79166666666666663</v>
      </c>
      <c r="L27" s="498">
        <f>AD27</f>
        <v>0</v>
      </c>
      <c r="M27" s="496">
        <f>J27</f>
        <v>0.79166666666666663</v>
      </c>
      <c r="N27" s="502">
        <f>AR27</f>
        <v>257.7</v>
      </c>
      <c r="O27" s="502">
        <f t="shared" si="4"/>
        <v>1236.9599999999998</v>
      </c>
      <c r="P27" s="502"/>
      <c r="R27" t="s">
        <v>414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F27" t="s">
        <v>414</v>
      </c>
      <c r="AG27">
        <v>433</v>
      </c>
      <c r="AH27">
        <v>576</v>
      </c>
      <c r="AI27">
        <v>405</v>
      </c>
      <c r="AJ27">
        <v>208</v>
      </c>
      <c r="AK27">
        <v>178</v>
      </c>
      <c r="AL27">
        <v>370</v>
      </c>
      <c r="AM27">
        <v>245</v>
      </c>
      <c r="AN27">
        <v>74</v>
      </c>
      <c r="AO27">
        <v>50</v>
      </c>
      <c r="AP27">
        <v>38</v>
      </c>
      <c r="AQ27">
        <v>576</v>
      </c>
      <c r="AR27" s="258">
        <v>257.7</v>
      </c>
    </row>
    <row r="28" spans="2:44" x14ac:dyDescent="0.3">
      <c r="B28" s="414"/>
      <c r="C28" s="374" t="s">
        <v>59</v>
      </c>
      <c r="D28" s="79" t="s">
        <v>12</v>
      </c>
      <c r="E28" s="371" t="s">
        <v>429</v>
      </c>
      <c r="L28" s="278">
        <f>AD28</f>
        <v>0</v>
      </c>
      <c r="M28" s="496">
        <v>0</v>
      </c>
      <c r="N28" s="502">
        <f>AR28</f>
        <v>151.69999999999999</v>
      </c>
      <c r="O28" s="502">
        <f t="shared" si="4"/>
        <v>151.69999999999999</v>
      </c>
      <c r="P28" s="502"/>
      <c r="R28" t="s">
        <v>415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F28" t="s">
        <v>415</v>
      </c>
      <c r="AG28">
        <v>226</v>
      </c>
      <c r="AH28">
        <v>356</v>
      </c>
      <c r="AI28">
        <v>181</v>
      </c>
      <c r="AJ28">
        <v>47</v>
      </c>
      <c r="AK28">
        <v>145</v>
      </c>
      <c r="AL28">
        <v>260</v>
      </c>
      <c r="AM28">
        <v>164</v>
      </c>
      <c r="AN28">
        <v>72</v>
      </c>
      <c r="AO28">
        <v>38</v>
      </c>
      <c r="AP28">
        <v>28</v>
      </c>
      <c r="AQ28">
        <v>356</v>
      </c>
      <c r="AR28" s="258">
        <v>151.69999999999999</v>
      </c>
    </row>
    <row r="29" spans="2:44" x14ac:dyDescent="0.3">
      <c r="B29" s="414"/>
      <c r="C29" s="256" t="s">
        <v>39</v>
      </c>
      <c r="D29" s="79" t="s">
        <v>12</v>
      </c>
      <c r="E29" s="371" t="s">
        <v>6</v>
      </c>
      <c r="M29" s="496">
        <v>0</v>
      </c>
      <c r="N29" s="503">
        <f>AR32</f>
        <v>954.7</v>
      </c>
      <c r="O29" s="503">
        <f t="shared" si="4"/>
        <v>954.7</v>
      </c>
      <c r="P29" s="502"/>
      <c r="R29" t="s">
        <v>416</v>
      </c>
      <c r="AA29">
        <v>0</v>
      </c>
      <c r="AB29">
        <v>0</v>
      </c>
      <c r="AC29">
        <v>0</v>
      </c>
      <c r="AD29">
        <v>0</v>
      </c>
      <c r="AF29" t="s">
        <v>416</v>
      </c>
      <c r="AO29">
        <v>304</v>
      </c>
      <c r="AP29">
        <v>269</v>
      </c>
      <c r="AQ29">
        <v>304</v>
      </c>
      <c r="AR29" s="258">
        <v>286.5</v>
      </c>
    </row>
    <row r="30" spans="2:44" x14ac:dyDescent="0.3">
      <c r="N30" s="501">
        <f>SUM(N5:N29)</f>
        <v>18016.982142857145</v>
      </c>
      <c r="O30" s="501">
        <f>SUM(O5:O29)</f>
        <v>30486.082079446704</v>
      </c>
      <c r="R30" t="s">
        <v>417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F30" t="s">
        <v>417</v>
      </c>
      <c r="AI30">
        <v>1232</v>
      </c>
      <c r="AJ30">
        <v>725</v>
      </c>
      <c r="AK30">
        <v>573</v>
      </c>
      <c r="AL30">
        <v>1048</v>
      </c>
      <c r="AM30">
        <v>920</v>
      </c>
      <c r="AN30">
        <v>496</v>
      </c>
      <c r="AO30">
        <v>122</v>
      </c>
      <c r="AP30">
        <v>150</v>
      </c>
      <c r="AQ30">
        <v>1232</v>
      </c>
      <c r="AR30" s="258">
        <v>658.25</v>
      </c>
    </row>
    <row r="31" spans="2:44" x14ac:dyDescent="0.3">
      <c r="R31" t="s">
        <v>418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C31">
        <v>0</v>
      </c>
      <c r="AD31">
        <v>0</v>
      </c>
      <c r="AF31" t="s">
        <v>418</v>
      </c>
      <c r="AG31">
        <v>3395</v>
      </c>
      <c r="AH31">
        <v>4228</v>
      </c>
      <c r="AI31">
        <v>2950</v>
      </c>
      <c r="AJ31">
        <v>1530</v>
      </c>
      <c r="AK31">
        <v>1284</v>
      </c>
      <c r="AL31">
        <v>2580</v>
      </c>
      <c r="AM31">
        <v>2046</v>
      </c>
      <c r="AN31">
        <v>1055</v>
      </c>
      <c r="AO31">
        <v>350</v>
      </c>
      <c r="AQ31">
        <v>4228</v>
      </c>
      <c r="AR31" s="258">
        <v>2157.5555555555557</v>
      </c>
    </row>
    <row r="32" spans="2:44" x14ac:dyDescent="0.3">
      <c r="R32" t="s">
        <v>419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F32" t="s">
        <v>419</v>
      </c>
      <c r="AG32">
        <v>1498</v>
      </c>
      <c r="AH32">
        <v>2203</v>
      </c>
      <c r="AI32">
        <v>1126</v>
      </c>
      <c r="AJ32">
        <v>709</v>
      </c>
      <c r="AK32">
        <v>737</v>
      </c>
      <c r="AL32">
        <v>1680</v>
      </c>
      <c r="AM32">
        <v>764</v>
      </c>
      <c r="AN32">
        <v>485</v>
      </c>
      <c r="AO32">
        <v>149</v>
      </c>
      <c r="AP32">
        <v>196</v>
      </c>
      <c r="AQ32">
        <v>2203</v>
      </c>
      <c r="AR32" s="258">
        <v>954.7</v>
      </c>
    </row>
    <row r="33" spans="18:44" x14ac:dyDescent="0.3">
      <c r="R33" t="s">
        <v>420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C33">
        <v>0</v>
      </c>
      <c r="AD33">
        <v>0</v>
      </c>
      <c r="AF33" t="s">
        <v>420</v>
      </c>
      <c r="AG33">
        <v>2046</v>
      </c>
      <c r="AH33">
        <v>2512</v>
      </c>
      <c r="AI33">
        <v>1196</v>
      </c>
      <c r="AJ33">
        <v>843</v>
      </c>
      <c r="AK33">
        <v>1030</v>
      </c>
      <c r="AL33">
        <v>2247</v>
      </c>
      <c r="AM33">
        <v>1334</v>
      </c>
      <c r="AN33">
        <v>627</v>
      </c>
      <c r="AO33">
        <v>205</v>
      </c>
      <c r="AQ33">
        <v>2512</v>
      </c>
      <c r="AR33" s="258">
        <v>1337.7777777777778</v>
      </c>
    </row>
    <row r="34" spans="18:44" x14ac:dyDescent="0.3">
      <c r="R34" t="s">
        <v>421</v>
      </c>
      <c r="S34">
        <v>0.71499999999999997</v>
      </c>
      <c r="T34">
        <v>0.60199999999999998</v>
      </c>
      <c r="U34">
        <v>0.72</v>
      </c>
      <c r="V34">
        <v>0.626</v>
      </c>
      <c r="W34">
        <v>0.63300000000000001</v>
      </c>
      <c r="X34">
        <v>0.54800000000000004</v>
      </c>
      <c r="Y34">
        <v>0.51600000000000001</v>
      </c>
      <c r="Z34">
        <v>0.83699999999999997</v>
      </c>
      <c r="AA34">
        <v>0.85099999999999998</v>
      </c>
      <c r="AB34">
        <v>0.80200000000000005</v>
      </c>
      <c r="AC34">
        <v>0.85099999999999998</v>
      </c>
      <c r="AD34">
        <v>0.68499999999999994</v>
      </c>
      <c r="AF34" t="s">
        <v>421</v>
      </c>
      <c r="AG34">
        <v>935</v>
      </c>
      <c r="AH34">
        <v>720</v>
      </c>
      <c r="AI34">
        <v>1020</v>
      </c>
      <c r="AJ34">
        <v>410</v>
      </c>
      <c r="AK34">
        <v>535</v>
      </c>
      <c r="AL34">
        <v>847</v>
      </c>
      <c r="AM34">
        <v>627</v>
      </c>
      <c r="AN34">
        <v>301</v>
      </c>
      <c r="AO34">
        <v>476</v>
      </c>
      <c r="AP34">
        <v>279</v>
      </c>
      <c r="AQ34">
        <v>1020</v>
      </c>
      <c r="AR34" s="258">
        <v>615</v>
      </c>
    </row>
    <row r="35" spans="18:44" x14ac:dyDescent="0.3">
      <c r="R35" t="s">
        <v>422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C35">
        <v>0</v>
      </c>
      <c r="AD35">
        <v>0</v>
      </c>
      <c r="AF35" t="s">
        <v>422</v>
      </c>
      <c r="AG35">
        <v>7334</v>
      </c>
      <c r="AH35">
        <v>6699</v>
      </c>
      <c r="AI35">
        <v>6808</v>
      </c>
      <c r="AJ35">
        <v>4188</v>
      </c>
      <c r="AK35">
        <v>4742</v>
      </c>
      <c r="AL35">
        <v>6833</v>
      </c>
      <c r="AM35">
        <v>4894</v>
      </c>
      <c r="AN35">
        <v>1174</v>
      </c>
      <c r="AO35">
        <v>1027</v>
      </c>
      <c r="AQ35">
        <v>7334</v>
      </c>
      <c r="AR35" s="258">
        <v>4855.4444444444443</v>
      </c>
    </row>
    <row r="36" spans="18:44" x14ac:dyDescent="0.3">
      <c r="R36" t="s">
        <v>423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F36" t="s">
        <v>423</v>
      </c>
      <c r="AK36">
        <v>514</v>
      </c>
      <c r="AL36">
        <v>1020</v>
      </c>
      <c r="AM36">
        <v>960</v>
      </c>
      <c r="AN36">
        <v>459</v>
      </c>
      <c r="AO36">
        <v>288</v>
      </c>
      <c r="AP36">
        <v>624</v>
      </c>
      <c r="AQ36">
        <v>1020</v>
      </c>
      <c r="AR36" s="258">
        <v>644.16666666666663</v>
      </c>
    </row>
    <row r="37" spans="18:44" x14ac:dyDescent="0.3">
      <c r="R37" t="s">
        <v>395</v>
      </c>
      <c r="S37">
        <v>0.71499999999999997</v>
      </c>
      <c r="T37">
        <v>0.60199999999999998</v>
      </c>
      <c r="U37">
        <v>0.72</v>
      </c>
      <c r="V37">
        <v>0.626</v>
      </c>
      <c r="W37">
        <v>0.63300000000000001</v>
      </c>
      <c r="X37">
        <v>0.54800000000000004</v>
      </c>
      <c r="Y37">
        <v>0.51600000000000001</v>
      </c>
      <c r="Z37">
        <v>0.83699999999999997</v>
      </c>
      <c r="AA37">
        <v>0.85099999999999998</v>
      </c>
      <c r="AB37">
        <v>0.80200000000000005</v>
      </c>
      <c r="AC37">
        <v>0.85099999999999998</v>
      </c>
      <c r="AD37">
        <v>0.68499999999999994</v>
      </c>
      <c r="AF37" t="s">
        <v>395</v>
      </c>
      <c r="AG37">
        <v>7334</v>
      </c>
      <c r="AH37">
        <v>6699</v>
      </c>
      <c r="AI37">
        <v>6808</v>
      </c>
      <c r="AJ37">
        <v>4188</v>
      </c>
      <c r="AK37">
        <v>4742</v>
      </c>
      <c r="AL37">
        <v>6833</v>
      </c>
      <c r="AM37">
        <v>4894</v>
      </c>
      <c r="AN37">
        <v>2149</v>
      </c>
      <c r="AO37">
        <v>1027</v>
      </c>
      <c r="AP37">
        <v>698</v>
      </c>
      <c r="AQ37">
        <v>7334</v>
      </c>
      <c r="AR37" s="258">
        <v>4537.2</v>
      </c>
    </row>
    <row r="38" spans="18:44" x14ac:dyDescent="0.3">
      <c r="AD38">
        <v>2.6725571966666667E-2</v>
      </c>
      <c r="AR38" s="258">
        <v>1022.0497501469725</v>
      </c>
    </row>
  </sheetData>
  <mergeCells count="4">
    <mergeCell ref="B5:B6"/>
    <mergeCell ref="B7:B12"/>
    <mergeCell ref="B13:B16"/>
    <mergeCell ref="B18:B2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102"/>
  <sheetViews>
    <sheetView workbookViewId="0">
      <pane xSplit="2" ySplit="7" topLeftCell="BK67" activePane="bottomRight" state="frozen"/>
      <selection pane="topRight" activeCell="C1" sqref="C1"/>
      <selection pane="bottomLeft" activeCell="A8" sqref="A8"/>
      <selection pane="bottomRight" activeCell="CJ95" sqref="CJ95"/>
    </sheetView>
  </sheetViews>
  <sheetFormatPr defaultRowHeight="14.4" x14ac:dyDescent="0.3"/>
  <cols>
    <col min="1" max="1" width="8.88671875" style="213"/>
    <col min="2" max="2" width="10.109375" style="213" customWidth="1"/>
    <col min="3" max="4" width="8.88671875" style="213"/>
    <col min="5" max="5" width="9.6640625" style="213" bestFit="1" customWidth="1"/>
    <col min="6" max="6" width="8.88671875" style="229"/>
    <col min="7" max="17" width="8.88671875" style="213"/>
    <col min="18" max="18" width="5" customWidth="1"/>
    <col min="24" max="24" width="11.21875" customWidth="1"/>
    <col min="45" max="45" width="5.5546875" customWidth="1"/>
    <col min="53" max="53" width="3.88671875" customWidth="1"/>
    <col min="56" max="56" width="10.88671875" customWidth="1"/>
  </cols>
  <sheetData>
    <row r="1" spans="1:87" x14ac:dyDescent="0.3">
      <c r="A1" s="212" t="s">
        <v>203</v>
      </c>
    </row>
    <row r="2" spans="1:87" x14ac:dyDescent="0.3">
      <c r="A2" s="212"/>
      <c r="B2" s="213" t="s">
        <v>204</v>
      </c>
      <c r="T2" t="s">
        <v>262</v>
      </c>
      <c r="BX2" t="s">
        <v>227</v>
      </c>
    </row>
    <row r="3" spans="1:87" ht="19.2" thickBot="1" x14ac:dyDescent="0.35">
      <c r="B3" s="214" t="s">
        <v>284</v>
      </c>
      <c r="S3" s="190"/>
      <c r="T3" s="190" t="s">
        <v>263</v>
      </c>
      <c r="U3" s="190"/>
      <c r="V3" s="383"/>
      <c r="X3" s="15" t="s">
        <v>110</v>
      </c>
      <c r="BB3" t="s">
        <v>119</v>
      </c>
      <c r="BI3" s="18" t="s">
        <v>125</v>
      </c>
      <c r="BY3" t="s">
        <v>231</v>
      </c>
      <c r="BZ3" t="s">
        <v>231</v>
      </c>
      <c r="CB3" t="s">
        <v>305</v>
      </c>
    </row>
    <row r="4" spans="1:87" ht="15" customHeight="1" thickBot="1" x14ac:dyDescent="0.35">
      <c r="A4" s="215" t="s">
        <v>93</v>
      </c>
      <c r="B4" s="479" t="s">
        <v>285</v>
      </c>
      <c r="C4" s="481" t="s">
        <v>23</v>
      </c>
      <c r="D4" s="483" t="s">
        <v>64</v>
      </c>
      <c r="E4" s="483"/>
      <c r="F4" s="483"/>
      <c r="G4" s="484" t="s">
        <v>22</v>
      </c>
      <c r="H4" s="486" t="s">
        <v>23</v>
      </c>
      <c r="I4" s="194" t="s">
        <v>65</v>
      </c>
      <c r="J4" s="195"/>
      <c r="K4" s="488" t="s">
        <v>30</v>
      </c>
      <c r="L4" s="484" t="s">
        <v>22</v>
      </c>
      <c r="M4" s="481" t="s">
        <v>23</v>
      </c>
      <c r="N4" s="194" t="s">
        <v>22</v>
      </c>
      <c r="O4" s="195"/>
      <c r="P4" s="490" t="s">
        <v>30</v>
      </c>
      <c r="Q4" s="484" t="s">
        <v>22</v>
      </c>
      <c r="R4" s="19"/>
      <c r="S4" s="9"/>
      <c r="T4" s="9"/>
      <c r="U4" s="9"/>
      <c r="V4" s="369"/>
      <c r="X4" s="476" t="s">
        <v>29</v>
      </c>
      <c r="Y4" s="466" t="s">
        <v>108</v>
      </c>
      <c r="Z4" s="467"/>
      <c r="AA4" s="467"/>
      <c r="AB4" s="468"/>
      <c r="AC4" s="466" t="s">
        <v>95</v>
      </c>
      <c r="AD4" s="467"/>
      <c r="AE4" s="467"/>
      <c r="AF4" s="468"/>
      <c r="AG4" s="466" t="s">
        <v>96</v>
      </c>
      <c r="AH4" s="467"/>
      <c r="AI4" s="467"/>
      <c r="AJ4" s="468"/>
      <c r="AK4" s="469" t="s">
        <v>109</v>
      </c>
      <c r="AL4" s="470"/>
      <c r="AM4" s="470"/>
      <c r="AN4" s="33" t="s">
        <v>31</v>
      </c>
      <c r="AO4" s="34" t="s">
        <v>31</v>
      </c>
      <c r="AP4" s="471" t="s">
        <v>97</v>
      </c>
      <c r="AQ4" s="471"/>
      <c r="AR4" s="33" t="s">
        <v>31</v>
      </c>
      <c r="BY4" t="s">
        <v>223</v>
      </c>
      <c r="BZ4" t="s">
        <v>223</v>
      </c>
    </row>
    <row r="5" spans="1:87" ht="16.2" customHeight="1" thickBot="1" x14ac:dyDescent="0.35">
      <c r="A5" s="215" t="s">
        <v>94</v>
      </c>
      <c r="B5" s="480"/>
      <c r="C5" s="482"/>
      <c r="D5" s="492" t="s">
        <v>30</v>
      </c>
      <c r="E5" s="492"/>
      <c r="F5" s="492"/>
      <c r="G5" s="485"/>
      <c r="H5" s="487"/>
      <c r="I5" s="216" t="s">
        <v>31</v>
      </c>
      <c r="J5" s="216"/>
      <c r="K5" s="489"/>
      <c r="L5" s="485"/>
      <c r="M5" s="482"/>
      <c r="N5" s="216" t="s">
        <v>31</v>
      </c>
      <c r="O5" s="216"/>
      <c r="P5" s="491"/>
      <c r="Q5" s="485"/>
      <c r="R5" s="19"/>
      <c r="S5" s="493" t="s">
        <v>260</v>
      </c>
      <c r="T5" s="493" t="s">
        <v>259</v>
      </c>
      <c r="U5" s="493" t="s">
        <v>261</v>
      </c>
      <c r="V5" s="384"/>
      <c r="X5" s="477"/>
      <c r="Y5" s="472" t="s">
        <v>98</v>
      </c>
      <c r="Z5" s="473"/>
      <c r="AA5" s="460" t="s">
        <v>99</v>
      </c>
      <c r="AB5" s="462"/>
      <c r="AC5" s="460" t="s">
        <v>100</v>
      </c>
      <c r="AD5" s="462"/>
      <c r="AE5" s="460" t="s">
        <v>99</v>
      </c>
      <c r="AF5" s="462"/>
      <c r="AG5" s="460" t="s">
        <v>100</v>
      </c>
      <c r="AH5" s="462"/>
      <c r="AI5" s="460" t="s">
        <v>99</v>
      </c>
      <c r="AJ5" s="462"/>
      <c r="AK5" s="460" t="s">
        <v>101</v>
      </c>
      <c r="AL5" s="461"/>
      <c r="AM5" s="461"/>
      <c r="AN5" s="462"/>
      <c r="AO5" s="460" t="s">
        <v>103</v>
      </c>
      <c r="AP5" s="462"/>
      <c r="AQ5" s="460" t="s">
        <v>92</v>
      </c>
      <c r="AR5" s="462"/>
      <c r="BI5" s="437" t="s">
        <v>29</v>
      </c>
      <c r="BJ5" s="440" t="s">
        <v>120</v>
      </c>
      <c r="BK5" s="441"/>
      <c r="BL5" s="32" t="s">
        <v>31</v>
      </c>
      <c r="BM5" s="442" t="s">
        <v>104</v>
      </c>
      <c r="BN5" s="442"/>
      <c r="BO5" s="31" t="s">
        <v>31</v>
      </c>
      <c r="BP5" s="32" t="s">
        <v>31</v>
      </c>
      <c r="BQ5" s="20" t="s">
        <v>105</v>
      </c>
      <c r="BR5" s="32" t="s">
        <v>31</v>
      </c>
      <c r="BS5" s="31" t="s">
        <v>31</v>
      </c>
      <c r="BT5" s="32" t="s">
        <v>31</v>
      </c>
      <c r="BU5" s="69" t="s">
        <v>121</v>
      </c>
      <c r="BV5" s="31" t="s">
        <v>31</v>
      </c>
      <c r="BY5" t="s">
        <v>224</v>
      </c>
      <c r="BZ5" t="s">
        <v>228</v>
      </c>
      <c r="CB5" t="s">
        <v>322</v>
      </c>
      <c r="CC5" t="s">
        <v>37</v>
      </c>
      <c r="CE5" t="s">
        <v>306</v>
      </c>
      <c r="CF5" t="s">
        <v>307</v>
      </c>
      <c r="CG5" t="s">
        <v>308</v>
      </c>
    </row>
    <row r="6" spans="1:87" ht="26.4" customHeight="1" thickTop="1" thickBot="1" x14ac:dyDescent="0.35">
      <c r="B6" s="203" t="s">
        <v>31</v>
      </c>
      <c r="C6" s="196" t="s">
        <v>91</v>
      </c>
      <c r="D6" s="196" t="s">
        <v>92</v>
      </c>
      <c r="E6" s="196"/>
      <c r="F6" s="197" t="s">
        <v>31</v>
      </c>
      <c r="G6" s="217" t="s">
        <v>31</v>
      </c>
      <c r="H6" s="231" t="s">
        <v>91</v>
      </c>
      <c r="I6" s="197" t="s">
        <v>92</v>
      </c>
      <c r="J6" s="197"/>
      <c r="K6" s="210" t="s">
        <v>31</v>
      </c>
      <c r="L6" s="217" t="s">
        <v>31</v>
      </c>
      <c r="M6" s="197" t="s">
        <v>91</v>
      </c>
      <c r="N6" s="197" t="s">
        <v>92</v>
      </c>
      <c r="O6" s="197" t="s">
        <v>22</v>
      </c>
      <c r="P6" s="210" t="s">
        <v>31</v>
      </c>
      <c r="Q6" s="217" t="s">
        <v>31</v>
      </c>
      <c r="R6" s="24"/>
      <c r="S6" s="494"/>
      <c r="T6" s="494"/>
      <c r="U6" s="494"/>
      <c r="V6" s="386" t="s">
        <v>382</v>
      </c>
      <c r="X6" s="477"/>
      <c r="Y6" s="474"/>
      <c r="Z6" s="475"/>
      <c r="AA6" s="463" t="s">
        <v>92</v>
      </c>
      <c r="AB6" s="465"/>
      <c r="AC6" s="463" t="s">
        <v>23</v>
      </c>
      <c r="AD6" s="465"/>
      <c r="AE6" s="463" t="s">
        <v>92</v>
      </c>
      <c r="AF6" s="465"/>
      <c r="AG6" s="463" t="s">
        <v>23</v>
      </c>
      <c r="AH6" s="465"/>
      <c r="AI6" s="463" t="s">
        <v>92</v>
      </c>
      <c r="AJ6" s="465"/>
      <c r="AK6" s="463" t="s">
        <v>102</v>
      </c>
      <c r="AL6" s="464"/>
      <c r="AM6" s="464"/>
      <c r="AN6" s="465"/>
      <c r="AO6" s="463"/>
      <c r="AP6" s="465"/>
      <c r="AQ6" s="463"/>
      <c r="AR6" s="465"/>
      <c r="AT6" s="437" t="s">
        <v>29</v>
      </c>
      <c r="AU6" s="443" t="s">
        <v>111</v>
      </c>
      <c r="AV6" s="435"/>
      <c r="AW6" s="443" t="s">
        <v>113</v>
      </c>
      <c r="AX6" s="435"/>
      <c r="AY6" s="443" t="s">
        <v>114</v>
      </c>
      <c r="AZ6" s="435"/>
      <c r="BB6" s="454" t="s">
        <v>29</v>
      </c>
      <c r="BC6" s="456" t="s">
        <v>115</v>
      </c>
      <c r="BD6" s="457"/>
      <c r="BE6" s="459" t="s">
        <v>116</v>
      </c>
      <c r="BF6" s="453" t="s">
        <v>30</v>
      </c>
      <c r="BG6" s="58" t="s">
        <v>117</v>
      </c>
      <c r="BI6" s="438"/>
      <c r="BJ6" s="443" t="s">
        <v>30</v>
      </c>
      <c r="BK6" s="435" t="s">
        <v>22</v>
      </c>
      <c r="BL6" s="445" t="s">
        <v>103</v>
      </c>
      <c r="BM6" s="447" t="s">
        <v>92</v>
      </c>
      <c r="BN6" s="447"/>
      <c r="BO6" s="435" t="s">
        <v>22</v>
      </c>
      <c r="BP6" s="445" t="s">
        <v>103</v>
      </c>
      <c r="BQ6" s="447" t="s">
        <v>123</v>
      </c>
      <c r="BR6" s="449" t="s">
        <v>30</v>
      </c>
      <c r="BS6" s="435" t="s">
        <v>22</v>
      </c>
      <c r="BT6" s="451" t="s">
        <v>23</v>
      </c>
      <c r="BU6" s="433" t="s">
        <v>30</v>
      </c>
      <c r="BV6" s="435" t="s">
        <v>22</v>
      </c>
      <c r="BX6" t="s">
        <v>226</v>
      </c>
      <c r="BY6" t="s">
        <v>225</v>
      </c>
      <c r="BZ6" t="s">
        <v>229</v>
      </c>
      <c r="CC6" t="s">
        <v>309</v>
      </c>
      <c r="CH6" t="s">
        <v>310</v>
      </c>
    </row>
    <row r="7" spans="1:87" ht="16.2" customHeight="1" thickBot="1" x14ac:dyDescent="0.35">
      <c r="B7" s="218" t="s">
        <v>31</v>
      </c>
      <c r="C7" s="198" t="s">
        <v>23</v>
      </c>
      <c r="D7" s="198" t="s">
        <v>23</v>
      </c>
      <c r="E7" s="198" t="s">
        <v>153</v>
      </c>
      <c r="F7" s="200" t="s">
        <v>30</v>
      </c>
      <c r="G7" s="199" t="s">
        <v>22</v>
      </c>
      <c r="H7" s="232" t="s">
        <v>23</v>
      </c>
      <c r="I7" s="200" t="s">
        <v>23</v>
      </c>
      <c r="J7" s="200" t="s">
        <v>153</v>
      </c>
      <c r="K7" s="200" t="s">
        <v>30</v>
      </c>
      <c r="L7" s="199" t="s">
        <v>22</v>
      </c>
      <c r="M7" s="200" t="s">
        <v>23</v>
      </c>
      <c r="N7" s="200" t="s">
        <v>23</v>
      </c>
      <c r="O7" s="197" t="s">
        <v>23</v>
      </c>
      <c r="P7" s="200" t="s">
        <v>30</v>
      </c>
      <c r="Q7" s="199" t="s">
        <v>22</v>
      </c>
      <c r="R7" s="22"/>
      <c r="S7" s="494"/>
      <c r="T7" s="494"/>
      <c r="U7" s="494"/>
      <c r="V7" s="385"/>
      <c r="X7" s="478"/>
      <c r="Y7" s="35" t="s">
        <v>104</v>
      </c>
      <c r="Z7" s="36" t="s">
        <v>105</v>
      </c>
      <c r="AA7" s="35" t="s">
        <v>104</v>
      </c>
      <c r="AB7" s="36" t="s">
        <v>105</v>
      </c>
      <c r="AC7" s="35" t="s">
        <v>104</v>
      </c>
      <c r="AD7" s="36" t="s">
        <v>105</v>
      </c>
      <c r="AE7" s="35" t="s">
        <v>104</v>
      </c>
      <c r="AF7" s="36" t="s">
        <v>105</v>
      </c>
      <c r="AG7" s="35" t="s">
        <v>104</v>
      </c>
      <c r="AH7" s="36" t="s">
        <v>105</v>
      </c>
      <c r="AI7" s="35" t="s">
        <v>104</v>
      </c>
      <c r="AJ7" s="36" t="s">
        <v>105</v>
      </c>
      <c r="AK7" s="35" t="s">
        <v>104</v>
      </c>
      <c r="AL7" s="36" t="s">
        <v>105</v>
      </c>
      <c r="AM7" s="35" t="s">
        <v>104</v>
      </c>
      <c r="AN7" s="36" t="s">
        <v>105</v>
      </c>
      <c r="AO7" s="35" t="s">
        <v>104</v>
      </c>
      <c r="AP7" s="36" t="s">
        <v>105</v>
      </c>
      <c r="AQ7" s="35" t="s">
        <v>104</v>
      </c>
      <c r="AR7" s="36" t="s">
        <v>105</v>
      </c>
      <c r="AT7" s="439"/>
      <c r="AU7" s="444" t="s">
        <v>112</v>
      </c>
      <c r="AV7" s="436"/>
      <c r="AW7" s="444" t="s">
        <v>112</v>
      </c>
      <c r="AX7" s="436"/>
      <c r="AY7" s="444" t="s">
        <v>112</v>
      </c>
      <c r="AZ7" s="436"/>
      <c r="BB7" s="455"/>
      <c r="BC7" s="452" t="s">
        <v>112</v>
      </c>
      <c r="BD7" s="458"/>
      <c r="BE7" s="436"/>
      <c r="BF7" s="446"/>
      <c r="BG7" s="59" t="s">
        <v>116</v>
      </c>
      <c r="BI7" s="439"/>
      <c r="BJ7" s="444"/>
      <c r="BK7" s="436"/>
      <c r="BL7" s="446"/>
      <c r="BM7" s="448" t="s">
        <v>122</v>
      </c>
      <c r="BN7" s="448"/>
      <c r="BO7" s="436"/>
      <c r="BP7" s="446"/>
      <c r="BQ7" s="448"/>
      <c r="BR7" s="450"/>
      <c r="BS7" s="436"/>
      <c r="BT7" s="452"/>
      <c r="BU7" s="434"/>
      <c r="BV7" s="436"/>
      <c r="BX7" s="169">
        <v>1954</v>
      </c>
      <c r="BY7" s="170">
        <v>25209</v>
      </c>
      <c r="CC7" s="16" t="s">
        <v>311</v>
      </c>
      <c r="CD7" t="s">
        <v>310</v>
      </c>
      <c r="CE7" t="s">
        <v>312</v>
      </c>
      <c r="CG7" t="s">
        <v>313</v>
      </c>
      <c r="CH7" t="s">
        <v>314</v>
      </c>
      <c r="CI7" t="s">
        <v>312</v>
      </c>
    </row>
    <row r="8" spans="1:87" ht="16.2" customHeight="1" x14ac:dyDescent="0.3">
      <c r="B8" s="203"/>
      <c r="C8" s="196"/>
      <c r="D8" s="196"/>
      <c r="E8" s="196"/>
      <c r="F8" s="197"/>
      <c r="G8" s="201"/>
      <c r="H8" s="231"/>
      <c r="I8" s="197"/>
      <c r="J8" s="197"/>
      <c r="K8" s="197"/>
      <c r="L8" s="201"/>
      <c r="M8" s="197"/>
      <c r="N8" s="197"/>
      <c r="O8" s="197"/>
      <c r="P8" s="197"/>
      <c r="Q8" s="201"/>
      <c r="R8" s="22"/>
      <c r="X8" s="183"/>
      <c r="Y8" s="184"/>
      <c r="Z8" s="184"/>
      <c r="AA8" s="184"/>
      <c r="AB8" s="185"/>
      <c r="AC8" s="184"/>
      <c r="AD8" s="184"/>
      <c r="AE8" s="184"/>
      <c r="AF8" s="185"/>
      <c r="AG8" s="184"/>
      <c r="AH8" s="184"/>
      <c r="AI8" s="184"/>
      <c r="AJ8" s="185"/>
      <c r="AK8" s="184"/>
      <c r="AL8" s="184"/>
      <c r="AM8" s="184"/>
      <c r="AN8" s="185"/>
      <c r="AO8" s="184"/>
      <c r="AP8" s="185"/>
      <c r="AQ8" s="184"/>
      <c r="AR8" s="185"/>
      <c r="AT8" s="45"/>
      <c r="AU8" s="19"/>
      <c r="AV8" s="46"/>
      <c r="AW8" s="19"/>
      <c r="AX8" s="46"/>
      <c r="AY8" s="19"/>
      <c r="AZ8" s="46"/>
      <c r="BB8" s="60"/>
      <c r="BC8" s="22"/>
      <c r="BD8" s="22"/>
      <c r="BE8" s="46"/>
      <c r="BF8" s="21"/>
      <c r="BG8" s="186"/>
      <c r="BI8" s="45"/>
      <c r="BJ8" s="19"/>
      <c r="BK8" s="46"/>
      <c r="BL8" s="21"/>
      <c r="BM8" s="21"/>
      <c r="BN8" s="21"/>
      <c r="BO8" s="46"/>
      <c r="BP8" s="21"/>
      <c r="BQ8" s="21"/>
      <c r="BR8" s="165"/>
      <c r="BS8" s="46"/>
      <c r="BT8" s="22"/>
      <c r="BU8" s="19"/>
      <c r="BV8" s="46"/>
      <c r="BX8" s="169"/>
      <c r="BY8" s="170"/>
    </row>
    <row r="9" spans="1:87" ht="16.2" customHeight="1" x14ac:dyDescent="0.3">
      <c r="A9" s="219">
        <f t="shared" ref="A9:A14" si="0">A10-1</f>
        <v>1961</v>
      </c>
      <c r="B9" s="203"/>
      <c r="C9" s="196"/>
      <c r="D9" s="196"/>
      <c r="E9" s="196"/>
      <c r="F9" s="197"/>
      <c r="G9" s="201"/>
      <c r="H9" s="231"/>
      <c r="I9" s="197"/>
      <c r="J9" s="197"/>
      <c r="K9" s="197"/>
      <c r="L9" s="201"/>
      <c r="M9" s="197"/>
      <c r="N9" s="197"/>
      <c r="O9" s="197"/>
      <c r="P9" s="197"/>
      <c r="Q9" s="201"/>
      <c r="R9" s="22"/>
      <c r="X9" s="183"/>
      <c r="Y9" s="184"/>
      <c r="Z9" s="184"/>
      <c r="AA9" s="184"/>
      <c r="AB9" s="185"/>
      <c r="AC9" s="184"/>
      <c r="AD9" s="184"/>
      <c r="AE9" s="184"/>
      <c r="AF9" s="185"/>
      <c r="AG9" s="184"/>
      <c r="AH9" s="184"/>
      <c r="AI9" s="184"/>
      <c r="AJ9" s="185"/>
      <c r="AK9" s="184"/>
      <c r="AL9" s="184"/>
      <c r="AM9" s="184"/>
      <c r="AN9" s="185"/>
      <c r="AO9" s="184"/>
      <c r="AP9" s="185"/>
      <c r="AQ9" s="184"/>
      <c r="AR9" s="185"/>
      <c r="AT9" s="45"/>
      <c r="AU9" s="19"/>
      <c r="AV9" s="46"/>
      <c r="AW9" s="19"/>
      <c r="AX9" s="46"/>
      <c r="AY9" s="19"/>
      <c r="AZ9" s="46"/>
      <c r="BB9" s="60"/>
      <c r="BC9" s="22"/>
      <c r="BD9" s="22"/>
      <c r="BE9" s="46"/>
      <c r="BF9" s="21"/>
      <c r="BG9" s="186"/>
      <c r="BI9" s="45"/>
      <c r="BJ9" s="19"/>
      <c r="BK9" s="46"/>
      <c r="BL9" s="21"/>
      <c r="BM9" s="21"/>
      <c r="BN9" s="21"/>
      <c r="BO9" s="46"/>
      <c r="BP9" s="21"/>
      <c r="BQ9" s="21"/>
      <c r="BR9" s="165"/>
      <c r="BS9" s="46"/>
      <c r="BT9" s="22"/>
      <c r="BU9" s="19"/>
      <c r="BV9" s="46"/>
      <c r="BX9" s="169"/>
      <c r="BY9" s="170"/>
    </row>
    <row r="10" spans="1:87" ht="16.2" customHeight="1" x14ac:dyDescent="0.3">
      <c r="A10" s="219">
        <f t="shared" si="0"/>
        <v>1962</v>
      </c>
      <c r="B10" s="203"/>
      <c r="C10" s="196"/>
      <c r="D10" s="196"/>
      <c r="E10" s="196"/>
      <c r="F10" s="197"/>
      <c r="G10" s="201"/>
      <c r="H10" s="231"/>
      <c r="I10" s="197"/>
      <c r="J10" s="197"/>
      <c r="K10" s="197"/>
      <c r="L10" s="201"/>
      <c r="M10" s="197"/>
      <c r="N10" s="197"/>
      <c r="O10" s="197"/>
      <c r="P10" s="197"/>
      <c r="Q10" s="201"/>
      <c r="R10" s="22"/>
      <c r="S10" s="188">
        <v>0</v>
      </c>
      <c r="T10" s="187">
        <v>108186</v>
      </c>
      <c r="U10" s="187">
        <f t="shared" ref="U10:U33" si="1">SUM(T10:T10)</f>
        <v>108186</v>
      </c>
      <c r="V10" s="187"/>
      <c r="X10" s="183"/>
      <c r="Y10" s="184"/>
      <c r="Z10" s="184"/>
      <c r="AA10" s="184"/>
      <c r="AB10" s="185"/>
      <c r="AC10" s="184"/>
      <c r="AD10" s="184"/>
      <c r="AE10" s="184"/>
      <c r="AF10" s="185"/>
      <c r="AG10" s="184"/>
      <c r="AH10" s="184"/>
      <c r="AI10" s="184"/>
      <c r="AJ10" s="185"/>
      <c r="AK10" s="184"/>
      <c r="AL10" s="184"/>
      <c r="AM10" s="184"/>
      <c r="AN10" s="185"/>
      <c r="AO10" s="184"/>
      <c r="AP10" s="185"/>
      <c r="AQ10" s="184"/>
      <c r="AR10" s="185"/>
      <c r="AT10" s="45"/>
      <c r="AU10" s="19"/>
      <c r="AV10" s="46"/>
      <c r="AW10" s="19"/>
      <c r="AX10" s="46"/>
      <c r="AY10" s="19"/>
      <c r="AZ10" s="46"/>
      <c r="BB10" s="60"/>
      <c r="BC10" s="22"/>
      <c r="BD10" s="22"/>
      <c r="BE10" s="46"/>
      <c r="BF10" s="21"/>
      <c r="BG10" s="186"/>
      <c r="BI10" s="45"/>
      <c r="BJ10" s="19"/>
      <c r="BK10" s="46"/>
      <c r="BL10" s="21"/>
      <c r="BM10" s="21"/>
      <c r="BN10" s="21"/>
      <c r="BO10" s="46"/>
      <c r="BP10" s="21"/>
      <c r="BQ10" s="21"/>
      <c r="BR10" s="165"/>
      <c r="BS10" s="46"/>
      <c r="BT10" s="22"/>
      <c r="BU10" s="19"/>
      <c r="BV10" s="46"/>
      <c r="BX10" s="169"/>
      <c r="BY10" s="170"/>
    </row>
    <row r="11" spans="1:87" ht="16.2" customHeight="1" x14ac:dyDescent="0.3">
      <c r="A11" s="219">
        <f t="shared" si="0"/>
        <v>1963</v>
      </c>
      <c r="B11" s="203"/>
      <c r="C11" s="196"/>
      <c r="D11" s="196"/>
      <c r="E11" s="196"/>
      <c r="F11" s="197"/>
      <c r="G11" s="201"/>
      <c r="H11" s="231"/>
      <c r="I11" s="197"/>
      <c r="J11" s="197"/>
      <c r="K11" s="197"/>
      <c r="L11" s="201"/>
      <c r="M11" s="197"/>
      <c r="N11" s="197"/>
      <c r="O11" s="197"/>
      <c r="P11" s="197"/>
      <c r="Q11" s="201"/>
      <c r="R11" s="22"/>
      <c r="S11" s="188">
        <v>0</v>
      </c>
      <c r="T11" s="187">
        <v>76788</v>
      </c>
      <c r="U11" s="187">
        <f t="shared" si="1"/>
        <v>76788</v>
      </c>
      <c r="V11" s="187"/>
      <c r="X11" s="183"/>
      <c r="Y11" s="184"/>
      <c r="Z11" s="184"/>
      <c r="AA11" s="184"/>
      <c r="AB11" s="185"/>
      <c r="AC11" s="184"/>
      <c r="AD11" s="184"/>
      <c r="AE11" s="184"/>
      <c r="AF11" s="185"/>
      <c r="AG11" s="184"/>
      <c r="AH11" s="184"/>
      <c r="AI11" s="184"/>
      <c r="AJ11" s="185"/>
      <c r="AK11" s="184"/>
      <c r="AL11" s="184"/>
      <c r="AM11" s="184"/>
      <c r="AN11" s="185"/>
      <c r="AO11" s="184"/>
      <c r="AP11" s="185"/>
      <c r="AQ11" s="184"/>
      <c r="AR11" s="185"/>
      <c r="AT11" s="45"/>
      <c r="AU11" s="19"/>
      <c r="AV11" s="46"/>
      <c r="AW11" s="19"/>
      <c r="AX11" s="46"/>
      <c r="AY11" s="19"/>
      <c r="AZ11" s="46"/>
      <c r="BB11" s="60"/>
      <c r="BC11" s="22"/>
      <c r="BD11" s="22"/>
      <c r="BE11" s="46"/>
      <c r="BF11" s="21"/>
      <c r="BG11" s="186"/>
      <c r="BI11" s="45"/>
      <c r="BJ11" s="19"/>
      <c r="BK11" s="46"/>
      <c r="BL11" s="21"/>
      <c r="BM11" s="21"/>
      <c r="BN11" s="21"/>
      <c r="BO11" s="46"/>
      <c r="BP11" s="21"/>
      <c r="BQ11" s="21"/>
      <c r="BR11" s="165"/>
      <c r="BS11" s="46"/>
      <c r="BT11" s="22"/>
      <c r="BU11" s="19"/>
      <c r="BV11" s="46"/>
      <c r="BX11" s="169"/>
      <c r="BY11" s="170"/>
    </row>
    <row r="12" spans="1:87" ht="16.2" customHeight="1" x14ac:dyDescent="0.3">
      <c r="A12" s="219">
        <f t="shared" si="0"/>
        <v>1964</v>
      </c>
      <c r="B12" s="203"/>
      <c r="C12" s="196"/>
      <c r="D12" s="196"/>
      <c r="E12" s="196"/>
      <c r="F12" s="197"/>
      <c r="G12" s="201"/>
      <c r="H12" s="231"/>
      <c r="I12" s="197"/>
      <c r="J12" s="197"/>
      <c r="K12" s="197"/>
      <c r="L12" s="201"/>
      <c r="M12" s="197"/>
      <c r="N12" s="197"/>
      <c r="O12" s="197"/>
      <c r="P12" s="197"/>
      <c r="Q12" s="201"/>
      <c r="R12" s="22"/>
      <c r="S12" s="188">
        <v>0</v>
      </c>
      <c r="T12" s="187">
        <v>58028</v>
      </c>
      <c r="U12" s="187">
        <f t="shared" si="1"/>
        <v>58028</v>
      </c>
      <c r="V12" s="187"/>
      <c r="X12" s="183"/>
      <c r="Y12" s="184"/>
      <c r="Z12" s="184"/>
      <c r="AA12" s="184"/>
      <c r="AB12" s="185"/>
      <c r="AC12" s="184"/>
      <c r="AD12" s="184"/>
      <c r="AE12" s="184"/>
      <c r="AF12" s="185"/>
      <c r="AG12" s="184"/>
      <c r="AH12" s="184"/>
      <c r="AI12" s="184"/>
      <c r="AJ12" s="185"/>
      <c r="AK12" s="184"/>
      <c r="AL12" s="184"/>
      <c r="AM12" s="184"/>
      <c r="AN12" s="185"/>
      <c r="AO12" s="184"/>
      <c r="AP12" s="185"/>
      <c r="AQ12" s="184"/>
      <c r="AR12" s="185"/>
      <c r="AT12" s="45"/>
      <c r="AU12" s="19"/>
      <c r="AV12" s="46"/>
      <c r="AW12" s="19"/>
      <c r="AX12" s="46"/>
      <c r="AY12" s="19"/>
      <c r="AZ12" s="46"/>
      <c r="BB12" s="60"/>
      <c r="BC12" s="22"/>
      <c r="BD12" s="22"/>
      <c r="BE12" s="46"/>
      <c r="BF12" s="21"/>
      <c r="BG12" s="186"/>
      <c r="BI12" s="45"/>
      <c r="BJ12" s="19"/>
      <c r="BK12" s="46"/>
      <c r="BL12" s="21"/>
      <c r="BM12" s="21"/>
      <c r="BN12" s="21"/>
      <c r="BO12" s="46"/>
      <c r="BP12" s="21"/>
      <c r="BQ12" s="21"/>
      <c r="BR12" s="165"/>
      <c r="BS12" s="46"/>
      <c r="BT12" s="22"/>
      <c r="BU12" s="19"/>
      <c r="BV12" s="46"/>
      <c r="BX12" s="169"/>
      <c r="BY12" s="170"/>
    </row>
    <row r="13" spans="1:87" ht="16.2" customHeight="1" x14ac:dyDescent="0.3">
      <c r="A13" s="219">
        <f t="shared" si="0"/>
        <v>1965</v>
      </c>
      <c r="B13" s="203"/>
      <c r="C13" s="196"/>
      <c r="D13" s="196"/>
      <c r="E13" s="196"/>
      <c r="F13" s="197"/>
      <c r="G13" s="201"/>
      <c r="H13" s="231"/>
      <c r="I13" s="197"/>
      <c r="J13" s="197"/>
      <c r="K13" s="197"/>
      <c r="L13" s="201"/>
      <c r="M13" s="197"/>
      <c r="N13" s="197"/>
      <c r="O13" s="197"/>
      <c r="P13" s="197"/>
      <c r="Q13" s="201"/>
      <c r="R13" s="22"/>
      <c r="S13" s="188">
        <v>0</v>
      </c>
      <c r="T13" s="187">
        <v>62566</v>
      </c>
      <c r="U13" s="187">
        <f t="shared" si="1"/>
        <v>62566</v>
      </c>
      <c r="V13" s="187"/>
      <c r="X13" s="183"/>
      <c r="Y13" s="184"/>
      <c r="Z13" s="184"/>
      <c r="AA13" s="184"/>
      <c r="AB13" s="185"/>
      <c r="AC13" s="184"/>
      <c r="AD13" s="184"/>
      <c r="AE13" s="184"/>
      <c r="AF13" s="185"/>
      <c r="AG13" s="184"/>
      <c r="AH13" s="184"/>
      <c r="AI13" s="184"/>
      <c r="AJ13" s="185"/>
      <c r="AK13" s="184"/>
      <c r="AL13" s="184"/>
      <c r="AM13" s="184"/>
      <c r="AN13" s="185"/>
      <c r="AO13" s="184"/>
      <c r="AP13" s="185"/>
      <c r="AQ13" s="184"/>
      <c r="AR13" s="185"/>
      <c r="AT13" s="45"/>
      <c r="AU13" s="19"/>
      <c r="AV13" s="46"/>
      <c r="AW13" s="19"/>
      <c r="AX13" s="46"/>
      <c r="AY13" s="19"/>
      <c r="AZ13" s="46"/>
      <c r="BB13" s="60"/>
      <c r="BC13" s="22"/>
      <c r="BD13" s="22"/>
      <c r="BE13" s="46"/>
      <c r="BF13" s="21"/>
      <c r="BG13" s="186"/>
      <c r="BI13" s="45"/>
      <c r="BJ13" s="19"/>
      <c r="BK13" s="46"/>
      <c r="BL13" s="21"/>
      <c r="BM13" s="21"/>
      <c r="BN13" s="21"/>
      <c r="BO13" s="46"/>
      <c r="BP13" s="21"/>
      <c r="BQ13" s="21"/>
      <c r="BR13" s="165"/>
      <c r="BS13" s="46"/>
      <c r="BT13" s="22"/>
      <c r="BU13" s="19"/>
      <c r="BV13" s="46"/>
      <c r="BX13" s="169"/>
      <c r="BY13" s="170"/>
    </row>
    <row r="14" spans="1:87" ht="16.2" customHeight="1" x14ac:dyDescent="0.3">
      <c r="A14" s="219">
        <f t="shared" si="0"/>
        <v>1966</v>
      </c>
      <c r="B14" s="203"/>
      <c r="C14" s="196"/>
      <c r="D14" s="196"/>
      <c r="E14" s="196"/>
      <c r="F14" s="197"/>
      <c r="G14" s="201"/>
      <c r="H14" s="231"/>
      <c r="I14" s="197"/>
      <c r="J14" s="197"/>
      <c r="K14" s="197"/>
      <c r="L14" s="201"/>
      <c r="M14" s="197"/>
      <c r="N14" s="197"/>
      <c r="O14" s="197"/>
      <c r="P14" s="197"/>
      <c r="Q14" s="201"/>
      <c r="R14" s="22"/>
      <c r="S14" s="188">
        <v>0</v>
      </c>
      <c r="T14" s="187">
        <v>64987</v>
      </c>
      <c r="U14" s="187">
        <f t="shared" si="1"/>
        <v>64987</v>
      </c>
      <c r="V14" s="187"/>
      <c r="X14" s="183"/>
      <c r="Y14" s="184"/>
      <c r="Z14" s="184"/>
      <c r="AA14" s="184"/>
      <c r="AB14" s="185"/>
      <c r="AC14" s="184"/>
      <c r="AD14" s="184"/>
      <c r="AE14" s="184"/>
      <c r="AF14" s="185"/>
      <c r="AG14" s="184"/>
      <c r="AH14" s="184"/>
      <c r="AI14" s="184"/>
      <c r="AJ14" s="185"/>
      <c r="AK14" s="184"/>
      <c r="AL14" s="184"/>
      <c r="AM14" s="184"/>
      <c r="AN14" s="185"/>
      <c r="AO14" s="184"/>
      <c r="AP14" s="185"/>
      <c r="AQ14" s="184"/>
      <c r="AR14" s="185"/>
      <c r="AT14" s="45"/>
      <c r="AU14" s="19"/>
      <c r="AV14" s="46"/>
      <c r="AW14" s="19"/>
      <c r="AX14" s="46"/>
      <c r="AY14" s="19"/>
      <c r="AZ14" s="46"/>
      <c r="BB14" s="60"/>
      <c r="BC14" s="22"/>
      <c r="BD14" s="22"/>
      <c r="BE14" s="46"/>
      <c r="BF14" s="21"/>
      <c r="BG14" s="186"/>
      <c r="BI14" s="45"/>
      <c r="BJ14" s="19"/>
      <c r="BK14" s="46"/>
      <c r="BL14" s="21"/>
      <c r="BM14" s="21"/>
      <c r="BN14" s="21"/>
      <c r="BO14" s="46"/>
      <c r="BP14" s="21"/>
      <c r="BQ14" s="21"/>
      <c r="BR14" s="165"/>
      <c r="BS14" s="46"/>
      <c r="BT14" s="22"/>
      <c r="BU14" s="19"/>
      <c r="BV14" s="46"/>
      <c r="BX14" s="169"/>
      <c r="BY14" s="170"/>
    </row>
    <row r="15" spans="1:87" ht="16.2" customHeight="1" x14ac:dyDescent="0.3">
      <c r="A15" s="219">
        <f t="shared" ref="A15:A37" si="2">A16-1</f>
        <v>1967</v>
      </c>
      <c r="B15" s="203"/>
      <c r="C15" s="196"/>
      <c r="D15" s="196"/>
      <c r="E15" s="196"/>
      <c r="F15" s="197"/>
      <c r="G15" s="201"/>
      <c r="H15" s="231"/>
      <c r="I15" s="197"/>
      <c r="J15" s="197"/>
      <c r="K15" s="197"/>
      <c r="L15" s="201"/>
      <c r="M15" s="197"/>
      <c r="N15" s="197"/>
      <c r="O15" s="197"/>
      <c r="P15" s="197"/>
      <c r="Q15" s="201"/>
      <c r="R15" s="22"/>
      <c r="S15" s="188">
        <v>0</v>
      </c>
      <c r="T15" s="187">
        <v>47536</v>
      </c>
      <c r="U15" s="187">
        <f t="shared" si="1"/>
        <v>47536</v>
      </c>
      <c r="V15" s="187"/>
      <c r="X15" s="183"/>
      <c r="Y15" s="184"/>
      <c r="Z15" s="184"/>
      <c r="AA15" s="184"/>
      <c r="AB15" s="185"/>
      <c r="AC15" s="184"/>
      <c r="AD15" s="184"/>
      <c r="AE15" s="184"/>
      <c r="AF15" s="185"/>
      <c r="AG15" s="184"/>
      <c r="AH15" s="184"/>
      <c r="AI15" s="184"/>
      <c r="AJ15" s="185"/>
      <c r="AK15" s="184"/>
      <c r="AL15" s="184"/>
      <c r="AM15" s="184"/>
      <c r="AN15" s="185"/>
      <c r="AO15" s="184"/>
      <c r="AP15" s="185"/>
      <c r="AQ15" s="184"/>
      <c r="AR15" s="185"/>
      <c r="AT15" s="45"/>
      <c r="AU15" s="19"/>
      <c r="AV15" s="46"/>
      <c r="AW15" s="19"/>
      <c r="AX15" s="46"/>
      <c r="AY15" s="19"/>
      <c r="AZ15" s="46"/>
      <c r="BB15" s="60"/>
      <c r="BC15" s="22"/>
      <c r="BD15" s="22"/>
      <c r="BE15" s="46"/>
      <c r="BF15" s="21"/>
      <c r="BG15" s="186"/>
      <c r="BI15" s="45"/>
      <c r="BJ15" s="19"/>
      <c r="BK15" s="46"/>
      <c r="BL15" s="21"/>
      <c r="BM15" s="21"/>
      <c r="BN15" s="21"/>
      <c r="BO15" s="46"/>
      <c r="BP15" s="21"/>
      <c r="BQ15" s="21"/>
      <c r="BR15" s="165"/>
      <c r="BS15" s="46"/>
      <c r="BT15" s="22"/>
      <c r="BU15" s="19"/>
      <c r="BV15" s="46"/>
      <c r="BX15" s="169"/>
      <c r="BY15" s="170"/>
    </row>
    <row r="16" spans="1:87" ht="16.2" customHeight="1" x14ac:dyDescent="0.3">
      <c r="A16" s="219">
        <f t="shared" si="2"/>
        <v>1968</v>
      </c>
      <c r="B16" s="203"/>
      <c r="C16" s="196"/>
      <c r="D16" s="196"/>
      <c r="E16" s="196"/>
      <c r="F16" s="197"/>
      <c r="G16" s="201"/>
      <c r="H16" s="231"/>
      <c r="I16" s="197"/>
      <c r="J16" s="197"/>
      <c r="K16" s="197"/>
      <c r="L16" s="201"/>
      <c r="M16" s="197"/>
      <c r="N16" s="197"/>
      <c r="O16" s="197"/>
      <c r="P16" s="197"/>
      <c r="Q16" s="201"/>
      <c r="R16" s="22"/>
      <c r="S16" s="188">
        <v>0</v>
      </c>
      <c r="T16" s="187">
        <v>82529</v>
      </c>
      <c r="U16" s="187">
        <f t="shared" si="1"/>
        <v>82529</v>
      </c>
      <c r="V16" s="187"/>
      <c r="X16" s="183"/>
      <c r="Y16" s="184"/>
      <c r="Z16" s="184"/>
      <c r="AA16" s="184"/>
      <c r="AB16" s="185"/>
      <c r="AC16" s="184"/>
      <c r="AD16" s="184"/>
      <c r="AE16" s="184"/>
      <c r="AF16" s="185"/>
      <c r="AG16" s="184"/>
      <c r="AH16" s="184"/>
      <c r="AI16" s="184"/>
      <c r="AJ16" s="185"/>
      <c r="AK16" s="184"/>
      <c r="AL16" s="184"/>
      <c r="AM16" s="184"/>
      <c r="AN16" s="185"/>
      <c r="AO16" s="184"/>
      <c r="AP16" s="185"/>
      <c r="AQ16" s="184"/>
      <c r="AR16" s="185"/>
      <c r="AT16" s="45"/>
      <c r="AU16" s="19"/>
      <c r="AV16" s="46"/>
      <c r="AW16" s="19"/>
      <c r="AX16" s="46"/>
      <c r="AY16" s="19"/>
      <c r="AZ16" s="46"/>
      <c r="BB16" s="60"/>
      <c r="BC16" s="22"/>
      <c r="BD16" s="22"/>
      <c r="BE16" s="46"/>
      <c r="BF16" s="21"/>
      <c r="BG16" s="186"/>
      <c r="BI16" s="45"/>
      <c r="BJ16" s="19"/>
      <c r="BK16" s="46"/>
      <c r="BL16" s="21"/>
      <c r="BM16" s="21"/>
      <c r="BN16" s="21"/>
      <c r="BO16" s="46"/>
      <c r="BP16" s="21"/>
      <c r="BQ16" s="21"/>
      <c r="BR16" s="165"/>
      <c r="BS16" s="46"/>
      <c r="BT16" s="22"/>
      <c r="BU16" s="19"/>
      <c r="BV16" s="46"/>
      <c r="BX16" s="169"/>
      <c r="BY16" s="170"/>
    </row>
    <row r="17" spans="1:77" ht="16.2" customHeight="1" x14ac:dyDescent="0.3">
      <c r="A17" s="219">
        <f t="shared" si="2"/>
        <v>1969</v>
      </c>
      <c r="B17" s="203"/>
      <c r="C17" s="196"/>
      <c r="D17" s="196"/>
      <c r="E17" s="196"/>
      <c r="F17" s="197"/>
      <c r="G17" s="201"/>
      <c r="H17" s="231"/>
      <c r="I17" s="197"/>
      <c r="J17" s="197"/>
      <c r="K17" s="197"/>
      <c r="L17" s="201"/>
      <c r="M17" s="197"/>
      <c r="N17" s="197"/>
      <c r="O17" s="197"/>
      <c r="P17" s="197"/>
      <c r="Q17" s="201"/>
      <c r="R17" s="22"/>
      <c r="S17" s="188">
        <v>0</v>
      </c>
      <c r="T17" s="187">
        <v>60584</v>
      </c>
      <c r="U17" s="187">
        <f t="shared" si="1"/>
        <v>60584</v>
      </c>
      <c r="V17" s="187"/>
      <c r="X17" s="183"/>
      <c r="Y17" s="184"/>
      <c r="Z17" s="184"/>
      <c r="AA17" s="184"/>
      <c r="AB17" s="185"/>
      <c r="AC17" s="184"/>
      <c r="AD17" s="184"/>
      <c r="AE17" s="184"/>
      <c r="AF17" s="185"/>
      <c r="AG17" s="184"/>
      <c r="AH17" s="184"/>
      <c r="AI17" s="184"/>
      <c r="AJ17" s="185"/>
      <c r="AK17" s="184"/>
      <c r="AL17" s="184"/>
      <c r="AM17" s="184"/>
      <c r="AN17" s="185"/>
      <c r="AO17" s="184"/>
      <c r="AP17" s="185"/>
      <c r="AQ17" s="184"/>
      <c r="AR17" s="185"/>
      <c r="AT17" s="45"/>
      <c r="AU17" s="19"/>
      <c r="AV17" s="46"/>
      <c r="AW17" s="19"/>
      <c r="AX17" s="46"/>
      <c r="AY17" s="19"/>
      <c r="AZ17" s="46"/>
      <c r="BB17" s="60"/>
      <c r="BC17" s="22"/>
      <c r="BD17" s="22"/>
      <c r="BE17" s="46"/>
      <c r="BF17" s="21"/>
      <c r="BG17" s="186"/>
      <c r="BI17" s="45"/>
      <c r="BJ17" s="19"/>
      <c r="BK17" s="46"/>
      <c r="BL17" s="21"/>
      <c r="BM17" s="21"/>
      <c r="BN17" s="21"/>
      <c r="BO17" s="46"/>
      <c r="BP17" s="21"/>
      <c r="BQ17" s="21"/>
      <c r="BR17" s="165"/>
      <c r="BS17" s="46"/>
      <c r="BT17" s="22"/>
      <c r="BU17" s="19"/>
      <c r="BV17" s="46"/>
      <c r="BX17" s="169"/>
      <c r="BY17" s="170"/>
    </row>
    <row r="18" spans="1:77" ht="16.2" customHeight="1" x14ac:dyDescent="0.3">
      <c r="A18" s="219">
        <f t="shared" si="2"/>
        <v>1970</v>
      </c>
      <c r="B18" s="203"/>
      <c r="C18" s="196"/>
      <c r="D18" s="196"/>
      <c r="E18" s="196"/>
      <c r="F18" s="197"/>
      <c r="G18" s="201"/>
      <c r="H18" s="231"/>
      <c r="I18" s="197"/>
      <c r="J18" s="197"/>
      <c r="K18" s="197"/>
      <c r="L18" s="201"/>
      <c r="M18" s="197"/>
      <c r="N18" s="197"/>
      <c r="O18" s="197"/>
      <c r="P18" s="197"/>
      <c r="Q18" s="201"/>
      <c r="R18" s="22"/>
      <c r="S18" s="188">
        <v>0</v>
      </c>
      <c r="T18" s="187">
        <v>50927</v>
      </c>
      <c r="U18" s="187">
        <f t="shared" si="1"/>
        <v>50927</v>
      </c>
      <c r="V18" s="187"/>
      <c r="X18" s="183"/>
      <c r="Y18" s="184"/>
      <c r="Z18" s="184"/>
      <c r="AA18" s="184"/>
      <c r="AB18" s="185"/>
      <c r="AC18" s="184"/>
      <c r="AD18" s="184"/>
      <c r="AE18" s="184"/>
      <c r="AF18" s="185"/>
      <c r="AG18" s="184"/>
      <c r="AH18" s="184"/>
      <c r="AI18" s="184"/>
      <c r="AJ18" s="185"/>
      <c r="AK18" s="184"/>
      <c r="AL18" s="184"/>
      <c r="AM18" s="184"/>
      <c r="AN18" s="185"/>
      <c r="AO18" s="184"/>
      <c r="AP18" s="185"/>
      <c r="AQ18" s="184"/>
      <c r="AR18" s="185"/>
      <c r="AT18" s="45"/>
      <c r="AU18" s="19"/>
      <c r="AV18" s="46"/>
      <c r="AW18" s="19"/>
      <c r="AX18" s="46"/>
      <c r="AY18" s="19"/>
      <c r="AZ18" s="46"/>
      <c r="BB18" s="60"/>
      <c r="BC18" s="22"/>
      <c r="BD18" s="22"/>
      <c r="BE18" s="46"/>
      <c r="BF18" s="21"/>
      <c r="BG18" s="186"/>
      <c r="BI18" s="45"/>
      <c r="BJ18" s="19"/>
      <c r="BK18" s="46"/>
      <c r="BL18" s="21"/>
      <c r="BM18" s="21"/>
      <c r="BN18" s="21"/>
      <c r="BO18" s="46"/>
      <c r="BP18" s="21"/>
      <c r="BQ18" s="21"/>
      <c r="BR18" s="165"/>
      <c r="BS18" s="46"/>
      <c r="BT18" s="22"/>
      <c r="BU18" s="19"/>
      <c r="BV18" s="46"/>
      <c r="BX18" s="169"/>
      <c r="BY18" s="170"/>
    </row>
    <row r="19" spans="1:77" ht="16.2" customHeight="1" x14ac:dyDescent="0.3">
      <c r="A19" s="219">
        <f t="shared" si="2"/>
        <v>1971</v>
      </c>
      <c r="B19" s="203"/>
      <c r="C19" s="196"/>
      <c r="D19" s="196"/>
      <c r="E19" s="196"/>
      <c r="F19" s="197"/>
      <c r="G19" s="201"/>
      <c r="H19" s="231"/>
      <c r="I19" s="197"/>
      <c r="J19" s="197"/>
      <c r="K19" s="197"/>
      <c r="L19" s="201"/>
      <c r="M19" s="197"/>
      <c r="N19" s="197"/>
      <c r="O19" s="197"/>
      <c r="P19" s="197"/>
      <c r="Q19" s="201"/>
      <c r="R19" s="22"/>
      <c r="S19" s="188">
        <v>0</v>
      </c>
      <c r="T19" s="187">
        <v>50670</v>
      </c>
      <c r="U19" s="187">
        <f t="shared" si="1"/>
        <v>50670</v>
      </c>
      <c r="V19" s="187"/>
      <c r="X19" s="183"/>
      <c r="Y19" s="184"/>
      <c r="Z19" s="184"/>
      <c r="AA19" s="184"/>
      <c r="AB19" s="185"/>
      <c r="AC19" s="184"/>
      <c r="AD19" s="184"/>
      <c r="AE19" s="184"/>
      <c r="AF19" s="185"/>
      <c r="AG19" s="184"/>
      <c r="AH19" s="184"/>
      <c r="AI19" s="184"/>
      <c r="AJ19" s="185"/>
      <c r="AK19" s="184"/>
      <c r="AL19" s="184"/>
      <c r="AM19" s="184"/>
      <c r="AN19" s="185"/>
      <c r="AO19" s="184"/>
      <c r="AP19" s="185"/>
      <c r="AQ19" s="184"/>
      <c r="AR19" s="185"/>
      <c r="AT19" s="45"/>
      <c r="AU19" s="19"/>
      <c r="AV19" s="46"/>
      <c r="AW19" s="19"/>
      <c r="AX19" s="46"/>
      <c r="AY19" s="19"/>
      <c r="AZ19" s="46"/>
      <c r="BB19" s="60"/>
      <c r="BC19" s="22"/>
      <c r="BD19" s="22"/>
      <c r="BE19" s="46"/>
      <c r="BF19" s="21"/>
      <c r="BG19" s="186"/>
      <c r="BI19" s="45"/>
      <c r="BJ19" s="19"/>
      <c r="BK19" s="46"/>
      <c r="BL19" s="21"/>
      <c r="BM19" s="21"/>
      <c r="BN19" s="21"/>
      <c r="BO19" s="46"/>
      <c r="BP19" s="21"/>
      <c r="BQ19" s="21"/>
      <c r="BR19" s="165"/>
      <c r="BS19" s="46"/>
      <c r="BT19" s="22"/>
      <c r="BU19" s="19"/>
      <c r="BV19" s="46"/>
      <c r="BX19" s="169"/>
      <c r="BY19" s="170"/>
    </row>
    <row r="20" spans="1:77" ht="16.2" customHeight="1" x14ac:dyDescent="0.3">
      <c r="A20" s="219">
        <f t="shared" si="2"/>
        <v>1972</v>
      </c>
      <c r="B20" s="203"/>
      <c r="C20" s="196"/>
      <c r="D20" s="196"/>
      <c r="E20" s="196"/>
      <c r="F20" s="197"/>
      <c r="G20" s="201"/>
      <c r="H20" s="231"/>
      <c r="I20" s="197"/>
      <c r="J20" s="197"/>
      <c r="K20" s="197"/>
      <c r="L20" s="201"/>
      <c r="M20" s="197"/>
      <c r="N20" s="197"/>
      <c r="O20" s="197"/>
      <c r="P20" s="197"/>
      <c r="Q20" s="201"/>
      <c r="R20" s="22"/>
      <c r="S20" s="188">
        <v>0</v>
      </c>
      <c r="T20" s="187">
        <v>40523</v>
      </c>
      <c r="U20" s="187">
        <f t="shared" si="1"/>
        <v>40523</v>
      </c>
      <c r="V20" s="187"/>
      <c r="X20" s="183"/>
      <c r="Y20" s="184"/>
      <c r="Z20" s="184"/>
      <c r="AA20" s="184"/>
      <c r="AB20" s="185"/>
      <c r="AC20" s="184"/>
      <c r="AD20" s="184"/>
      <c r="AE20" s="184"/>
      <c r="AF20" s="185"/>
      <c r="AG20" s="184"/>
      <c r="AH20" s="184"/>
      <c r="AI20" s="184"/>
      <c r="AJ20" s="185"/>
      <c r="AK20" s="184"/>
      <c r="AL20" s="184"/>
      <c r="AM20" s="184"/>
      <c r="AN20" s="185"/>
      <c r="AO20" s="184"/>
      <c r="AP20" s="185"/>
      <c r="AQ20" s="184"/>
      <c r="AR20" s="185"/>
      <c r="AT20" s="45"/>
      <c r="AU20" s="19"/>
      <c r="AV20" s="46"/>
      <c r="AW20" s="19"/>
      <c r="AX20" s="46"/>
      <c r="AY20" s="19"/>
      <c r="AZ20" s="46"/>
      <c r="BB20" s="60"/>
      <c r="BC20" s="22"/>
      <c r="BD20" s="22"/>
      <c r="BE20" s="46"/>
      <c r="BF20" s="21"/>
      <c r="BG20" s="186"/>
      <c r="BI20" s="45"/>
      <c r="BJ20" s="19"/>
      <c r="BK20" s="46"/>
      <c r="BL20" s="21"/>
      <c r="BM20" s="21"/>
      <c r="BN20" s="21"/>
      <c r="BO20" s="46"/>
      <c r="BP20" s="21"/>
      <c r="BQ20" s="21"/>
      <c r="BR20" s="165"/>
      <c r="BS20" s="46"/>
      <c r="BT20" s="22"/>
      <c r="BU20" s="19"/>
      <c r="BV20" s="46"/>
      <c r="BX20" s="169"/>
      <c r="BY20" s="170"/>
    </row>
    <row r="21" spans="1:77" ht="16.2" customHeight="1" x14ac:dyDescent="0.3">
      <c r="A21" s="219">
        <f t="shared" si="2"/>
        <v>1973</v>
      </c>
      <c r="B21" s="203"/>
      <c r="C21" s="196"/>
      <c r="D21" s="196"/>
      <c r="E21" s="196"/>
      <c r="F21" s="197"/>
      <c r="G21" s="201"/>
      <c r="H21" s="231"/>
      <c r="I21" s="197"/>
      <c r="J21" s="197"/>
      <c r="K21" s="197"/>
      <c r="L21" s="201"/>
      <c r="M21" s="197"/>
      <c r="N21" s="197"/>
      <c r="O21" s="197"/>
      <c r="P21" s="197"/>
      <c r="Q21" s="201"/>
      <c r="R21" s="22"/>
      <c r="S21" s="187">
        <v>0</v>
      </c>
      <c r="T21" s="187">
        <v>26426</v>
      </c>
      <c r="U21" s="187">
        <f t="shared" si="1"/>
        <v>26426</v>
      </c>
      <c r="V21" s="187"/>
      <c r="X21" s="183"/>
      <c r="Y21" s="184"/>
      <c r="Z21" s="184"/>
      <c r="AA21" s="184"/>
      <c r="AB21" s="185"/>
      <c r="AC21" s="184"/>
      <c r="AD21" s="184"/>
      <c r="AE21" s="184"/>
      <c r="AF21" s="185"/>
      <c r="AG21" s="184"/>
      <c r="AH21" s="184"/>
      <c r="AI21" s="184"/>
      <c r="AJ21" s="185"/>
      <c r="AK21" s="184"/>
      <c r="AL21" s="184"/>
      <c r="AM21" s="184"/>
      <c r="AN21" s="185"/>
      <c r="AO21" s="184"/>
      <c r="AP21" s="185"/>
      <c r="AQ21" s="184"/>
      <c r="AR21" s="185"/>
      <c r="AT21" s="45"/>
      <c r="AU21" s="19"/>
      <c r="AV21" s="46"/>
      <c r="AW21" s="19"/>
      <c r="AX21" s="46"/>
      <c r="AY21" s="19"/>
      <c r="AZ21" s="46"/>
      <c r="BB21" s="60"/>
      <c r="BC21" s="22"/>
      <c r="BD21" s="22"/>
      <c r="BE21" s="46"/>
      <c r="BF21" s="21"/>
      <c r="BG21" s="186"/>
      <c r="BI21" s="45"/>
      <c r="BJ21" s="19"/>
      <c r="BK21" s="46"/>
      <c r="BL21" s="21"/>
      <c r="BM21" s="21"/>
      <c r="BN21" s="21"/>
      <c r="BO21" s="46"/>
      <c r="BP21" s="21"/>
      <c r="BQ21" s="21"/>
      <c r="BR21" s="165"/>
      <c r="BS21" s="46"/>
      <c r="BT21" s="22"/>
      <c r="BU21" s="19"/>
      <c r="BV21" s="46"/>
      <c r="BX21" s="169"/>
      <c r="BY21" s="170"/>
    </row>
    <row r="22" spans="1:77" ht="16.2" customHeight="1" x14ac:dyDescent="0.3">
      <c r="A22" s="219">
        <f t="shared" si="2"/>
        <v>1974</v>
      </c>
      <c r="B22" s="203"/>
      <c r="C22" s="196"/>
      <c r="D22" s="196"/>
      <c r="E22" s="196"/>
      <c r="F22" s="197"/>
      <c r="G22" s="201"/>
      <c r="H22" s="231"/>
      <c r="I22" s="197"/>
      <c r="J22" s="197"/>
      <c r="K22" s="197"/>
      <c r="L22" s="201"/>
      <c r="M22" s="197"/>
      <c r="N22" s="197"/>
      <c r="O22" s="197"/>
      <c r="P22" s="197"/>
      <c r="Q22" s="201"/>
      <c r="R22" s="22"/>
      <c r="S22" s="189">
        <v>3458</v>
      </c>
      <c r="T22" s="187">
        <v>10360</v>
      </c>
      <c r="U22" s="187">
        <f t="shared" si="1"/>
        <v>10360</v>
      </c>
      <c r="V22" s="187"/>
      <c r="X22" s="183"/>
      <c r="Y22" s="184"/>
      <c r="Z22" s="184"/>
      <c r="AA22" s="184"/>
      <c r="AB22" s="185"/>
      <c r="AC22" s="184"/>
      <c r="AD22" s="184"/>
      <c r="AE22" s="184"/>
      <c r="AF22" s="185"/>
      <c r="AG22" s="184"/>
      <c r="AH22" s="184"/>
      <c r="AI22" s="184"/>
      <c r="AJ22" s="185"/>
      <c r="AK22" s="184"/>
      <c r="AL22" s="184"/>
      <c r="AM22" s="184"/>
      <c r="AN22" s="185"/>
      <c r="AO22" s="184"/>
      <c r="AP22" s="185"/>
      <c r="AQ22" s="184"/>
      <c r="AR22" s="185"/>
      <c r="AT22" s="45"/>
      <c r="AU22" s="19"/>
      <c r="AV22" s="46"/>
      <c r="AW22" s="19"/>
      <c r="AX22" s="46"/>
      <c r="AY22" s="19"/>
      <c r="AZ22" s="46"/>
      <c r="BB22" s="60"/>
      <c r="BC22" s="22"/>
      <c r="BD22" s="22"/>
      <c r="BE22" s="46"/>
      <c r="BF22" s="21"/>
      <c r="BG22" s="186"/>
      <c r="BI22" s="45"/>
      <c r="BJ22" s="19"/>
      <c r="BK22" s="46"/>
      <c r="BL22" s="21"/>
      <c r="BM22" s="21"/>
      <c r="BN22" s="21"/>
      <c r="BO22" s="46"/>
      <c r="BP22" s="21"/>
      <c r="BQ22" s="21"/>
      <c r="BR22" s="165"/>
      <c r="BS22" s="46"/>
      <c r="BT22" s="22"/>
      <c r="BU22" s="19"/>
      <c r="BV22" s="46"/>
      <c r="BX22" s="169"/>
      <c r="BY22" s="170"/>
    </row>
    <row r="23" spans="1:77" ht="16.2" customHeight="1" x14ac:dyDescent="0.3">
      <c r="A23" s="219">
        <f t="shared" si="2"/>
        <v>1975</v>
      </c>
      <c r="B23" s="203"/>
      <c r="C23" s="196"/>
      <c r="D23" s="196"/>
      <c r="E23" s="196"/>
      <c r="F23" s="197"/>
      <c r="G23" s="201"/>
      <c r="H23" s="231"/>
      <c r="I23" s="197"/>
      <c r="J23" s="197"/>
      <c r="K23" s="197"/>
      <c r="L23" s="201"/>
      <c r="M23" s="197"/>
      <c r="N23" s="197"/>
      <c r="O23" s="197"/>
      <c r="P23" s="197"/>
      <c r="Q23" s="201"/>
      <c r="R23" s="22"/>
      <c r="S23" s="189">
        <v>3930</v>
      </c>
      <c r="T23" s="187">
        <v>12662</v>
      </c>
      <c r="U23" s="187">
        <f t="shared" si="1"/>
        <v>12662</v>
      </c>
      <c r="V23" s="187"/>
      <c r="X23" s="183"/>
      <c r="Y23" s="184"/>
      <c r="Z23" s="184"/>
      <c r="AA23" s="184"/>
      <c r="AB23" s="185"/>
      <c r="AC23" s="184"/>
      <c r="AD23" s="184"/>
      <c r="AE23" s="184"/>
      <c r="AF23" s="185"/>
      <c r="AG23" s="184"/>
      <c r="AH23" s="184"/>
      <c r="AI23" s="184"/>
      <c r="AJ23" s="185"/>
      <c r="AK23" s="184"/>
      <c r="AL23" s="184"/>
      <c r="AM23" s="184"/>
      <c r="AN23" s="185"/>
      <c r="AO23" s="184"/>
      <c r="AP23" s="185"/>
      <c r="AQ23" s="184"/>
      <c r="AR23" s="185"/>
      <c r="AT23" s="45"/>
      <c r="AU23" s="19"/>
      <c r="AV23" s="46"/>
      <c r="AW23" s="19"/>
      <c r="AX23" s="46"/>
      <c r="AY23" s="19"/>
      <c r="AZ23" s="46"/>
      <c r="BB23" s="60"/>
      <c r="BC23" s="22"/>
      <c r="BD23" s="22"/>
      <c r="BE23" s="46"/>
      <c r="BF23" s="21"/>
      <c r="BG23" s="186"/>
      <c r="BI23" s="45"/>
      <c r="BJ23" s="19"/>
      <c r="BK23" s="46"/>
      <c r="BL23" s="21"/>
      <c r="BM23" s="21"/>
      <c r="BN23" s="21"/>
      <c r="BO23" s="46"/>
      <c r="BP23" s="21"/>
      <c r="BQ23" s="21"/>
      <c r="BR23" s="165"/>
      <c r="BS23" s="46"/>
      <c r="BT23" s="22"/>
      <c r="BU23" s="19"/>
      <c r="BV23" s="46"/>
      <c r="BX23" s="169"/>
      <c r="BY23" s="170"/>
    </row>
    <row r="24" spans="1:77" ht="16.2" customHeight="1" x14ac:dyDescent="0.3">
      <c r="A24" s="219">
        <f t="shared" si="2"/>
        <v>1976</v>
      </c>
      <c r="B24" s="203"/>
      <c r="C24" s="196"/>
      <c r="D24" s="196"/>
      <c r="E24" s="196"/>
      <c r="F24" s="197"/>
      <c r="G24" s="201"/>
      <c r="H24" s="231"/>
      <c r="I24" s="197"/>
      <c r="J24" s="197"/>
      <c r="K24" s="197"/>
      <c r="L24" s="201"/>
      <c r="M24" s="197"/>
      <c r="N24" s="197"/>
      <c r="O24" s="197"/>
      <c r="P24" s="197"/>
      <c r="Q24" s="201"/>
      <c r="R24" s="22"/>
      <c r="S24" s="189">
        <v>13575</v>
      </c>
      <c r="T24" s="187">
        <v>8987</v>
      </c>
      <c r="U24" s="187">
        <f t="shared" si="1"/>
        <v>8987</v>
      </c>
      <c r="V24" s="187"/>
      <c r="X24" s="183"/>
      <c r="Y24" s="184"/>
      <c r="Z24" s="184"/>
      <c r="AA24" s="184"/>
      <c r="AB24" s="185"/>
      <c r="AC24" s="184"/>
      <c r="AD24" s="184"/>
      <c r="AE24" s="184"/>
      <c r="AF24" s="185"/>
      <c r="AG24" s="184"/>
      <c r="AH24" s="184"/>
      <c r="AI24" s="184"/>
      <c r="AJ24" s="185"/>
      <c r="AK24" s="184"/>
      <c r="AL24" s="184"/>
      <c r="AM24" s="184"/>
      <c r="AN24" s="185"/>
      <c r="AO24" s="184"/>
      <c r="AP24" s="185"/>
      <c r="AQ24" s="184"/>
      <c r="AR24" s="185"/>
      <c r="AT24" s="45"/>
      <c r="AU24" s="19"/>
      <c r="AV24" s="46"/>
      <c r="AW24" s="19"/>
      <c r="AX24" s="46"/>
      <c r="AY24" s="19"/>
      <c r="AZ24" s="46"/>
      <c r="BB24" s="60"/>
      <c r="BC24" s="22"/>
      <c r="BD24" s="22"/>
      <c r="BE24" s="46"/>
      <c r="BF24" s="21"/>
      <c r="BG24" s="186"/>
      <c r="BI24" s="45"/>
      <c r="BJ24" s="19"/>
      <c r="BK24" s="46"/>
      <c r="BL24" s="21"/>
      <c r="BM24" s="21"/>
      <c r="BN24" s="21"/>
      <c r="BO24" s="46"/>
      <c r="BP24" s="21"/>
      <c r="BQ24" s="21"/>
      <c r="BR24" s="165"/>
      <c r="BS24" s="46"/>
      <c r="BT24" s="22"/>
      <c r="BU24" s="19"/>
      <c r="BV24" s="46"/>
      <c r="BX24" s="169"/>
      <c r="BY24" s="170"/>
    </row>
    <row r="25" spans="1:77" ht="16.2" customHeight="1" x14ac:dyDescent="0.3">
      <c r="A25" s="219">
        <f t="shared" si="2"/>
        <v>1977</v>
      </c>
      <c r="B25" s="203"/>
      <c r="C25" s="196"/>
      <c r="D25" s="196"/>
      <c r="E25" s="196"/>
      <c r="F25" s="197"/>
      <c r="G25" s="201"/>
      <c r="H25" s="231"/>
      <c r="I25" s="197"/>
      <c r="J25" s="197"/>
      <c r="K25" s="197"/>
      <c r="L25" s="201"/>
      <c r="M25" s="197"/>
      <c r="N25" s="197"/>
      <c r="O25" s="197"/>
      <c r="P25" s="197"/>
      <c r="Q25" s="201"/>
      <c r="R25" s="22"/>
      <c r="S25" s="189">
        <v>34784</v>
      </c>
      <c r="T25" s="187">
        <v>22245</v>
      </c>
      <c r="U25" s="187">
        <f t="shared" si="1"/>
        <v>22245</v>
      </c>
      <c r="V25" s="187"/>
      <c r="X25" s="183"/>
      <c r="Y25" s="184"/>
      <c r="Z25" s="184"/>
      <c r="AA25" s="184"/>
      <c r="AB25" s="185"/>
      <c r="AC25" s="184"/>
      <c r="AD25" s="184"/>
      <c r="AE25" s="184"/>
      <c r="AF25" s="185"/>
      <c r="AG25" s="184"/>
      <c r="AH25" s="184"/>
      <c r="AI25" s="184"/>
      <c r="AJ25" s="185"/>
      <c r="AK25" s="184"/>
      <c r="AL25" s="184"/>
      <c r="AM25" s="184"/>
      <c r="AN25" s="185"/>
      <c r="AO25" s="184"/>
      <c r="AP25" s="185"/>
      <c r="AQ25" s="184"/>
      <c r="AR25" s="185"/>
      <c r="AT25" s="45"/>
      <c r="AU25" s="19"/>
      <c r="AV25" s="46"/>
      <c r="AW25" s="19"/>
      <c r="AX25" s="46"/>
      <c r="AY25" s="19"/>
      <c r="AZ25" s="46"/>
      <c r="BB25" s="60"/>
      <c r="BC25" s="22"/>
      <c r="BD25" s="22"/>
      <c r="BE25" s="46"/>
      <c r="BF25" s="21"/>
      <c r="BG25" s="186"/>
      <c r="BI25" s="45"/>
      <c r="BJ25" s="19"/>
      <c r="BK25" s="46"/>
      <c r="BL25" s="21"/>
      <c r="BM25" s="21"/>
      <c r="BN25" s="21"/>
      <c r="BO25" s="46"/>
      <c r="BP25" s="21"/>
      <c r="BQ25" s="21"/>
      <c r="BR25" s="165"/>
      <c r="BS25" s="46"/>
      <c r="BT25" s="22"/>
      <c r="BU25" s="19"/>
      <c r="BV25" s="46"/>
      <c r="BX25" s="169"/>
      <c r="BY25" s="170"/>
    </row>
    <row r="26" spans="1:77" ht="16.2" customHeight="1" x14ac:dyDescent="0.3">
      <c r="A26" s="219">
        <f t="shared" si="2"/>
        <v>1978</v>
      </c>
      <c r="B26" s="203"/>
      <c r="C26" s="196"/>
      <c r="D26" s="196"/>
      <c r="E26" s="196"/>
      <c r="F26" s="197"/>
      <c r="G26" s="201"/>
      <c r="H26" s="231"/>
      <c r="I26" s="197"/>
      <c r="J26" s="197"/>
      <c r="K26" s="197"/>
      <c r="L26" s="201"/>
      <c r="M26" s="197"/>
      <c r="N26" s="197"/>
      <c r="O26" s="197"/>
      <c r="P26" s="197"/>
      <c r="Q26" s="201"/>
      <c r="R26" s="22"/>
      <c r="S26" s="189">
        <v>13289</v>
      </c>
      <c r="T26" s="187">
        <v>13184</v>
      </c>
      <c r="U26" s="187">
        <f t="shared" si="1"/>
        <v>13184</v>
      </c>
      <c r="V26" s="187"/>
      <c r="X26" s="183"/>
      <c r="Y26" s="184"/>
      <c r="Z26" s="184"/>
      <c r="AA26" s="184"/>
      <c r="AB26" s="185"/>
      <c r="AC26" s="184"/>
      <c r="AD26" s="184"/>
      <c r="AE26" s="184"/>
      <c r="AF26" s="185"/>
      <c r="AG26" s="184"/>
      <c r="AH26" s="184"/>
      <c r="AI26" s="184"/>
      <c r="AJ26" s="185"/>
      <c r="AK26" s="184"/>
      <c r="AL26" s="184"/>
      <c r="AM26" s="184"/>
      <c r="AN26" s="185"/>
      <c r="AO26" s="184"/>
      <c r="AP26" s="185"/>
      <c r="AQ26" s="184"/>
      <c r="AR26" s="185"/>
      <c r="AT26" s="45"/>
      <c r="AU26" s="19"/>
      <c r="AV26" s="46"/>
      <c r="AW26" s="19"/>
      <c r="AX26" s="46"/>
      <c r="AY26" s="19"/>
      <c r="AZ26" s="46"/>
      <c r="BB26" s="60"/>
      <c r="BC26" s="22"/>
      <c r="BD26" s="22"/>
      <c r="BE26" s="46"/>
      <c r="BF26" s="21"/>
      <c r="BG26" s="186"/>
      <c r="BI26" s="45"/>
      <c r="BJ26" s="19"/>
      <c r="BK26" s="46"/>
      <c r="BL26" s="21"/>
      <c r="BM26" s="21"/>
      <c r="BN26" s="21"/>
      <c r="BO26" s="46"/>
      <c r="BP26" s="21"/>
      <c r="BQ26" s="21"/>
      <c r="BR26" s="165"/>
      <c r="BS26" s="46"/>
      <c r="BT26" s="22"/>
      <c r="BU26" s="19"/>
      <c r="BV26" s="46"/>
      <c r="BX26" s="169"/>
      <c r="BY26" s="170"/>
    </row>
    <row r="27" spans="1:77" ht="16.2" customHeight="1" x14ac:dyDescent="0.3">
      <c r="A27" s="219">
        <f t="shared" si="2"/>
        <v>1979</v>
      </c>
      <c r="B27" s="203"/>
      <c r="C27" s="196"/>
      <c r="D27" s="196"/>
      <c r="E27" s="196"/>
      <c r="F27" s="197"/>
      <c r="G27" s="201"/>
      <c r="H27" s="231"/>
      <c r="I27" s="197"/>
      <c r="J27" s="197"/>
      <c r="K27" s="197"/>
      <c r="L27" s="201"/>
      <c r="M27" s="197"/>
      <c r="N27" s="197"/>
      <c r="O27" s="197"/>
      <c r="P27" s="197"/>
      <c r="Q27" s="201"/>
      <c r="R27" s="22"/>
      <c r="S27" s="189">
        <v>12334</v>
      </c>
      <c r="T27" s="187">
        <v>16424</v>
      </c>
      <c r="U27" s="187">
        <f t="shared" si="1"/>
        <v>16424</v>
      </c>
      <c r="V27" s="187"/>
      <c r="X27" s="183"/>
      <c r="Y27" s="184"/>
      <c r="Z27" s="184"/>
      <c r="AA27" s="184"/>
      <c r="AB27" s="185"/>
      <c r="AC27" s="184"/>
      <c r="AD27" s="184"/>
      <c r="AE27" s="184"/>
      <c r="AF27" s="185"/>
      <c r="AG27" s="184"/>
      <c r="AH27" s="184"/>
      <c r="AI27" s="184"/>
      <c r="AJ27" s="185"/>
      <c r="AK27" s="184"/>
      <c r="AL27" s="184"/>
      <c r="AM27" s="184"/>
      <c r="AN27" s="185"/>
      <c r="AO27" s="184"/>
      <c r="AP27" s="185"/>
      <c r="AQ27" s="184"/>
      <c r="AR27" s="185"/>
      <c r="AT27" s="45"/>
      <c r="AU27" s="19"/>
      <c r="AV27" s="46"/>
      <c r="AW27" s="19"/>
      <c r="AX27" s="46"/>
      <c r="AY27" s="19"/>
      <c r="AZ27" s="46"/>
      <c r="BB27" s="60"/>
      <c r="BC27" s="22"/>
      <c r="BD27" s="22"/>
      <c r="BE27" s="46"/>
      <c r="BF27" s="21"/>
      <c r="BG27" s="186"/>
      <c r="BI27" s="45"/>
      <c r="BJ27" s="19"/>
      <c r="BK27" s="46"/>
      <c r="BL27" s="21"/>
      <c r="BM27" s="21"/>
      <c r="BN27" s="21"/>
      <c r="BO27" s="46"/>
      <c r="BP27" s="21"/>
      <c r="BQ27" s="21"/>
      <c r="BR27" s="165"/>
      <c r="BS27" s="46"/>
      <c r="BT27" s="22"/>
      <c r="BU27" s="19"/>
      <c r="BV27" s="46"/>
      <c r="BX27" s="169"/>
      <c r="BY27" s="170"/>
    </row>
    <row r="28" spans="1:77" ht="16.2" customHeight="1" x14ac:dyDescent="0.3">
      <c r="A28" s="219">
        <f t="shared" si="2"/>
        <v>1980</v>
      </c>
      <c r="B28" s="203"/>
      <c r="C28" s="196"/>
      <c r="D28" s="196"/>
      <c r="E28" s="196"/>
      <c r="F28" s="197"/>
      <c r="G28" s="201"/>
      <c r="H28" s="231"/>
      <c r="I28" s="197"/>
      <c r="J28" s="197"/>
      <c r="K28" s="197"/>
      <c r="L28" s="201"/>
      <c r="M28" s="197"/>
      <c r="N28" s="197"/>
      <c r="O28" s="197"/>
      <c r="P28" s="197"/>
      <c r="Q28" s="201"/>
      <c r="R28" s="22"/>
      <c r="S28" s="189">
        <v>16182</v>
      </c>
      <c r="T28" s="187">
        <v>21814</v>
      </c>
      <c r="U28" s="187">
        <f t="shared" si="1"/>
        <v>21814</v>
      </c>
      <c r="V28" s="187"/>
      <c r="X28" s="183"/>
      <c r="Y28" s="184"/>
      <c r="Z28" s="184"/>
      <c r="AA28" s="184"/>
      <c r="AB28" s="185"/>
      <c r="AC28" s="184"/>
      <c r="AD28" s="184"/>
      <c r="AE28" s="184"/>
      <c r="AF28" s="185"/>
      <c r="AG28" s="184"/>
      <c r="AH28" s="184"/>
      <c r="AI28" s="184"/>
      <c r="AJ28" s="185"/>
      <c r="AK28" s="184"/>
      <c r="AL28" s="184"/>
      <c r="AM28" s="184"/>
      <c r="AN28" s="185"/>
      <c r="AO28" s="184"/>
      <c r="AP28" s="185"/>
      <c r="AQ28" s="184"/>
      <c r="AR28" s="185"/>
      <c r="AT28" s="45"/>
      <c r="AU28" s="19"/>
      <c r="AV28" s="46"/>
      <c r="AW28" s="19"/>
      <c r="AX28" s="46"/>
      <c r="AY28" s="19"/>
      <c r="AZ28" s="46"/>
      <c r="BB28" s="60"/>
      <c r="BC28" s="22"/>
      <c r="BD28" s="22"/>
      <c r="BE28" s="46"/>
      <c r="BF28" s="21"/>
      <c r="BG28" s="186"/>
      <c r="BI28" s="45"/>
      <c r="BJ28" s="19"/>
      <c r="BK28" s="46"/>
      <c r="BL28" s="21"/>
      <c r="BM28" s="21"/>
      <c r="BN28" s="21"/>
      <c r="BO28" s="46"/>
      <c r="BP28" s="21"/>
      <c r="BQ28" s="21"/>
      <c r="BR28" s="165"/>
      <c r="BS28" s="46"/>
      <c r="BT28" s="22"/>
      <c r="BU28" s="19"/>
      <c r="BV28" s="46"/>
      <c r="BX28" s="169"/>
      <c r="BY28" s="170"/>
    </row>
    <row r="29" spans="1:77" ht="16.2" customHeight="1" x14ac:dyDescent="0.3">
      <c r="A29" s="219">
        <f t="shared" si="2"/>
        <v>1981</v>
      </c>
      <c r="B29" s="203"/>
      <c r="C29" s="196"/>
      <c r="D29" s="196"/>
      <c r="E29" s="196"/>
      <c r="F29" s="197"/>
      <c r="G29" s="201"/>
      <c r="H29" s="231"/>
      <c r="I29" s="197"/>
      <c r="J29" s="197"/>
      <c r="K29" s="197"/>
      <c r="L29" s="201"/>
      <c r="M29" s="197"/>
      <c r="N29" s="197"/>
      <c r="O29" s="197"/>
      <c r="P29" s="197"/>
      <c r="Q29" s="201"/>
      <c r="R29" s="22"/>
      <c r="S29" s="189">
        <v>24488</v>
      </c>
      <c r="T29" s="187">
        <v>17932</v>
      </c>
      <c r="U29" s="187">
        <f t="shared" si="1"/>
        <v>17932</v>
      </c>
      <c r="V29" s="187"/>
      <c r="X29" s="183"/>
      <c r="Y29" s="184"/>
      <c r="Z29" s="184"/>
      <c r="AA29" s="184"/>
      <c r="AB29" s="185"/>
      <c r="AC29" s="184"/>
      <c r="AD29" s="184"/>
      <c r="AE29" s="184"/>
      <c r="AF29" s="185"/>
      <c r="AG29" s="184"/>
      <c r="AH29" s="184"/>
      <c r="AI29" s="184"/>
      <c r="AJ29" s="185"/>
      <c r="AK29" s="184"/>
      <c r="AL29" s="184"/>
      <c r="AM29" s="184"/>
      <c r="AN29" s="185"/>
      <c r="AO29" s="184"/>
      <c r="AP29" s="185"/>
      <c r="AQ29" s="184"/>
      <c r="AR29" s="185"/>
      <c r="AT29" s="45"/>
      <c r="AU29" s="19"/>
      <c r="AV29" s="46"/>
      <c r="AW29" s="19"/>
      <c r="AX29" s="46"/>
      <c r="AY29" s="19"/>
      <c r="AZ29" s="46"/>
      <c r="BB29" s="60"/>
      <c r="BC29" s="22"/>
      <c r="BD29" s="22"/>
      <c r="BE29" s="46"/>
      <c r="BF29" s="21"/>
      <c r="BG29" s="186"/>
      <c r="BI29" s="45"/>
      <c r="BJ29" s="19"/>
      <c r="BK29" s="46"/>
      <c r="BL29" s="21"/>
      <c r="BM29" s="21"/>
      <c r="BN29" s="21"/>
      <c r="BO29" s="46"/>
      <c r="BP29" s="21"/>
      <c r="BQ29" s="21"/>
      <c r="BR29" s="165"/>
      <c r="BS29" s="46"/>
      <c r="BT29" s="22"/>
      <c r="BU29" s="19"/>
      <c r="BV29" s="46"/>
      <c r="BX29" s="169"/>
      <c r="BY29" s="170"/>
    </row>
    <row r="30" spans="1:77" ht="16.2" customHeight="1" x14ac:dyDescent="0.3">
      <c r="A30" s="219">
        <f t="shared" si="2"/>
        <v>1982</v>
      </c>
      <c r="B30" s="203"/>
      <c r="C30" s="196"/>
      <c r="D30" s="196"/>
      <c r="E30" s="196"/>
      <c r="F30" s="197"/>
      <c r="G30" s="201"/>
      <c r="H30" s="231"/>
      <c r="I30" s="197"/>
      <c r="J30" s="197"/>
      <c r="K30" s="197"/>
      <c r="L30" s="201"/>
      <c r="M30" s="197"/>
      <c r="N30" s="197"/>
      <c r="O30" s="197"/>
      <c r="P30" s="197"/>
      <c r="Q30" s="201"/>
      <c r="R30" s="22"/>
      <c r="S30" s="189">
        <v>47153</v>
      </c>
      <c r="T30" s="187">
        <v>25231</v>
      </c>
      <c r="U30" s="187">
        <f t="shared" si="1"/>
        <v>25231</v>
      </c>
      <c r="V30" s="187"/>
      <c r="X30" s="183"/>
      <c r="Y30" s="184"/>
      <c r="Z30" s="184"/>
      <c r="AA30" s="184"/>
      <c r="AB30" s="185"/>
      <c r="AC30" s="184"/>
      <c r="AD30" s="184"/>
      <c r="AE30" s="184"/>
      <c r="AF30" s="185"/>
      <c r="AG30" s="184"/>
      <c r="AH30" s="184"/>
      <c r="AI30" s="184"/>
      <c r="AJ30" s="185"/>
      <c r="AK30" s="184"/>
      <c r="AL30" s="184"/>
      <c r="AM30" s="184"/>
      <c r="AN30" s="185"/>
      <c r="AO30" s="184"/>
      <c r="AP30" s="185"/>
      <c r="AQ30" s="184"/>
      <c r="AR30" s="185"/>
      <c r="AT30" s="45"/>
      <c r="AU30" s="19"/>
      <c r="AV30" s="46"/>
      <c r="AW30" s="19"/>
      <c r="AX30" s="46"/>
      <c r="AY30" s="19"/>
      <c r="AZ30" s="46"/>
      <c r="BB30" s="60"/>
      <c r="BC30" s="22"/>
      <c r="BD30" s="22"/>
      <c r="BE30" s="46"/>
      <c r="BF30" s="21"/>
      <c r="BG30" s="186"/>
      <c r="BI30" s="45"/>
      <c r="BJ30" s="19"/>
      <c r="BK30" s="46"/>
      <c r="BL30" s="21"/>
      <c r="BM30" s="21"/>
      <c r="BN30" s="21"/>
      <c r="BO30" s="46"/>
      <c r="BP30" s="21"/>
      <c r="BQ30" s="21"/>
      <c r="BR30" s="165"/>
      <c r="BS30" s="46"/>
      <c r="BT30" s="22"/>
      <c r="BU30" s="19"/>
      <c r="BV30" s="46"/>
      <c r="BX30" s="169"/>
      <c r="BY30" s="170"/>
    </row>
    <row r="31" spans="1:77" ht="16.2" customHeight="1" x14ac:dyDescent="0.3">
      <c r="A31" s="219">
        <f t="shared" si="2"/>
        <v>1983</v>
      </c>
      <c r="B31" s="203"/>
      <c r="C31" s="196"/>
      <c r="D31" s="196"/>
      <c r="E31" s="196"/>
      <c r="F31" s="197"/>
      <c r="G31" s="201"/>
      <c r="H31" s="231"/>
      <c r="I31" s="197"/>
      <c r="J31" s="197"/>
      <c r="K31" s="197"/>
      <c r="L31" s="201"/>
      <c r="M31" s="197"/>
      <c r="N31" s="197"/>
      <c r="O31" s="197"/>
      <c r="P31" s="197"/>
      <c r="Q31" s="201"/>
      <c r="R31" s="22"/>
      <c r="S31" s="189">
        <v>70382</v>
      </c>
      <c r="T31" s="187">
        <v>18378</v>
      </c>
      <c r="U31" s="187">
        <f t="shared" si="1"/>
        <v>18378</v>
      </c>
      <c r="V31" s="187"/>
      <c r="X31" s="183"/>
      <c r="Y31" s="184"/>
      <c r="Z31" s="184"/>
      <c r="AA31" s="184"/>
      <c r="AB31" s="185"/>
      <c r="AC31" s="184"/>
      <c r="AD31" s="184"/>
      <c r="AE31" s="184"/>
      <c r="AF31" s="185"/>
      <c r="AG31" s="184"/>
      <c r="AH31" s="184"/>
      <c r="AI31" s="184"/>
      <c r="AJ31" s="185"/>
      <c r="AK31" s="184"/>
      <c r="AL31" s="184"/>
      <c r="AM31" s="184"/>
      <c r="AN31" s="185"/>
      <c r="AO31" s="184"/>
      <c r="AP31" s="185"/>
      <c r="AQ31" s="184"/>
      <c r="AR31" s="185"/>
      <c r="AT31" s="45"/>
      <c r="AU31" s="19"/>
      <c r="AV31" s="46"/>
      <c r="AW31" s="19"/>
      <c r="AX31" s="46"/>
      <c r="AY31" s="19"/>
      <c r="AZ31" s="46"/>
      <c r="BB31" s="60"/>
      <c r="BC31" s="22"/>
      <c r="BD31" s="22"/>
      <c r="BE31" s="46"/>
      <c r="BF31" s="21"/>
      <c r="BG31" s="186"/>
      <c r="BI31" s="45"/>
      <c r="BJ31" s="19"/>
      <c r="BK31" s="46"/>
      <c r="BL31" s="21"/>
      <c r="BM31" s="21"/>
      <c r="BN31" s="21"/>
      <c r="BO31" s="46"/>
      <c r="BP31" s="21"/>
      <c r="BQ31" s="21"/>
      <c r="BR31" s="165"/>
      <c r="BS31" s="46"/>
      <c r="BT31" s="22"/>
      <c r="BU31" s="19"/>
      <c r="BV31" s="46"/>
      <c r="BX31" s="169"/>
      <c r="BY31" s="170"/>
    </row>
    <row r="32" spans="1:77" ht="16.2" customHeight="1" x14ac:dyDescent="0.3">
      <c r="A32" s="219">
        <f t="shared" si="2"/>
        <v>1984</v>
      </c>
      <c r="B32" s="203"/>
      <c r="C32" s="196"/>
      <c r="D32" s="196"/>
      <c r="E32" s="196"/>
      <c r="F32" s="197"/>
      <c r="G32" s="201"/>
      <c r="H32" s="231"/>
      <c r="I32" s="197"/>
      <c r="J32" s="197"/>
      <c r="K32" s="197"/>
      <c r="L32" s="201"/>
      <c r="M32" s="197"/>
      <c r="N32" s="197"/>
      <c r="O32" s="197"/>
      <c r="P32" s="197"/>
      <c r="Q32" s="201"/>
      <c r="R32" s="22"/>
      <c r="S32" s="189">
        <v>79920</v>
      </c>
      <c r="T32" s="187">
        <v>24497</v>
      </c>
      <c r="U32" s="187">
        <f t="shared" si="1"/>
        <v>24497</v>
      </c>
      <c r="V32" s="187"/>
      <c r="X32" s="183"/>
      <c r="Y32" s="184"/>
      <c r="Z32" s="184"/>
      <c r="AA32" s="184"/>
      <c r="AB32" s="185"/>
      <c r="AC32" s="184"/>
      <c r="AD32" s="184"/>
      <c r="AE32" s="184"/>
      <c r="AF32" s="185"/>
      <c r="AG32" s="184"/>
      <c r="AH32" s="184"/>
      <c r="AI32" s="184"/>
      <c r="AJ32" s="185"/>
      <c r="AK32" s="184"/>
      <c r="AL32" s="184"/>
      <c r="AM32" s="184"/>
      <c r="AN32" s="185"/>
      <c r="AO32" s="184"/>
      <c r="AP32" s="185"/>
      <c r="AQ32" s="184"/>
      <c r="AR32" s="185"/>
      <c r="AT32" s="45"/>
      <c r="AU32" s="19"/>
      <c r="AV32" s="46"/>
      <c r="AW32" s="19"/>
      <c r="AX32" s="46"/>
      <c r="AY32" s="19"/>
      <c r="AZ32" s="46"/>
      <c r="BB32" s="60"/>
      <c r="BC32" s="22"/>
      <c r="BD32" s="22"/>
      <c r="BE32" s="46"/>
      <c r="BF32" s="21"/>
      <c r="BG32" s="186"/>
      <c r="BI32" s="45"/>
      <c r="BJ32" s="19"/>
      <c r="BK32" s="46"/>
      <c r="BL32" s="21"/>
      <c r="BM32" s="21"/>
      <c r="BN32" s="21"/>
      <c r="BO32" s="46"/>
      <c r="BP32" s="21"/>
      <c r="BQ32" s="21"/>
      <c r="BR32" s="165"/>
      <c r="BS32" s="46"/>
      <c r="BT32" s="22"/>
      <c r="BU32" s="19"/>
      <c r="BV32" s="46"/>
      <c r="BX32" s="169"/>
      <c r="BY32" s="170"/>
    </row>
    <row r="33" spans="1:87" ht="16.2" customHeight="1" x14ac:dyDescent="0.3">
      <c r="A33" s="219">
        <f t="shared" si="2"/>
        <v>1985</v>
      </c>
      <c r="B33" s="203"/>
      <c r="C33" s="196"/>
      <c r="D33" s="196"/>
      <c r="E33" s="196"/>
      <c r="F33" s="197"/>
      <c r="G33" s="201"/>
      <c r="H33" s="231"/>
      <c r="I33" s="197"/>
      <c r="J33" s="197"/>
      <c r="K33" s="197"/>
      <c r="L33" s="201"/>
      <c r="M33" s="197"/>
      <c r="N33" s="197"/>
      <c r="O33" s="197"/>
      <c r="P33" s="197"/>
      <c r="Q33" s="201"/>
      <c r="R33" s="22"/>
      <c r="S33" s="189">
        <v>89626</v>
      </c>
      <c r="T33" s="187">
        <v>26708</v>
      </c>
      <c r="U33" s="187">
        <f t="shared" si="1"/>
        <v>26708</v>
      </c>
      <c r="V33" s="187"/>
      <c r="X33" s="183"/>
      <c r="Y33" s="184"/>
      <c r="Z33" s="184"/>
      <c r="AA33" s="184"/>
      <c r="AB33" s="185"/>
      <c r="AC33" s="184"/>
      <c r="AD33" s="184"/>
      <c r="AE33" s="184"/>
      <c r="AF33" s="185"/>
      <c r="AG33" s="184"/>
      <c r="AH33" s="184"/>
      <c r="AI33" s="184"/>
      <c r="AJ33" s="185"/>
      <c r="AK33" s="184"/>
      <c r="AL33" s="184"/>
      <c r="AM33" s="184"/>
      <c r="AN33" s="185"/>
      <c r="AO33" s="184"/>
      <c r="AP33" s="185"/>
      <c r="AQ33" s="184"/>
      <c r="AR33" s="185"/>
      <c r="AT33" s="45"/>
      <c r="AU33" s="19"/>
      <c r="AV33" s="46"/>
      <c r="AW33" s="19"/>
      <c r="AX33" s="46"/>
      <c r="AY33" s="19"/>
      <c r="AZ33" s="46"/>
      <c r="BB33" s="60"/>
      <c r="BC33" s="22"/>
      <c r="BD33" s="22"/>
      <c r="BE33" s="46"/>
      <c r="BF33" s="21"/>
      <c r="BG33" s="186"/>
      <c r="BI33" s="45"/>
      <c r="BJ33" s="19"/>
      <c r="BK33" s="46"/>
      <c r="BL33" s="21"/>
      <c r="BM33" s="21"/>
      <c r="BN33" s="21"/>
      <c r="BO33" s="46"/>
      <c r="BP33" s="21"/>
      <c r="BQ33" s="21"/>
      <c r="BR33" s="165"/>
      <c r="BS33" s="46"/>
      <c r="BT33" s="22"/>
      <c r="BU33" s="19"/>
      <c r="BV33" s="46"/>
      <c r="BX33" s="169"/>
      <c r="BY33" s="170"/>
    </row>
    <row r="34" spans="1:87" ht="16.2" customHeight="1" x14ac:dyDescent="0.3">
      <c r="A34" s="219">
        <f t="shared" si="2"/>
        <v>1986</v>
      </c>
      <c r="B34" s="203"/>
      <c r="C34" s="196"/>
      <c r="D34" s="196"/>
      <c r="E34" s="196"/>
      <c r="F34" s="197"/>
      <c r="G34" s="201"/>
      <c r="H34" s="231"/>
      <c r="I34" s="197"/>
      <c r="J34" s="197"/>
      <c r="K34" s="197"/>
      <c r="L34" s="201"/>
      <c r="M34" s="197"/>
      <c r="N34" s="197"/>
      <c r="O34" s="197"/>
      <c r="P34" s="197"/>
      <c r="Q34" s="201"/>
      <c r="R34" s="22"/>
      <c r="S34" s="187">
        <v>107869</v>
      </c>
      <c r="T34" s="187">
        <v>22076</v>
      </c>
      <c r="U34" s="187">
        <v>129945</v>
      </c>
      <c r="V34" s="187"/>
      <c r="X34" s="183"/>
      <c r="Y34" s="184"/>
      <c r="Z34" s="184"/>
      <c r="AA34" s="184"/>
      <c r="AB34" s="185"/>
      <c r="AC34" s="184"/>
      <c r="AD34" s="184"/>
      <c r="AE34" s="184"/>
      <c r="AF34" s="185"/>
      <c r="AG34" s="184"/>
      <c r="AH34" s="184"/>
      <c r="AI34" s="184"/>
      <c r="AJ34" s="185"/>
      <c r="AK34" s="184"/>
      <c r="AL34" s="184"/>
      <c r="AM34" s="184"/>
      <c r="AN34" s="185"/>
      <c r="AO34" s="184"/>
      <c r="AP34" s="185"/>
      <c r="AQ34" s="184"/>
      <c r="AR34" s="185"/>
      <c r="AT34" s="45"/>
      <c r="AU34" s="19"/>
      <c r="AV34" s="46"/>
      <c r="AW34" s="19"/>
      <c r="AX34" s="46"/>
      <c r="AY34" s="19"/>
      <c r="AZ34" s="46"/>
      <c r="BB34" s="60"/>
      <c r="BC34" s="22"/>
      <c r="BD34" s="22"/>
      <c r="BE34" s="46"/>
      <c r="BF34" s="21"/>
      <c r="BG34" s="186"/>
      <c r="BI34" s="45"/>
      <c r="BJ34" s="19"/>
      <c r="BK34" s="46"/>
      <c r="BL34" s="21"/>
      <c r="BM34" s="21"/>
      <c r="BN34" s="21"/>
      <c r="BO34" s="46"/>
      <c r="BP34" s="21"/>
      <c r="BQ34" s="21"/>
      <c r="BR34" s="165"/>
      <c r="BS34" s="46"/>
      <c r="BT34" s="22"/>
      <c r="BU34" s="19"/>
      <c r="BV34" s="46"/>
      <c r="BX34" s="169"/>
      <c r="BY34" s="170"/>
    </row>
    <row r="35" spans="1:87" ht="16.2" customHeight="1" x14ac:dyDescent="0.3">
      <c r="A35" s="219">
        <f t="shared" si="2"/>
        <v>1987</v>
      </c>
      <c r="B35" s="203"/>
      <c r="C35" s="196"/>
      <c r="D35" s="196"/>
      <c r="E35" s="196"/>
      <c r="F35" s="197"/>
      <c r="G35" s="201"/>
      <c r="H35" s="231"/>
      <c r="I35" s="197"/>
      <c r="J35" s="197"/>
      <c r="K35" s="197"/>
      <c r="L35" s="201"/>
      <c r="M35" s="197"/>
      <c r="N35" s="197"/>
      <c r="O35" s="197"/>
      <c r="P35" s="197"/>
      <c r="Q35" s="201"/>
      <c r="R35" s="22"/>
      <c r="S35" s="187">
        <v>45891</v>
      </c>
      <c r="T35" s="187">
        <v>25511</v>
      </c>
      <c r="U35" s="187">
        <v>71402</v>
      </c>
      <c r="V35" s="187"/>
      <c r="X35" s="183"/>
      <c r="Y35" s="184"/>
      <c r="Z35" s="184"/>
      <c r="AA35" s="184"/>
      <c r="AB35" s="185"/>
      <c r="AC35" s="184"/>
      <c r="AD35" s="184"/>
      <c r="AE35" s="184"/>
      <c r="AF35" s="185"/>
      <c r="AG35" s="184"/>
      <c r="AH35" s="184"/>
      <c r="AI35" s="184"/>
      <c r="AJ35" s="185"/>
      <c r="AK35" s="184"/>
      <c r="AL35" s="184"/>
      <c r="AM35" s="184"/>
      <c r="AN35" s="185"/>
      <c r="AO35" s="184"/>
      <c r="AP35" s="185"/>
      <c r="AQ35" s="184"/>
      <c r="AR35" s="185"/>
      <c r="AT35" s="45"/>
      <c r="AU35" s="19"/>
      <c r="AV35" s="46"/>
      <c r="AW35" s="19"/>
      <c r="AX35" s="46"/>
      <c r="AY35" s="19"/>
      <c r="AZ35" s="46"/>
      <c r="BB35" s="60"/>
      <c r="BC35" s="22"/>
      <c r="BD35" s="22"/>
      <c r="BE35" s="46"/>
      <c r="BF35" s="21"/>
      <c r="BG35" s="186"/>
      <c r="BI35" s="45"/>
      <c r="BJ35" s="19"/>
      <c r="BK35" s="46"/>
      <c r="BL35" s="21"/>
      <c r="BM35" s="21"/>
      <c r="BN35" s="21"/>
      <c r="BO35" s="46"/>
      <c r="BP35" s="21"/>
      <c r="BQ35" s="21"/>
      <c r="BR35" s="165"/>
      <c r="BS35" s="46"/>
      <c r="BT35" s="22"/>
      <c r="BU35" s="19"/>
      <c r="BV35" s="46"/>
      <c r="BX35" s="169"/>
      <c r="BY35" s="170"/>
    </row>
    <row r="36" spans="1:87" ht="16.2" customHeight="1" x14ac:dyDescent="0.3">
      <c r="A36" s="219">
        <f t="shared" si="2"/>
        <v>1988</v>
      </c>
      <c r="B36" s="203"/>
      <c r="C36" s="196"/>
      <c r="D36" s="196"/>
      <c r="E36" s="196"/>
      <c r="F36" s="197"/>
      <c r="G36" s="201"/>
      <c r="H36" s="231"/>
      <c r="I36" s="197"/>
      <c r="J36" s="197"/>
      <c r="K36" s="197"/>
      <c r="L36" s="201"/>
      <c r="M36" s="197"/>
      <c r="N36" s="197"/>
      <c r="O36" s="197"/>
      <c r="P36" s="197"/>
      <c r="Q36" s="201"/>
      <c r="R36" s="22"/>
      <c r="S36" s="187">
        <v>66749</v>
      </c>
      <c r="T36" s="187">
        <v>20314</v>
      </c>
      <c r="U36" s="187">
        <v>87063</v>
      </c>
      <c r="V36" s="187"/>
      <c r="X36" s="183"/>
      <c r="Y36" s="184"/>
      <c r="Z36" s="184"/>
      <c r="AA36" s="184"/>
      <c r="AB36" s="185"/>
      <c r="AC36" s="184"/>
      <c r="AD36" s="184"/>
      <c r="AE36" s="184"/>
      <c r="AF36" s="185"/>
      <c r="AG36" s="184"/>
      <c r="AH36" s="184"/>
      <c r="AI36" s="184"/>
      <c r="AJ36" s="185"/>
      <c r="AK36" s="184"/>
      <c r="AL36" s="184"/>
      <c r="AM36" s="184"/>
      <c r="AN36" s="185"/>
      <c r="AO36" s="184"/>
      <c r="AP36" s="185"/>
      <c r="AQ36" s="184"/>
      <c r="AR36" s="185"/>
      <c r="AT36" s="45"/>
      <c r="AU36" s="19"/>
      <c r="AV36" s="46"/>
      <c r="AW36" s="19"/>
      <c r="AX36" s="46"/>
      <c r="AY36" s="19"/>
      <c r="AZ36" s="46"/>
      <c r="BB36" s="60"/>
      <c r="BC36" s="22"/>
      <c r="BD36" s="22"/>
      <c r="BE36" s="46"/>
      <c r="BF36" s="21"/>
      <c r="BG36" s="186"/>
      <c r="BI36" s="45"/>
      <c r="BJ36" s="19"/>
      <c r="BK36" s="46"/>
      <c r="BL36" s="21"/>
      <c r="BM36" s="21"/>
      <c r="BN36" s="21"/>
      <c r="BO36" s="46"/>
      <c r="BP36" s="21"/>
      <c r="BQ36" s="21"/>
      <c r="BR36" s="165"/>
      <c r="BS36" s="46"/>
      <c r="BT36" s="22"/>
      <c r="BU36" s="19"/>
      <c r="BV36" s="46"/>
      <c r="BX36" s="169"/>
      <c r="BY36" s="170"/>
    </row>
    <row r="37" spans="1:87" ht="16.2" customHeight="1" x14ac:dyDescent="0.3">
      <c r="A37" s="219">
        <f t="shared" si="2"/>
        <v>1989</v>
      </c>
      <c r="B37" s="203"/>
      <c r="C37" s="196"/>
      <c r="D37" s="196"/>
      <c r="E37" s="196"/>
      <c r="F37" s="197"/>
      <c r="G37" s="201"/>
      <c r="H37" s="231"/>
      <c r="I37" s="197"/>
      <c r="J37" s="197"/>
      <c r="K37" s="197"/>
      <c r="L37" s="201"/>
      <c r="M37" s="197"/>
      <c r="N37" s="197"/>
      <c r="O37" s="197"/>
      <c r="P37" s="197"/>
      <c r="Q37" s="201"/>
      <c r="R37" s="22"/>
      <c r="S37" s="187">
        <v>106369</v>
      </c>
      <c r="T37" s="187">
        <v>24979</v>
      </c>
      <c r="U37" s="187">
        <v>131348</v>
      </c>
      <c r="V37" s="187"/>
      <c r="X37" s="183"/>
      <c r="Y37" s="184"/>
      <c r="Z37" s="184"/>
      <c r="AA37" s="184"/>
      <c r="AB37" s="185"/>
      <c r="AC37" s="184"/>
      <c r="AD37" s="184"/>
      <c r="AE37" s="184"/>
      <c r="AF37" s="185"/>
      <c r="AG37" s="184"/>
      <c r="AH37" s="184"/>
      <c r="AI37" s="184"/>
      <c r="AJ37" s="185"/>
      <c r="AK37" s="184"/>
      <c r="AL37" s="184"/>
      <c r="AM37" s="184"/>
      <c r="AN37" s="185"/>
      <c r="AO37" s="184"/>
      <c r="AP37" s="185"/>
      <c r="AQ37" s="184"/>
      <c r="AR37" s="185"/>
      <c r="AT37" s="45"/>
      <c r="AU37" s="19"/>
      <c r="AV37" s="46"/>
      <c r="AW37" s="19"/>
      <c r="AX37" s="46"/>
      <c r="AY37" s="19"/>
      <c r="AZ37" s="46"/>
      <c r="BB37" s="60"/>
      <c r="BC37" s="22"/>
      <c r="BD37" s="22"/>
      <c r="BE37" s="46"/>
      <c r="BF37" s="21"/>
      <c r="BG37" s="186"/>
      <c r="BI37" s="45"/>
      <c r="BJ37" s="19"/>
      <c r="BK37" s="46"/>
      <c r="BL37" s="21"/>
      <c r="BM37" s="21"/>
      <c r="BN37" s="21"/>
      <c r="BO37" s="46"/>
      <c r="BP37" s="21"/>
      <c r="BQ37" s="21"/>
      <c r="BR37" s="165"/>
      <c r="BS37" s="46"/>
      <c r="BT37" s="22"/>
      <c r="BU37" s="19"/>
      <c r="BV37" s="46"/>
      <c r="BX37" s="169"/>
      <c r="BY37" s="170"/>
    </row>
    <row r="38" spans="1:87" ht="16.2" customHeight="1" x14ac:dyDescent="0.3">
      <c r="A38" s="219">
        <f>A39-1</f>
        <v>1990</v>
      </c>
      <c r="B38" s="203"/>
      <c r="C38" s="196"/>
      <c r="D38" s="196"/>
      <c r="E38" s="196"/>
      <c r="F38" s="197"/>
      <c r="G38" s="201"/>
      <c r="H38" s="231"/>
      <c r="I38" s="197"/>
      <c r="J38" s="197"/>
      <c r="K38" s="197"/>
      <c r="L38" s="201"/>
      <c r="M38" s="197"/>
      <c r="N38" s="197"/>
      <c r="O38" s="197"/>
      <c r="P38" s="197"/>
      <c r="Q38" s="201"/>
      <c r="R38" s="22"/>
      <c r="S38" s="187">
        <v>47592</v>
      </c>
      <c r="T38" s="187">
        <v>9289</v>
      </c>
      <c r="U38" s="187">
        <v>56881</v>
      </c>
      <c r="V38" s="187"/>
      <c r="X38" s="183"/>
      <c r="Y38" s="184"/>
      <c r="Z38" s="184"/>
      <c r="AA38" s="184"/>
      <c r="AB38" s="185"/>
      <c r="AC38" s="184"/>
      <c r="AD38" s="184"/>
      <c r="AE38" s="184"/>
      <c r="AF38" s="185"/>
      <c r="AG38" s="184"/>
      <c r="AH38" s="184"/>
      <c r="AI38" s="184"/>
      <c r="AJ38" s="185"/>
      <c r="AK38" s="184"/>
      <c r="AL38" s="184"/>
      <c r="AM38" s="184"/>
      <c r="AN38" s="185"/>
      <c r="AO38" s="184"/>
      <c r="AP38" s="185"/>
      <c r="AQ38" s="184"/>
      <c r="AR38" s="185"/>
      <c r="AT38" s="45"/>
      <c r="AU38" s="19"/>
      <c r="AV38" s="46"/>
      <c r="AW38" s="19"/>
      <c r="AX38" s="46"/>
      <c r="AY38" s="19"/>
      <c r="AZ38" s="46"/>
      <c r="BB38" s="60"/>
      <c r="BC38" s="22"/>
      <c r="BD38" s="22"/>
      <c r="BE38" s="46"/>
      <c r="BF38" s="21"/>
      <c r="BG38" s="186"/>
      <c r="BI38" s="45"/>
      <c r="BJ38" s="19"/>
      <c r="BK38" s="46"/>
      <c r="BL38" s="21"/>
      <c r="BM38" s="21"/>
      <c r="BN38" s="21"/>
      <c r="BO38" s="46"/>
      <c r="BP38" s="21"/>
      <c r="BQ38" s="21"/>
      <c r="BR38" s="165"/>
      <c r="BS38" s="46"/>
      <c r="BT38" s="22"/>
      <c r="BU38" s="19"/>
      <c r="BV38" s="46"/>
      <c r="BX38" s="169"/>
      <c r="BY38" s="170"/>
    </row>
    <row r="39" spans="1:87" ht="16.2" customHeight="1" x14ac:dyDescent="0.3">
      <c r="A39" s="202">
        <v>1991</v>
      </c>
      <c r="B39" s="203" t="s">
        <v>66</v>
      </c>
      <c r="C39" s="204">
        <v>69885</v>
      </c>
      <c r="D39" s="210"/>
      <c r="E39" s="224">
        <f t="shared" ref="E39:E64" si="3">C39+D39</f>
        <v>69885</v>
      </c>
      <c r="F39" s="206">
        <v>14135</v>
      </c>
      <c r="G39" s="205">
        <f>E39+F39</f>
        <v>84020</v>
      </c>
      <c r="H39" s="233">
        <v>11883</v>
      </c>
      <c r="I39" s="210"/>
      <c r="J39" s="220">
        <f>H39+I39</f>
        <v>11883</v>
      </c>
      <c r="K39" s="206">
        <v>3182</v>
      </c>
      <c r="L39" s="234">
        <f t="shared" ref="L39:L64" si="4">K39+J39</f>
        <v>15065</v>
      </c>
      <c r="M39" s="206">
        <f>C39+H39</f>
        <v>81768</v>
      </c>
      <c r="N39" s="206">
        <f t="shared" ref="N39:N65" si="5">D39+I39</f>
        <v>0</v>
      </c>
      <c r="O39" s="206">
        <f t="shared" ref="O39:O65" si="6">E39+J39</f>
        <v>81768</v>
      </c>
      <c r="P39" s="206">
        <f t="shared" ref="P39:P65" si="7">F39+K39</f>
        <v>17317</v>
      </c>
      <c r="Q39" s="206">
        <f t="shared" ref="Q39:Q65" si="8">G39+L39</f>
        <v>99085</v>
      </c>
      <c r="R39" s="26"/>
      <c r="S39" s="187">
        <v>81768</v>
      </c>
      <c r="T39" s="187">
        <v>17317</v>
      </c>
      <c r="U39" s="187">
        <v>99085</v>
      </c>
      <c r="V39" s="187"/>
      <c r="X39" s="37">
        <v>1999</v>
      </c>
      <c r="Y39" s="14">
        <v>125</v>
      </c>
      <c r="Z39" s="14">
        <v>52</v>
      </c>
      <c r="AA39" s="14">
        <v>35</v>
      </c>
      <c r="AB39" s="38">
        <v>9</v>
      </c>
      <c r="AC39" s="13">
        <v>3577</v>
      </c>
      <c r="AD39" s="14">
        <v>469</v>
      </c>
      <c r="AE39" s="14">
        <v>123</v>
      </c>
      <c r="AF39" s="38">
        <v>5</v>
      </c>
      <c r="AG39" s="13">
        <v>4522</v>
      </c>
      <c r="AH39" s="14">
        <v>929</v>
      </c>
      <c r="AI39" s="14">
        <v>113</v>
      </c>
      <c r="AJ39" s="38">
        <v>23</v>
      </c>
      <c r="AK39" s="13">
        <v>2712</v>
      </c>
      <c r="AL39" s="14">
        <v>681</v>
      </c>
      <c r="AM39" s="14">
        <v>96</v>
      </c>
      <c r="AN39" s="38">
        <v>12</v>
      </c>
      <c r="AO39" s="13">
        <v>10937</v>
      </c>
      <c r="AP39" s="39">
        <v>2132</v>
      </c>
      <c r="AQ39" s="14">
        <v>367</v>
      </c>
      <c r="AR39" s="38">
        <v>49</v>
      </c>
      <c r="AT39" s="45">
        <v>1999</v>
      </c>
      <c r="AU39" s="19">
        <v>367</v>
      </c>
      <c r="AV39" s="46">
        <v>49</v>
      </c>
      <c r="AW39" s="48">
        <v>6.0000000000000001E-3</v>
      </c>
      <c r="AX39" s="49">
        <v>1.2999999999999999E-2</v>
      </c>
      <c r="AY39" s="50">
        <v>0.02</v>
      </c>
      <c r="AZ39" s="51">
        <v>0.02</v>
      </c>
      <c r="BB39" s="60">
        <v>1999</v>
      </c>
      <c r="BC39" s="48">
        <v>5.3999999999999999E-2</v>
      </c>
      <c r="BD39" s="48">
        <v>0.126</v>
      </c>
      <c r="BE39" s="30" t="s">
        <v>31</v>
      </c>
      <c r="BF39" s="48">
        <v>0.15</v>
      </c>
      <c r="BG39" s="61" t="s">
        <v>31</v>
      </c>
      <c r="BI39" s="45">
        <v>1984</v>
      </c>
      <c r="BJ39" s="26">
        <v>2490</v>
      </c>
      <c r="BK39" s="25">
        <v>20780</v>
      </c>
      <c r="BL39" s="22" t="s">
        <v>124</v>
      </c>
      <c r="BM39" s="70" t="s">
        <v>124</v>
      </c>
      <c r="BN39" s="26">
        <v>52447</v>
      </c>
      <c r="BO39" s="71">
        <v>195751</v>
      </c>
      <c r="BP39" s="22" t="s">
        <v>124</v>
      </c>
      <c r="BQ39" s="22" t="s">
        <v>124</v>
      </c>
      <c r="BR39" s="26">
        <v>13768</v>
      </c>
      <c r="BS39" s="25">
        <v>98011</v>
      </c>
      <c r="BT39" s="26">
        <v>245837</v>
      </c>
      <c r="BU39" s="26">
        <v>68705</v>
      </c>
      <c r="BV39" s="71">
        <v>314542</v>
      </c>
      <c r="BX39" s="169">
        <v>1955</v>
      </c>
      <c r="BY39" s="170">
        <v>26261</v>
      </c>
    </row>
    <row r="40" spans="1:87" ht="15.6" x14ac:dyDescent="0.3">
      <c r="A40" s="219">
        <f>A39+1</f>
        <v>1992</v>
      </c>
      <c r="B40" s="203" t="s">
        <v>67</v>
      </c>
      <c r="C40" s="204">
        <v>83420</v>
      </c>
      <c r="D40" s="210"/>
      <c r="E40" s="224">
        <f t="shared" si="3"/>
        <v>83420</v>
      </c>
      <c r="F40" s="206">
        <v>13617</v>
      </c>
      <c r="G40" s="205">
        <f t="shared" ref="G40:G65" si="9">E40+F40</f>
        <v>97037</v>
      </c>
      <c r="H40" s="233">
        <v>25566</v>
      </c>
      <c r="I40" s="210"/>
      <c r="J40" s="220">
        <f t="shared" ref="J40:J65" si="10">H40+I40</f>
        <v>25566</v>
      </c>
      <c r="K40" s="206">
        <v>5777</v>
      </c>
      <c r="L40" s="234">
        <f t="shared" si="4"/>
        <v>31343</v>
      </c>
      <c r="M40" s="206">
        <f t="shared" ref="M40:M65" si="11">C40+H40</f>
        <v>108986</v>
      </c>
      <c r="N40" s="206">
        <f t="shared" si="5"/>
        <v>0</v>
      </c>
      <c r="O40" s="206">
        <f t="shared" si="6"/>
        <v>108986</v>
      </c>
      <c r="P40" s="206">
        <f t="shared" si="7"/>
        <v>19394</v>
      </c>
      <c r="Q40" s="206">
        <f t="shared" si="8"/>
        <v>128380</v>
      </c>
      <c r="R40" s="26"/>
      <c r="S40" s="187">
        <v>108986</v>
      </c>
      <c r="T40" s="187">
        <v>19394</v>
      </c>
      <c r="U40" s="187">
        <v>128380</v>
      </c>
      <c r="V40" s="187"/>
      <c r="X40" s="37">
        <v>2000</v>
      </c>
      <c r="Y40" s="14">
        <v>217</v>
      </c>
      <c r="Z40" s="14">
        <v>56</v>
      </c>
      <c r="AA40" s="14">
        <v>67</v>
      </c>
      <c r="AB40" s="38">
        <v>14</v>
      </c>
      <c r="AC40" s="13">
        <v>4401</v>
      </c>
      <c r="AD40" s="14">
        <v>649</v>
      </c>
      <c r="AE40" s="14">
        <v>165</v>
      </c>
      <c r="AF40" s="38">
        <v>31</v>
      </c>
      <c r="AG40" s="13">
        <v>5167</v>
      </c>
      <c r="AH40" s="13">
        <v>1925</v>
      </c>
      <c r="AI40" s="14">
        <v>150</v>
      </c>
      <c r="AJ40" s="38">
        <v>28</v>
      </c>
      <c r="AK40" s="13">
        <v>8701</v>
      </c>
      <c r="AL40" s="13">
        <v>1896</v>
      </c>
      <c r="AM40" s="14">
        <v>274</v>
      </c>
      <c r="AN40" s="38">
        <v>54</v>
      </c>
      <c r="AO40" s="13">
        <v>18486</v>
      </c>
      <c r="AP40" s="39">
        <v>4527</v>
      </c>
      <c r="AQ40" s="14">
        <v>656</v>
      </c>
      <c r="AR40" s="38">
        <v>127</v>
      </c>
      <c r="AT40" s="45">
        <v>2000</v>
      </c>
      <c r="AU40" s="19">
        <v>656</v>
      </c>
      <c r="AV40" s="46">
        <v>127</v>
      </c>
      <c r="AW40" s="48">
        <v>0.01</v>
      </c>
      <c r="AX40" s="49">
        <v>1.4999999999999999E-2</v>
      </c>
      <c r="AY40" s="50">
        <v>0.02</v>
      </c>
      <c r="AZ40" s="51">
        <v>0.02</v>
      </c>
      <c r="BB40" s="60">
        <v>2000</v>
      </c>
      <c r="BC40" s="48">
        <v>4.2999999999999997E-2</v>
      </c>
      <c r="BD40" s="48">
        <v>0.14299999999999999</v>
      </c>
      <c r="BE40" s="30" t="s">
        <v>31</v>
      </c>
      <c r="BF40" s="48">
        <v>0.15</v>
      </c>
      <c r="BG40" s="61" t="s">
        <v>31</v>
      </c>
      <c r="BI40" s="45">
        <v>1985</v>
      </c>
      <c r="BJ40" s="26">
        <v>3690</v>
      </c>
      <c r="BK40" s="25">
        <v>19990</v>
      </c>
      <c r="BL40" s="22" t="s">
        <v>124</v>
      </c>
      <c r="BM40" s="70" t="s">
        <v>124</v>
      </c>
      <c r="BN40" s="26">
        <v>51922</v>
      </c>
      <c r="BO40" s="71">
        <v>281504</v>
      </c>
      <c r="BP40" s="22" t="s">
        <v>124</v>
      </c>
      <c r="BQ40" s="22" t="s">
        <v>124</v>
      </c>
      <c r="BR40" s="26">
        <v>12986</v>
      </c>
      <c r="BS40" s="25">
        <v>40870</v>
      </c>
      <c r="BT40" s="26">
        <v>273766</v>
      </c>
      <c r="BU40" s="26">
        <v>68598</v>
      </c>
      <c r="BV40" s="71">
        <v>342364</v>
      </c>
      <c r="BX40" s="169">
        <v>1956</v>
      </c>
      <c r="BY40" s="170">
        <v>15771</v>
      </c>
      <c r="CA40">
        <v>1992</v>
      </c>
      <c r="CB40">
        <v>69</v>
      </c>
      <c r="CC40">
        <v>105</v>
      </c>
      <c r="CD40">
        <v>1352</v>
      </c>
      <c r="CE40">
        <v>2007</v>
      </c>
      <c r="CF40">
        <v>1172</v>
      </c>
      <c r="CG40">
        <v>1627</v>
      </c>
      <c r="CH40">
        <v>757</v>
      </c>
      <c r="CI40">
        <v>2886</v>
      </c>
    </row>
    <row r="41" spans="1:87" ht="15.6" x14ac:dyDescent="0.3">
      <c r="A41" s="219">
        <f t="shared" ref="A41:A64" si="12">A40+1</f>
        <v>1993</v>
      </c>
      <c r="B41" s="203" t="s">
        <v>68</v>
      </c>
      <c r="C41" s="204">
        <v>34657</v>
      </c>
      <c r="D41" s="210"/>
      <c r="E41" s="224">
        <f t="shared" si="3"/>
        <v>34657</v>
      </c>
      <c r="F41" s="206">
        <v>7332</v>
      </c>
      <c r="G41" s="205">
        <f t="shared" si="9"/>
        <v>41989</v>
      </c>
      <c r="H41" s="233">
        <v>15895</v>
      </c>
      <c r="I41" s="210"/>
      <c r="J41" s="220">
        <f t="shared" si="10"/>
        <v>15895</v>
      </c>
      <c r="K41" s="206">
        <v>1790</v>
      </c>
      <c r="L41" s="234">
        <f t="shared" si="4"/>
        <v>17685</v>
      </c>
      <c r="M41" s="206">
        <f t="shared" si="11"/>
        <v>50552</v>
      </c>
      <c r="N41" s="206">
        <f t="shared" si="5"/>
        <v>0</v>
      </c>
      <c r="O41" s="206">
        <f t="shared" si="6"/>
        <v>50552</v>
      </c>
      <c r="P41" s="206">
        <f t="shared" si="7"/>
        <v>9122</v>
      </c>
      <c r="Q41" s="206">
        <f t="shared" si="8"/>
        <v>59674</v>
      </c>
      <c r="R41" s="26"/>
      <c r="S41" s="187">
        <v>50552</v>
      </c>
      <c r="T41" s="187">
        <v>9122</v>
      </c>
      <c r="U41" s="187">
        <v>59674</v>
      </c>
      <c r="V41" s="187"/>
      <c r="X41" s="37">
        <v>2001</v>
      </c>
      <c r="Y41" s="14">
        <v>394</v>
      </c>
      <c r="Z41" s="14">
        <v>214</v>
      </c>
      <c r="AA41" s="14">
        <v>87</v>
      </c>
      <c r="AB41" s="38">
        <v>24</v>
      </c>
      <c r="AC41" s="13">
        <v>4419</v>
      </c>
      <c r="AD41" s="14">
        <v>615</v>
      </c>
      <c r="AE41" s="14">
        <v>192</v>
      </c>
      <c r="AF41" s="38">
        <v>22</v>
      </c>
      <c r="AG41" s="13">
        <v>11462</v>
      </c>
      <c r="AH41" s="13">
        <v>2529</v>
      </c>
      <c r="AI41" s="14">
        <v>193</v>
      </c>
      <c r="AJ41" s="38">
        <v>35</v>
      </c>
      <c r="AK41" s="13">
        <v>16006</v>
      </c>
      <c r="AL41" s="13">
        <v>3966</v>
      </c>
      <c r="AM41" s="14">
        <v>385</v>
      </c>
      <c r="AN41" s="38">
        <v>59</v>
      </c>
      <c r="AO41" s="13">
        <v>32281</v>
      </c>
      <c r="AP41" s="39">
        <v>7324</v>
      </c>
      <c r="AQ41" s="14">
        <v>857</v>
      </c>
      <c r="AR41" s="38">
        <v>139</v>
      </c>
      <c r="AT41" s="45">
        <v>2001</v>
      </c>
      <c r="AU41" s="19">
        <v>857</v>
      </c>
      <c r="AV41" s="46">
        <v>139</v>
      </c>
      <c r="AW41" s="48">
        <v>6.0000000000000001E-3</v>
      </c>
      <c r="AX41" s="49">
        <v>1.2E-2</v>
      </c>
      <c r="AY41" s="50">
        <v>0.02</v>
      </c>
      <c r="AZ41" s="51">
        <v>0.02</v>
      </c>
      <c r="BB41" s="60">
        <v>2001</v>
      </c>
      <c r="BC41" s="48">
        <v>0.04</v>
      </c>
      <c r="BD41" s="48">
        <v>0.115</v>
      </c>
      <c r="BE41" s="30" t="s">
        <v>31</v>
      </c>
      <c r="BF41" s="48">
        <v>0.15</v>
      </c>
      <c r="BG41" s="61" t="s">
        <v>31</v>
      </c>
      <c r="BI41" s="45">
        <v>1986</v>
      </c>
      <c r="BJ41" s="26">
        <v>5520</v>
      </c>
      <c r="BK41" s="25">
        <v>24830</v>
      </c>
      <c r="BL41" s="22" t="s">
        <v>124</v>
      </c>
      <c r="BM41" s="70" t="s">
        <v>124</v>
      </c>
      <c r="BN41" s="26">
        <v>56570</v>
      </c>
      <c r="BO41" s="71">
        <v>287508</v>
      </c>
      <c r="BP41" s="22" t="s">
        <v>124</v>
      </c>
      <c r="BQ41" s="22" t="s">
        <v>124</v>
      </c>
      <c r="BR41" s="26">
        <v>9984</v>
      </c>
      <c r="BS41" s="25">
        <v>64016</v>
      </c>
      <c r="BT41" s="26">
        <v>304280</v>
      </c>
      <c r="BU41" s="26">
        <v>72074</v>
      </c>
      <c r="BV41" s="71">
        <v>376353</v>
      </c>
      <c r="BX41" s="169">
        <v>1957</v>
      </c>
      <c r="BY41" s="170">
        <v>39545</v>
      </c>
      <c r="CA41">
        <f>CA40+1</f>
        <v>1993</v>
      </c>
      <c r="CB41">
        <v>715</v>
      </c>
      <c r="CC41">
        <v>267</v>
      </c>
      <c r="CD41">
        <v>1514</v>
      </c>
      <c r="CE41">
        <v>934</v>
      </c>
      <c r="CF41">
        <v>3228</v>
      </c>
      <c r="CG41">
        <v>1822</v>
      </c>
      <c r="CH41">
        <v>848</v>
      </c>
      <c r="CI41">
        <v>3232</v>
      </c>
    </row>
    <row r="42" spans="1:87" ht="15.6" x14ac:dyDescent="0.3">
      <c r="A42" s="219">
        <f t="shared" si="12"/>
        <v>1994</v>
      </c>
      <c r="B42" s="203" t="s">
        <v>69</v>
      </c>
      <c r="C42" s="204">
        <v>31956</v>
      </c>
      <c r="D42" s="210"/>
      <c r="E42" s="224">
        <f t="shared" si="3"/>
        <v>31956</v>
      </c>
      <c r="F42" s="206">
        <v>5873</v>
      </c>
      <c r="G42" s="205">
        <f t="shared" si="9"/>
        <v>37829</v>
      </c>
      <c r="H42" s="233">
        <v>7178</v>
      </c>
      <c r="I42" s="210"/>
      <c r="J42" s="220">
        <f t="shared" si="10"/>
        <v>7178</v>
      </c>
      <c r="K42" s="206">
        <v>2231</v>
      </c>
      <c r="L42" s="234">
        <f t="shared" si="4"/>
        <v>9409</v>
      </c>
      <c r="M42" s="206">
        <f t="shared" si="11"/>
        <v>39134</v>
      </c>
      <c r="N42" s="206">
        <f t="shared" si="5"/>
        <v>0</v>
      </c>
      <c r="O42" s="206">
        <f t="shared" si="6"/>
        <v>39134</v>
      </c>
      <c r="P42" s="206">
        <f t="shared" si="7"/>
        <v>8104</v>
      </c>
      <c r="Q42" s="206">
        <f t="shared" si="8"/>
        <v>47238</v>
      </c>
      <c r="R42" s="26"/>
      <c r="S42" s="187">
        <v>39134</v>
      </c>
      <c r="T42" s="187">
        <v>8104</v>
      </c>
      <c r="U42" s="187">
        <v>47238</v>
      </c>
      <c r="V42" s="187"/>
      <c r="X42" s="37">
        <v>2002</v>
      </c>
      <c r="Y42" s="14">
        <v>565</v>
      </c>
      <c r="Z42" s="14">
        <v>331</v>
      </c>
      <c r="AA42" s="14">
        <v>153</v>
      </c>
      <c r="AB42" s="38">
        <v>92</v>
      </c>
      <c r="AC42" s="13">
        <v>2971</v>
      </c>
      <c r="AD42" s="14">
        <v>550</v>
      </c>
      <c r="AE42" s="14">
        <v>139</v>
      </c>
      <c r="AF42" s="38">
        <v>54</v>
      </c>
      <c r="AG42" s="13">
        <v>8664</v>
      </c>
      <c r="AH42" s="13">
        <v>3993</v>
      </c>
      <c r="AI42" s="14">
        <v>111</v>
      </c>
      <c r="AJ42" s="38">
        <v>107</v>
      </c>
      <c r="AK42" s="13">
        <v>7938</v>
      </c>
      <c r="AL42" s="13">
        <v>4267</v>
      </c>
      <c r="AM42" s="14">
        <v>215</v>
      </c>
      <c r="AN42" s="38">
        <v>131</v>
      </c>
      <c r="AO42" s="13">
        <v>20137</v>
      </c>
      <c r="AP42" s="39">
        <v>9142</v>
      </c>
      <c r="AQ42" s="14">
        <v>618</v>
      </c>
      <c r="AR42" s="38">
        <v>385</v>
      </c>
      <c r="AT42" s="45">
        <v>2002</v>
      </c>
      <c r="AU42" s="19">
        <v>618</v>
      </c>
      <c r="AV42" s="46">
        <v>385</v>
      </c>
      <c r="AW42" s="48">
        <v>7.0000000000000001E-3</v>
      </c>
      <c r="AX42" s="49">
        <v>1.2E-2</v>
      </c>
      <c r="AY42" s="50">
        <v>0.02</v>
      </c>
      <c r="AZ42" s="51">
        <v>0.02</v>
      </c>
      <c r="BB42" s="60">
        <v>2002</v>
      </c>
      <c r="BC42" s="48">
        <v>2.7E-2</v>
      </c>
      <c r="BD42" s="48">
        <v>3.4000000000000002E-2</v>
      </c>
      <c r="BE42" s="30" t="s">
        <v>31</v>
      </c>
      <c r="BF42" s="48">
        <v>0.15</v>
      </c>
      <c r="BG42" s="61" t="s">
        <v>31</v>
      </c>
      <c r="BI42" s="45">
        <v>1987</v>
      </c>
      <c r="BJ42" s="26">
        <v>7380</v>
      </c>
      <c r="BK42" s="25">
        <v>17790</v>
      </c>
      <c r="BL42" s="22" t="s">
        <v>124</v>
      </c>
      <c r="BM42" s="70" t="s">
        <v>124</v>
      </c>
      <c r="BN42" s="26">
        <v>106690</v>
      </c>
      <c r="BO42" s="71">
        <v>238283</v>
      </c>
      <c r="BP42" s="22" t="s">
        <v>124</v>
      </c>
      <c r="BQ42" s="22" t="s">
        <v>124</v>
      </c>
      <c r="BR42" s="26">
        <v>13990</v>
      </c>
      <c r="BS42" s="25">
        <v>44959</v>
      </c>
      <c r="BT42" s="26">
        <v>172972</v>
      </c>
      <c r="BU42" s="26">
        <v>128060</v>
      </c>
      <c r="BV42" s="71">
        <v>301032</v>
      </c>
      <c r="BX42" s="169">
        <v>1958</v>
      </c>
      <c r="BY42" s="170">
        <v>58244</v>
      </c>
      <c r="CA42">
        <f t="shared" ref="CA42:CA62" si="13">CA41+1</f>
        <v>1994</v>
      </c>
      <c r="CB42">
        <v>227</v>
      </c>
      <c r="CC42">
        <v>70</v>
      </c>
      <c r="CD42">
        <v>712</v>
      </c>
      <c r="CE42">
        <v>1391</v>
      </c>
      <c r="CF42">
        <v>1820</v>
      </c>
      <c r="CG42">
        <v>857</v>
      </c>
      <c r="CH42">
        <v>399</v>
      </c>
      <c r="CI42">
        <v>1520</v>
      </c>
    </row>
    <row r="43" spans="1:87" ht="15.6" x14ac:dyDescent="0.3">
      <c r="A43" s="219">
        <f t="shared" si="12"/>
        <v>1995</v>
      </c>
      <c r="B43" s="203" t="s">
        <v>70</v>
      </c>
      <c r="C43" s="204">
        <v>62773</v>
      </c>
      <c r="D43" s="210"/>
      <c r="E43" s="224">
        <f t="shared" si="3"/>
        <v>62773</v>
      </c>
      <c r="F43" s="206">
        <v>6721</v>
      </c>
      <c r="G43" s="205">
        <f t="shared" si="9"/>
        <v>69494</v>
      </c>
      <c r="H43" s="233">
        <v>8317</v>
      </c>
      <c r="I43" s="210"/>
      <c r="J43" s="220">
        <f t="shared" si="10"/>
        <v>8317</v>
      </c>
      <c r="K43" s="206">
        <v>1334</v>
      </c>
      <c r="L43" s="234">
        <f t="shared" si="4"/>
        <v>9651</v>
      </c>
      <c r="M43" s="206">
        <f t="shared" si="11"/>
        <v>71090</v>
      </c>
      <c r="N43" s="206">
        <f t="shared" si="5"/>
        <v>0</v>
      </c>
      <c r="O43" s="206">
        <f t="shared" si="6"/>
        <v>71090</v>
      </c>
      <c r="P43" s="206">
        <f t="shared" si="7"/>
        <v>8055</v>
      </c>
      <c r="Q43" s="206">
        <f t="shared" si="8"/>
        <v>79145</v>
      </c>
      <c r="R43" s="26"/>
      <c r="S43" s="187">
        <v>71090</v>
      </c>
      <c r="T43" s="187">
        <v>8055</v>
      </c>
      <c r="U43" s="187">
        <v>79145</v>
      </c>
      <c r="V43" s="187"/>
      <c r="X43" s="37">
        <v>2003</v>
      </c>
      <c r="Y43" s="13">
        <v>1384</v>
      </c>
      <c r="Z43" s="14">
        <v>389</v>
      </c>
      <c r="AA43" s="14">
        <v>165</v>
      </c>
      <c r="AB43" s="38">
        <v>62</v>
      </c>
      <c r="AC43" s="13">
        <v>3943</v>
      </c>
      <c r="AD43" s="14">
        <v>228</v>
      </c>
      <c r="AE43" s="14">
        <v>182</v>
      </c>
      <c r="AF43" s="38">
        <v>19</v>
      </c>
      <c r="AG43" s="13">
        <v>4779</v>
      </c>
      <c r="AH43" s="14">
        <v>533</v>
      </c>
      <c r="AI43" s="14">
        <v>75</v>
      </c>
      <c r="AJ43" s="38">
        <v>15</v>
      </c>
      <c r="AK43" s="13">
        <v>11798</v>
      </c>
      <c r="AL43" s="13">
        <v>1520</v>
      </c>
      <c r="AM43" s="14">
        <v>236</v>
      </c>
      <c r="AN43" s="38">
        <v>34</v>
      </c>
      <c r="AO43" s="13">
        <v>21904</v>
      </c>
      <c r="AP43" s="39">
        <v>2671</v>
      </c>
      <c r="AQ43" s="14">
        <v>658</v>
      </c>
      <c r="AR43" s="38">
        <v>130</v>
      </c>
      <c r="AT43" s="45">
        <v>2003</v>
      </c>
      <c r="AU43" s="19">
        <v>658</v>
      </c>
      <c r="AV43" s="46">
        <v>130</v>
      </c>
      <c r="AW43" s="48">
        <v>0.01</v>
      </c>
      <c r="AX43" s="49">
        <v>0.02</v>
      </c>
      <c r="AY43" s="50">
        <v>0.02</v>
      </c>
      <c r="AZ43" s="51">
        <v>0.02</v>
      </c>
      <c r="BB43" s="60">
        <v>2003</v>
      </c>
      <c r="BC43" s="48">
        <v>2.5000000000000001E-2</v>
      </c>
      <c r="BD43" s="48">
        <v>0.14899999999999999</v>
      </c>
      <c r="BE43" s="30" t="s">
        <v>31</v>
      </c>
      <c r="BF43" s="48">
        <v>0.15</v>
      </c>
      <c r="BG43" s="61" t="s">
        <v>31</v>
      </c>
      <c r="BI43" s="45">
        <v>1988</v>
      </c>
      <c r="BJ43" s="26">
        <v>4180</v>
      </c>
      <c r="BK43" s="25">
        <v>22360</v>
      </c>
      <c r="BL43" s="22" t="s">
        <v>124</v>
      </c>
      <c r="BM43" s="70" t="s">
        <v>124</v>
      </c>
      <c r="BN43" s="26">
        <v>64331</v>
      </c>
      <c r="BO43" s="71">
        <v>173151</v>
      </c>
      <c r="BP43" s="22" t="s">
        <v>124</v>
      </c>
      <c r="BQ43" s="22" t="s">
        <v>124</v>
      </c>
      <c r="BR43" s="26">
        <v>17742</v>
      </c>
      <c r="BS43" s="25">
        <v>81643</v>
      </c>
      <c r="BT43" s="26">
        <v>190901</v>
      </c>
      <c r="BU43" s="26">
        <v>86253</v>
      </c>
      <c r="BV43" s="71">
        <v>277154</v>
      </c>
      <c r="BX43" s="169">
        <v>1959</v>
      </c>
      <c r="BY43" s="170">
        <v>62000</v>
      </c>
      <c r="CA43">
        <f t="shared" si="13"/>
        <v>1995</v>
      </c>
      <c r="CB43">
        <v>390</v>
      </c>
      <c r="CC43">
        <v>70</v>
      </c>
      <c r="CD43">
        <v>633</v>
      </c>
      <c r="CE43">
        <v>1152</v>
      </c>
      <c r="CF43">
        <v>574</v>
      </c>
      <c r="CG43">
        <v>761</v>
      </c>
      <c r="CH43">
        <v>354</v>
      </c>
      <c r="CI43">
        <v>1350</v>
      </c>
    </row>
    <row r="44" spans="1:87" ht="15.6" x14ac:dyDescent="0.3">
      <c r="A44" s="219">
        <f t="shared" si="12"/>
        <v>1996</v>
      </c>
      <c r="B44" s="203" t="s">
        <v>71</v>
      </c>
      <c r="C44" s="204">
        <v>67075</v>
      </c>
      <c r="D44" s="210"/>
      <c r="E44" s="224">
        <f t="shared" si="3"/>
        <v>67075</v>
      </c>
      <c r="F44" s="206">
        <v>5980</v>
      </c>
      <c r="G44" s="205">
        <f t="shared" si="9"/>
        <v>73055</v>
      </c>
      <c r="H44" s="233">
        <v>12211</v>
      </c>
      <c r="I44" s="210"/>
      <c r="J44" s="220">
        <f t="shared" si="10"/>
        <v>12211</v>
      </c>
      <c r="K44" s="206">
        <v>1645</v>
      </c>
      <c r="L44" s="234">
        <f t="shared" si="4"/>
        <v>13856</v>
      </c>
      <c r="M44" s="206">
        <f t="shared" si="11"/>
        <v>79286</v>
      </c>
      <c r="N44" s="206">
        <f t="shared" si="5"/>
        <v>0</v>
      </c>
      <c r="O44" s="206">
        <f t="shared" si="6"/>
        <v>79286</v>
      </c>
      <c r="P44" s="206">
        <f t="shared" si="7"/>
        <v>7625</v>
      </c>
      <c r="Q44" s="206">
        <f t="shared" si="8"/>
        <v>86911</v>
      </c>
      <c r="R44" s="26"/>
      <c r="S44" s="187">
        <v>79286</v>
      </c>
      <c r="T44" s="187">
        <v>7625</v>
      </c>
      <c r="U44" s="187">
        <v>86911</v>
      </c>
      <c r="V44" s="187"/>
      <c r="X44" s="37">
        <v>2004</v>
      </c>
      <c r="Y44" s="14">
        <v>868</v>
      </c>
      <c r="Z44" s="14">
        <v>267</v>
      </c>
      <c r="AA44" s="14">
        <v>206</v>
      </c>
      <c r="AB44" s="38">
        <v>69</v>
      </c>
      <c r="AC44" s="13">
        <v>2387</v>
      </c>
      <c r="AD44" s="14">
        <v>92</v>
      </c>
      <c r="AE44" s="14">
        <v>95</v>
      </c>
      <c r="AF44" s="38">
        <v>6</v>
      </c>
      <c r="AG44" s="13">
        <v>2947</v>
      </c>
      <c r="AH44" s="14">
        <v>453</v>
      </c>
      <c r="AI44" s="14">
        <v>70</v>
      </c>
      <c r="AJ44" s="38">
        <v>18</v>
      </c>
      <c r="AK44" s="13">
        <v>8080</v>
      </c>
      <c r="AL44" s="14">
        <v>923</v>
      </c>
      <c r="AM44" s="14">
        <v>229</v>
      </c>
      <c r="AN44" s="38">
        <v>29</v>
      </c>
      <c r="AO44" s="13">
        <v>14281</v>
      </c>
      <c r="AP44" s="39">
        <v>1735</v>
      </c>
      <c r="AQ44" s="14">
        <v>600</v>
      </c>
      <c r="AR44" s="38">
        <v>122</v>
      </c>
      <c r="AT44" s="45">
        <v>2004</v>
      </c>
      <c r="AU44" s="19">
        <v>600</v>
      </c>
      <c r="AV44" s="46">
        <v>122</v>
      </c>
      <c r="AW44" s="48">
        <v>0.01</v>
      </c>
      <c r="AX44" s="49">
        <v>1.2999999999999999E-2</v>
      </c>
      <c r="AY44" s="50">
        <v>0.02</v>
      </c>
      <c r="AZ44" s="51">
        <v>0.02</v>
      </c>
      <c r="BB44" s="60">
        <v>2004</v>
      </c>
      <c r="BC44" s="48">
        <v>3.2000000000000001E-2</v>
      </c>
      <c r="BD44" s="48">
        <v>0.111</v>
      </c>
      <c r="BE44" s="30" t="s">
        <v>31</v>
      </c>
      <c r="BF44" s="48">
        <v>0.15</v>
      </c>
      <c r="BG44" s="61" t="s">
        <v>31</v>
      </c>
      <c r="BI44" s="45">
        <v>1989</v>
      </c>
      <c r="BJ44" s="26">
        <v>3770</v>
      </c>
      <c r="BK44" s="25">
        <v>15730</v>
      </c>
      <c r="BL44" s="22" t="s">
        <v>124</v>
      </c>
      <c r="BM44" s="70" t="s">
        <v>124</v>
      </c>
      <c r="BN44" s="26">
        <v>57513</v>
      </c>
      <c r="BO44" s="71">
        <v>193079</v>
      </c>
      <c r="BP44" s="22" t="s">
        <v>124</v>
      </c>
      <c r="BQ44" s="22" t="s">
        <v>124</v>
      </c>
      <c r="BR44" s="26">
        <v>12367</v>
      </c>
      <c r="BS44" s="25">
        <v>77604</v>
      </c>
      <c r="BT44" s="26">
        <v>212763</v>
      </c>
      <c r="BU44" s="26">
        <v>73650</v>
      </c>
      <c r="BV44" s="71">
        <v>286413</v>
      </c>
      <c r="BX44" s="169">
        <v>1960</v>
      </c>
      <c r="BY44" s="170">
        <v>59789</v>
      </c>
      <c r="CA44">
        <f t="shared" si="13"/>
        <v>1996</v>
      </c>
      <c r="CB44">
        <v>398</v>
      </c>
      <c r="CC44">
        <v>39</v>
      </c>
      <c r="CD44">
        <v>629</v>
      </c>
      <c r="CE44">
        <v>1312</v>
      </c>
      <c r="CF44">
        <v>1084</v>
      </c>
      <c r="CG44">
        <v>757</v>
      </c>
      <c r="CH44">
        <v>352</v>
      </c>
      <c r="CI44">
        <v>1342</v>
      </c>
    </row>
    <row r="45" spans="1:87" ht="15.6" x14ac:dyDescent="0.3">
      <c r="A45" s="219">
        <f t="shared" si="12"/>
        <v>1997</v>
      </c>
      <c r="B45" s="203" t="s">
        <v>72</v>
      </c>
      <c r="C45" s="204">
        <v>67019</v>
      </c>
      <c r="D45" s="210"/>
      <c r="E45" s="224">
        <f t="shared" si="3"/>
        <v>67019</v>
      </c>
      <c r="F45" s="206">
        <v>7424</v>
      </c>
      <c r="G45" s="205">
        <f t="shared" si="9"/>
        <v>74443</v>
      </c>
      <c r="H45" s="233">
        <v>10878</v>
      </c>
      <c r="I45" s="210"/>
      <c r="J45" s="220">
        <f t="shared" si="10"/>
        <v>10878</v>
      </c>
      <c r="K45" s="206">
        <v>1325</v>
      </c>
      <c r="L45" s="234">
        <f t="shared" si="4"/>
        <v>12203</v>
      </c>
      <c r="M45" s="206">
        <f t="shared" si="11"/>
        <v>77897</v>
      </c>
      <c r="N45" s="206">
        <f t="shared" si="5"/>
        <v>0</v>
      </c>
      <c r="O45" s="206">
        <f t="shared" si="6"/>
        <v>77897</v>
      </c>
      <c r="P45" s="206">
        <f t="shared" si="7"/>
        <v>8749</v>
      </c>
      <c r="Q45" s="206">
        <f t="shared" si="8"/>
        <v>86646</v>
      </c>
      <c r="R45" s="26"/>
      <c r="S45" s="187">
        <v>77897</v>
      </c>
      <c r="T45" s="187">
        <v>8749</v>
      </c>
      <c r="U45" s="187">
        <v>86646</v>
      </c>
      <c r="V45" s="187"/>
      <c r="X45" s="37">
        <v>2005</v>
      </c>
      <c r="Y45" s="14">
        <v>549</v>
      </c>
      <c r="Z45" s="14">
        <v>209</v>
      </c>
      <c r="AA45" s="14">
        <v>112</v>
      </c>
      <c r="AB45" s="38">
        <v>48</v>
      </c>
      <c r="AC45" s="13">
        <v>2462</v>
      </c>
      <c r="AD45" s="14">
        <v>179</v>
      </c>
      <c r="AE45" s="14">
        <v>102</v>
      </c>
      <c r="AF45" s="38">
        <v>16</v>
      </c>
      <c r="AG45" s="13">
        <v>5142</v>
      </c>
      <c r="AH45" s="13">
        <v>1554</v>
      </c>
      <c r="AI45" s="14">
        <v>88</v>
      </c>
      <c r="AJ45" s="38">
        <v>56</v>
      </c>
      <c r="AK45" s="13">
        <v>9188</v>
      </c>
      <c r="AL45" s="13">
        <v>1764</v>
      </c>
      <c r="AM45" s="14">
        <v>209</v>
      </c>
      <c r="AN45" s="38">
        <v>49</v>
      </c>
      <c r="AO45" s="13">
        <v>17341</v>
      </c>
      <c r="AP45" s="39">
        <v>3706</v>
      </c>
      <c r="AQ45" s="14">
        <v>511</v>
      </c>
      <c r="AR45" s="38">
        <v>168</v>
      </c>
      <c r="AT45" s="45">
        <v>2005</v>
      </c>
      <c r="AU45" s="19">
        <v>511</v>
      </c>
      <c r="AV45" s="46">
        <v>168</v>
      </c>
      <c r="AW45" s="48">
        <v>8.9999999999999993E-3</v>
      </c>
      <c r="AX45" s="49">
        <v>1.7999999999999999E-2</v>
      </c>
      <c r="AY45" s="50">
        <v>0.02</v>
      </c>
      <c r="AZ45" s="51">
        <v>0.02</v>
      </c>
      <c r="BB45" s="60">
        <v>2005</v>
      </c>
      <c r="BC45" s="48">
        <v>3.7999999999999999E-2</v>
      </c>
      <c r="BD45" s="48">
        <v>0.123</v>
      </c>
      <c r="BE45" s="30" t="s">
        <v>31</v>
      </c>
      <c r="BF45" s="48">
        <v>0.15</v>
      </c>
      <c r="BG45" s="61" t="s">
        <v>31</v>
      </c>
      <c r="BI45" s="45">
        <v>1990</v>
      </c>
      <c r="BJ45" s="26">
        <v>3690</v>
      </c>
      <c r="BK45" s="25">
        <v>18710</v>
      </c>
      <c r="BL45" s="22" t="s">
        <v>124</v>
      </c>
      <c r="BM45" s="70" t="s">
        <v>124</v>
      </c>
      <c r="BN45" s="26">
        <v>27102</v>
      </c>
      <c r="BO45" s="71">
        <v>115628</v>
      </c>
      <c r="BP45" s="22" t="s">
        <v>124</v>
      </c>
      <c r="BQ45" s="22" t="s">
        <v>124</v>
      </c>
      <c r="BR45" s="26">
        <v>8811</v>
      </c>
      <c r="BS45" s="25">
        <v>47174</v>
      </c>
      <c r="BT45" s="26">
        <v>141909</v>
      </c>
      <c r="BU45" s="26">
        <v>39603</v>
      </c>
      <c r="BV45" s="71">
        <v>181512</v>
      </c>
      <c r="BX45" s="169">
        <v>1961</v>
      </c>
      <c r="BY45" s="170">
        <v>50282</v>
      </c>
      <c r="CA45">
        <f t="shared" si="13"/>
        <v>1997</v>
      </c>
      <c r="CB45">
        <v>207</v>
      </c>
      <c r="CC45">
        <v>28</v>
      </c>
      <c r="CD45">
        <v>595</v>
      </c>
      <c r="CE45">
        <v>1947</v>
      </c>
      <c r="CF45">
        <v>1251</v>
      </c>
      <c r="CG45">
        <v>716</v>
      </c>
      <c r="CH45">
        <v>333</v>
      </c>
      <c r="CI45">
        <v>1271</v>
      </c>
    </row>
    <row r="46" spans="1:87" ht="15.6" x14ac:dyDescent="0.3">
      <c r="A46" s="219">
        <f t="shared" si="12"/>
        <v>1998</v>
      </c>
      <c r="B46" s="203" t="s">
        <v>73</v>
      </c>
      <c r="C46" s="204">
        <v>43832</v>
      </c>
      <c r="D46" s="210"/>
      <c r="E46" s="224">
        <f t="shared" si="3"/>
        <v>43832</v>
      </c>
      <c r="F46" s="206">
        <v>7074</v>
      </c>
      <c r="G46" s="205">
        <f t="shared" si="9"/>
        <v>50906</v>
      </c>
      <c r="H46" s="233">
        <v>17455</v>
      </c>
      <c r="I46" s="210"/>
      <c r="J46" s="220">
        <f t="shared" si="10"/>
        <v>17455</v>
      </c>
      <c r="K46" s="206">
        <v>2301</v>
      </c>
      <c r="L46" s="234">
        <f t="shared" si="4"/>
        <v>19756</v>
      </c>
      <c r="M46" s="206">
        <f t="shared" si="11"/>
        <v>61287</v>
      </c>
      <c r="N46" s="206">
        <f t="shared" si="5"/>
        <v>0</v>
      </c>
      <c r="O46" s="206">
        <f t="shared" si="6"/>
        <v>61287</v>
      </c>
      <c r="P46" s="206">
        <f t="shared" si="7"/>
        <v>9375</v>
      </c>
      <c r="Q46" s="206">
        <f t="shared" si="8"/>
        <v>70662</v>
      </c>
      <c r="R46" s="26"/>
      <c r="S46" s="187">
        <v>61287</v>
      </c>
      <c r="T46" s="187">
        <v>9375</v>
      </c>
      <c r="U46" s="187">
        <v>70662</v>
      </c>
      <c r="V46" s="187"/>
      <c r="X46" s="37">
        <v>2006</v>
      </c>
      <c r="Y46" s="14">
        <v>423</v>
      </c>
      <c r="Z46" s="14">
        <v>241</v>
      </c>
      <c r="AA46" s="14">
        <v>120</v>
      </c>
      <c r="AB46" s="38">
        <v>26</v>
      </c>
      <c r="AC46" s="13">
        <v>3610</v>
      </c>
      <c r="AD46" s="14">
        <v>638</v>
      </c>
      <c r="AE46" s="14">
        <v>157</v>
      </c>
      <c r="AF46" s="38">
        <v>15</v>
      </c>
      <c r="AG46" s="13">
        <v>5367</v>
      </c>
      <c r="AH46" s="13">
        <v>2326</v>
      </c>
      <c r="AI46" s="14">
        <v>127</v>
      </c>
      <c r="AJ46" s="38">
        <v>51</v>
      </c>
      <c r="AK46" s="13">
        <v>8925</v>
      </c>
      <c r="AL46" s="13">
        <v>3613</v>
      </c>
      <c r="AM46" s="14">
        <v>301</v>
      </c>
      <c r="AN46" s="38">
        <v>44</v>
      </c>
      <c r="AO46" s="13">
        <v>18325</v>
      </c>
      <c r="AP46" s="39">
        <v>6819</v>
      </c>
      <c r="AQ46" s="14">
        <v>704</v>
      </c>
      <c r="AR46" s="38">
        <v>137</v>
      </c>
      <c r="AT46" s="45">
        <v>2006</v>
      </c>
      <c r="AU46" s="19">
        <v>704</v>
      </c>
      <c r="AV46" s="46">
        <v>137</v>
      </c>
      <c r="AW46" s="48">
        <v>1.0999999999999999E-2</v>
      </c>
      <c r="AX46" s="49">
        <v>1.6E-2</v>
      </c>
      <c r="AY46" s="50">
        <v>0.02</v>
      </c>
      <c r="AZ46" s="51">
        <v>0.02</v>
      </c>
      <c r="BB46" s="60">
        <v>2006</v>
      </c>
      <c r="BC46" s="48">
        <v>5.1999999999999998E-2</v>
      </c>
      <c r="BD46" s="48">
        <v>0.16</v>
      </c>
      <c r="BE46" s="30" t="s">
        <v>31</v>
      </c>
      <c r="BF46" s="48">
        <v>0.15</v>
      </c>
      <c r="BG46" s="61" t="s">
        <v>31</v>
      </c>
      <c r="BI46" s="45">
        <v>1991</v>
      </c>
      <c r="BJ46" s="26">
        <v>1220</v>
      </c>
      <c r="BK46" s="25">
        <v>10880</v>
      </c>
      <c r="BL46" s="22" t="s">
        <v>124</v>
      </c>
      <c r="BM46" s="70" t="s">
        <v>124</v>
      </c>
      <c r="BN46" s="26">
        <v>60264</v>
      </c>
      <c r="BO46" s="71">
        <v>234048</v>
      </c>
      <c r="BP46" s="22" t="s">
        <v>124</v>
      </c>
      <c r="BQ46" s="22" t="s">
        <v>124</v>
      </c>
      <c r="BR46" s="26">
        <v>6207</v>
      </c>
      <c r="BS46" s="25">
        <v>28265</v>
      </c>
      <c r="BT46" s="26">
        <v>205502</v>
      </c>
      <c r="BU46" s="26">
        <v>67692</v>
      </c>
      <c r="BV46" s="71">
        <v>273193</v>
      </c>
      <c r="BX46" s="169">
        <v>1962</v>
      </c>
      <c r="BY46" s="170">
        <v>39032</v>
      </c>
      <c r="CA46">
        <f t="shared" si="13"/>
        <v>1998</v>
      </c>
      <c r="CB46">
        <v>270</v>
      </c>
      <c r="CC46">
        <v>80</v>
      </c>
      <c r="CD46">
        <v>683</v>
      </c>
      <c r="CE46">
        <v>2368</v>
      </c>
      <c r="CF46">
        <v>3171</v>
      </c>
      <c r="CG46">
        <v>822</v>
      </c>
      <c r="CH46">
        <v>383</v>
      </c>
      <c r="CI46">
        <v>1458</v>
      </c>
    </row>
    <row r="47" spans="1:87" ht="15.6" x14ac:dyDescent="0.3">
      <c r="A47" s="219">
        <f t="shared" si="12"/>
        <v>1999</v>
      </c>
      <c r="B47" s="203" t="s">
        <v>74</v>
      </c>
      <c r="C47" s="204">
        <v>54119</v>
      </c>
      <c r="D47" s="210"/>
      <c r="E47" s="224">
        <f t="shared" si="3"/>
        <v>54119</v>
      </c>
      <c r="F47" s="206">
        <v>10184</v>
      </c>
      <c r="G47" s="205">
        <f t="shared" si="9"/>
        <v>64303</v>
      </c>
      <c r="H47" s="233">
        <v>8834</v>
      </c>
      <c r="I47" s="210"/>
      <c r="J47" s="220">
        <f t="shared" si="10"/>
        <v>8834</v>
      </c>
      <c r="K47" s="197">
        <v>914</v>
      </c>
      <c r="L47" s="234">
        <f t="shared" si="4"/>
        <v>9748</v>
      </c>
      <c r="M47" s="206">
        <f t="shared" si="11"/>
        <v>62953</v>
      </c>
      <c r="N47" s="206">
        <f t="shared" si="5"/>
        <v>0</v>
      </c>
      <c r="O47" s="206">
        <f t="shared" si="6"/>
        <v>62953</v>
      </c>
      <c r="P47" s="206">
        <f t="shared" si="7"/>
        <v>11098</v>
      </c>
      <c r="Q47" s="206">
        <f t="shared" si="8"/>
        <v>74051</v>
      </c>
      <c r="R47" s="26"/>
      <c r="S47" s="187">
        <v>62953</v>
      </c>
      <c r="T47" s="187">
        <v>11098</v>
      </c>
      <c r="U47" s="187">
        <v>74051</v>
      </c>
      <c r="V47" s="187"/>
      <c r="X47" s="37">
        <v>2007</v>
      </c>
      <c r="Y47" s="14">
        <v>182</v>
      </c>
      <c r="Z47" s="14">
        <v>145</v>
      </c>
      <c r="AA47" s="14">
        <v>54</v>
      </c>
      <c r="AB47" s="38">
        <v>24</v>
      </c>
      <c r="AC47" s="13">
        <v>4293</v>
      </c>
      <c r="AD47" s="14">
        <v>453</v>
      </c>
      <c r="AE47" s="14">
        <v>158</v>
      </c>
      <c r="AF47" s="38">
        <v>12</v>
      </c>
      <c r="AG47" s="13">
        <v>8250</v>
      </c>
      <c r="AH47" s="13">
        <v>4661</v>
      </c>
      <c r="AI47" s="14">
        <v>201</v>
      </c>
      <c r="AJ47" s="38">
        <v>182</v>
      </c>
      <c r="AK47" s="13">
        <v>11221</v>
      </c>
      <c r="AL47" s="13">
        <v>3950</v>
      </c>
      <c r="AM47" s="14">
        <v>454</v>
      </c>
      <c r="AN47" s="38">
        <v>77</v>
      </c>
      <c r="AO47" s="13">
        <v>23946</v>
      </c>
      <c r="AP47" s="39">
        <v>9209</v>
      </c>
      <c r="AQ47" s="14">
        <v>867</v>
      </c>
      <c r="AR47" s="38">
        <v>294</v>
      </c>
      <c r="AT47" s="45">
        <v>2007</v>
      </c>
      <c r="AU47" s="19">
        <v>867</v>
      </c>
      <c r="AV47" s="46">
        <v>294</v>
      </c>
      <c r="AW47" s="48">
        <v>1.0999999999999999E-2</v>
      </c>
      <c r="AX47" s="49">
        <v>3.3000000000000002E-2</v>
      </c>
      <c r="AY47" s="50">
        <v>0.02</v>
      </c>
      <c r="AZ47" s="51">
        <v>0.02</v>
      </c>
      <c r="BB47" s="60">
        <v>2007</v>
      </c>
      <c r="BC47" s="48">
        <v>3.5999999999999997E-2</v>
      </c>
      <c r="BD47" s="68">
        <v>0.11600000000000001</v>
      </c>
      <c r="BE47" s="30" t="s">
        <v>31</v>
      </c>
      <c r="BF47" s="48">
        <v>0.15</v>
      </c>
      <c r="BG47" s="61" t="s">
        <v>31</v>
      </c>
      <c r="BI47" s="45">
        <v>1992</v>
      </c>
      <c r="BJ47" s="26">
        <v>2940</v>
      </c>
      <c r="BK47" s="25">
        <v>14910</v>
      </c>
      <c r="BL47" s="22" t="s">
        <v>124</v>
      </c>
      <c r="BM47" s="70" t="s">
        <v>124</v>
      </c>
      <c r="BN47" s="26">
        <v>44294</v>
      </c>
      <c r="BO47" s="71">
        <v>241524</v>
      </c>
      <c r="BP47" s="22" t="s">
        <v>124</v>
      </c>
      <c r="BQ47" s="22" t="s">
        <v>124</v>
      </c>
      <c r="BR47" s="26">
        <v>12715</v>
      </c>
      <c r="BS47" s="25">
        <v>57438</v>
      </c>
      <c r="BT47" s="26">
        <v>253923</v>
      </c>
      <c r="BU47" s="26">
        <v>59948</v>
      </c>
      <c r="BV47" s="71">
        <v>313872</v>
      </c>
      <c r="BX47" s="169">
        <v>1963</v>
      </c>
      <c r="BY47" s="170">
        <v>54177</v>
      </c>
      <c r="CA47">
        <f t="shared" si="13"/>
        <v>1999</v>
      </c>
      <c r="CB47">
        <v>465</v>
      </c>
      <c r="CC47">
        <v>77</v>
      </c>
      <c r="CD47">
        <v>732</v>
      </c>
      <c r="CE47">
        <v>892</v>
      </c>
      <c r="CF47">
        <v>2133</v>
      </c>
      <c r="CG47">
        <v>881</v>
      </c>
      <c r="CH47">
        <v>410</v>
      </c>
      <c r="CI47">
        <v>1562</v>
      </c>
    </row>
    <row r="48" spans="1:87" x14ac:dyDescent="0.3">
      <c r="A48" s="219">
        <f t="shared" si="12"/>
        <v>2000</v>
      </c>
      <c r="B48" s="203" t="s">
        <v>75</v>
      </c>
      <c r="C48" s="204">
        <v>79589</v>
      </c>
      <c r="D48" s="210">
        <v>10</v>
      </c>
      <c r="E48" s="224">
        <f t="shared" si="3"/>
        <v>79599</v>
      </c>
      <c r="F48" s="206">
        <v>17689</v>
      </c>
      <c r="G48" s="205">
        <f t="shared" si="9"/>
        <v>97288</v>
      </c>
      <c r="H48" s="233">
        <v>17128</v>
      </c>
      <c r="I48" s="210"/>
      <c r="J48" s="220">
        <f t="shared" si="10"/>
        <v>17128</v>
      </c>
      <c r="K48" s="206">
        <v>2886</v>
      </c>
      <c r="L48" s="234">
        <f t="shared" si="4"/>
        <v>20014</v>
      </c>
      <c r="M48" s="206">
        <f t="shared" si="11"/>
        <v>96717</v>
      </c>
      <c r="N48" s="206">
        <f t="shared" si="5"/>
        <v>10</v>
      </c>
      <c r="O48" s="206">
        <f t="shared" si="6"/>
        <v>96727</v>
      </c>
      <c r="P48" s="206">
        <f t="shared" si="7"/>
        <v>20575</v>
      </c>
      <c r="Q48" s="206">
        <f t="shared" si="8"/>
        <v>117302</v>
      </c>
      <c r="R48" s="26"/>
      <c r="S48" s="187">
        <v>96727</v>
      </c>
      <c r="T48" s="187">
        <v>20575</v>
      </c>
      <c r="U48" s="187">
        <v>117302</v>
      </c>
      <c r="V48" s="187"/>
      <c r="X48" s="37">
        <v>2008</v>
      </c>
      <c r="Y48" s="14">
        <v>386</v>
      </c>
      <c r="Z48" s="14">
        <v>270</v>
      </c>
      <c r="AA48" s="14">
        <v>141</v>
      </c>
      <c r="AB48" s="38">
        <v>63</v>
      </c>
      <c r="AC48" s="13">
        <v>2026</v>
      </c>
      <c r="AD48" s="14">
        <v>562</v>
      </c>
      <c r="AE48" s="14">
        <v>99</v>
      </c>
      <c r="AF48" s="38">
        <v>22</v>
      </c>
      <c r="AG48" s="13">
        <v>4169</v>
      </c>
      <c r="AH48" s="13">
        <v>2432</v>
      </c>
      <c r="AI48" s="14">
        <v>137</v>
      </c>
      <c r="AJ48" s="38">
        <v>87</v>
      </c>
      <c r="AK48" s="13">
        <v>3864</v>
      </c>
      <c r="AL48" s="13">
        <v>2430</v>
      </c>
      <c r="AM48" s="14">
        <v>141</v>
      </c>
      <c r="AN48" s="38">
        <v>58</v>
      </c>
      <c r="AO48" s="13">
        <v>10445</v>
      </c>
      <c r="AP48" s="39">
        <v>5695</v>
      </c>
      <c r="AQ48" s="14">
        <v>519</v>
      </c>
      <c r="AR48" s="38">
        <v>229</v>
      </c>
      <c r="AT48" s="45">
        <v>2008</v>
      </c>
      <c r="AU48" s="19">
        <v>519</v>
      </c>
      <c r="AV48" s="46">
        <v>229</v>
      </c>
      <c r="AW48" s="48">
        <v>6.0000000000000001E-3</v>
      </c>
      <c r="AX48" s="49">
        <v>1.2E-2</v>
      </c>
      <c r="AY48" s="50">
        <v>0.02</v>
      </c>
      <c r="AZ48" s="51">
        <v>0.02</v>
      </c>
      <c r="BB48" s="60">
        <v>2008</v>
      </c>
      <c r="BC48" s="48">
        <v>4.4999999999999998E-2</v>
      </c>
      <c r="BD48" s="48">
        <v>0.14399999999999999</v>
      </c>
      <c r="BE48" s="49">
        <v>0.152</v>
      </c>
      <c r="BF48" s="21" t="s">
        <v>118</v>
      </c>
      <c r="BG48" s="62">
        <v>0.15</v>
      </c>
      <c r="BI48" s="45">
        <v>1993</v>
      </c>
      <c r="BJ48" s="26">
        <v>1250</v>
      </c>
      <c r="BK48" s="25">
        <v>14360</v>
      </c>
      <c r="BL48" s="22" t="s">
        <v>124</v>
      </c>
      <c r="BM48" s="70" t="s">
        <v>124</v>
      </c>
      <c r="BN48" s="26">
        <v>28650</v>
      </c>
      <c r="BO48" s="71">
        <v>136701</v>
      </c>
      <c r="BP48" s="22" t="s">
        <v>124</v>
      </c>
      <c r="BQ48" s="22" t="s">
        <v>124</v>
      </c>
      <c r="BR48" s="26">
        <v>4378</v>
      </c>
      <c r="BS48" s="25">
        <v>36169</v>
      </c>
      <c r="BT48" s="26">
        <v>152952</v>
      </c>
      <c r="BU48" s="26">
        <v>34278</v>
      </c>
      <c r="BV48" s="71">
        <v>187230</v>
      </c>
      <c r="BX48" s="169">
        <v>1964</v>
      </c>
      <c r="BY48" s="170">
        <v>17296</v>
      </c>
      <c r="CA48">
        <f t="shared" si="13"/>
        <v>2000</v>
      </c>
      <c r="CB48">
        <v>383</v>
      </c>
      <c r="CC48">
        <v>33</v>
      </c>
      <c r="CD48">
        <v>867</v>
      </c>
      <c r="CE48">
        <v>827</v>
      </c>
      <c r="CF48">
        <v>2020</v>
      </c>
      <c r="CG48">
        <v>1042</v>
      </c>
      <c r="CH48">
        <v>485</v>
      </c>
      <c r="CI48">
        <v>1849</v>
      </c>
    </row>
    <row r="49" spans="1:87" x14ac:dyDescent="0.3">
      <c r="A49" s="219">
        <f t="shared" si="12"/>
        <v>2001</v>
      </c>
      <c r="B49" s="203" t="s">
        <v>76</v>
      </c>
      <c r="C49" s="204">
        <v>191091</v>
      </c>
      <c r="D49" s="210">
        <v>5959</v>
      </c>
      <c r="E49" s="224">
        <f t="shared" si="3"/>
        <v>197050</v>
      </c>
      <c r="F49" s="206">
        <v>37545</v>
      </c>
      <c r="G49" s="205">
        <f t="shared" si="9"/>
        <v>234595</v>
      </c>
      <c r="H49" s="233">
        <v>30677</v>
      </c>
      <c r="I49" s="210"/>
      <c r="J49" s="220">
        <f t="shared" si="10"/>
        <v>30677</v>
      </c>
      <c r="K49" s="206">
        <v>3174</v>
      </c>
      <c r="L49" s="234">
        <f t="shared" si="4"/>
        <v>33851</v>
      </c>
      <c r="M49" s="206">
        <f t="shared" si="11"/>
        <v>221768</v>
      </c>
      <c r="N49" s="206">
        <f t="shared" si="5"/>
        <v>5959</v>
      </c>
      <c r="O49" s="206">
        <f t="shared" si="6"/>
        <v>227727</v>
      </c>
      <c r="P49" s="206">
        <f t="shared" si="7"/>
        <v>40719</v>
      </c>
      <c r="Q49" s="206">
        <f t="shared" si="8"/>
        <v>268446</v>
      </c>
      <c r="R49" s="26"/>
      <c r="S49" s="187">
        <v>227747</v>
      </c>
      <c r="T49" s="187">
        <v>40719</v>
      </c>
      <c r="U49" s="187">
        <v>268466</v>
      </c>
      <c r="V49" s="187"/>
      <c r="X49" s="37">
        <v>2009</v>
      </c>
      <c r="Y49" s="14">
        <v>740</v>
      </c>
      <c r="Z49" s="14">
        <v>68</v>
      </c>
      <c r="AA49" s="14">
        <v>239</v>
      </c>
      <c r="AB49" s="38">
        <v>29</v>
      </c>
      <c r="AC49" s="13">
        <v>7049</v>
      </c>
      <c r="AD49" s="14">
        <v>276</v>
      </c>
      <c r="AE49" s="14">
        <v>412</v>
      </c>
      <c r="AF49" s="38">
        <v>26</v>
      </c>
      <c r="AG49" s="13">
        <v>8607</v>
      </c>
      <c r="AH49" s="13">
        <v>2936</v>
      </c>
      <c r="AI49" s="14">
        <v>286</v>
      </c>
      <c r="AJ49" s="38">
        <v>152</v>
      </c>
      <c r="AK49" s="13">
        <v>19653</v>
      </c>
      <c r="AL49" s="13">
        <v>3040</v>
      </c>
      <c r="AM49" s="14">
        <v>600</v>
      </c>
      <c r="AN49" s="38">
        <v>126</v>
      </c>
      <c r="AO49" s="13">
        <v>36050</v>
      </c>
      <c r="AP49" s="39">
        <v>6320</v>
      </c>
      <c r="AQ49" s="13">
        <v>1537</v>
      </c>
      <c r="AR49" s="38">
        <v>334</v>
      </c>
      <c r="AT49" s="45">
        <v>2009</v>
      </c>
      <c r="AU49" s="23">
        <v>1537</v>
      </c>
      <c r="AV49" s="46">
        <v>334</v>
      </c>
      <c r="AW49" s="48">
        <v>0.01</v>
      </c>
      <c r="AX49" s="49">
        <v>2.4E-2</v>
      </c>
      <c r="AY49" s="50">
        <v>0.02</v>
      </c>
      <c r="AZ49" s="51">
        <v>0.02</v>
      </c>
      <c r="BB49" s="60">
        <v>2009</v>
      </c>
      <c r="BC49" s="48">
        <v>5.1999999999999998E-2</v>
      </c>
      <c r="BD49" s="48">
        <v>0.154</v>
      </c>
      <c r="BE49" s="49">
        <v>0.16800000000000001</v>
      </c>
      <c r="BF49" s="21" t="s">
        <v>118</v>
      </c>
      <c r="BG49" s="62">
        <v>0.2</v>
      </c>
      <c r="BI49" s="45">
        <v>1994</v>
      </c>
      <c r="BJ49" s="26">
        <v>1380</v>
      </c>
      <c r="BK49" s="25">
        <v>12330</v>
      </c>
      <c r="BL49" s="22" t="s">
        <v>124</v>
      </c>
      <c r="BM49" s="70" t="s">
        <v>124</v>
      </c>
      <c r="BN49" s="26">
        <v>21212</v>
      </c>
      <c r="BO49" s="71">
        <v>120971</v>
      </c>
      <c r="BP49" s="22" t="s">
        <v>124</v>
      </c>
      <c r="BQ49" s="22" t="s">
        <v>124</v>
      </c>
      <c r="BR49" s="26">
        <v>5152</v>
      </c>
      <c r="BS49" s="25">
        <v>27463</v>
      </c>
      <c r="BT49" s="26">
        <v>133020</v>
      </c>
      <c r="BU49" s="26">
        <v>27744</v>
      </c>
      <c r="BV49" s="71">
        <v>160764</v>
      </c>
      <c r="BX49" s="169">
        <v>1965</v>
      </c>
      <c r="BY49" s="170">
        <v>17437</v>
      </c>
      <c r="CA49">
        <f t="shared" si="13"/>
        <v>2001</v>
      </c>
      <c r="CB49">
        <v>760</v>
      </c>
      <c r="CC49">
        <v>75</v>
      </c>
      <c r="CD49">
        <v>1607</v>
      </c>
      <c r="CE49">
        <v>1680</v>
      </c>
      <c r="CF49">
        <v>2596</v>
      </c>
      <c r="CG49">
        <v>1933</v>
      </c>
      <c r="CH49">
        <v>900</v>
      </c>
      <c r="CI49">
        <v>3428</v>
      </c>
    </row>
    <row r="50" spans="1:87" x14ac:dyDescent="0.3">
      <c r="A50" s="219">
        <f t="shared" si="12"/>
        <v>2002</v>
      </c>
      <c r="B50" s="203" t="s">
        <v>77</v>
      </c>
      <c r="C50" s="204">
        <v>110535</v>
      </c>
      <c r="D50" s="210">
        <v>11734</v>
      </c>
      <c r="E50" s="224">
        <f t="shared" si="3"/>
        <v>122269</v>
      </c>
      <c r="F50" s="206">
        <v>28308</v>
      </c>
      <c r="G50" s="205">
        <f t="shared" si="9"/>
        <v>150577</v>
      </c>
      <c r="H50" s="233">
        <v>51358</v>
      </c>
      <c r="I50" s="210">
        <v>6618</v>
      </c>
      <c r="J50" s="220">
        <f t="shared" si="10"/>
        <v>57976</v>
      </c>
      <c r="K50" s="206">
        <v>13623</v>
      </c>
      <c r="L50" s="234">
        <f t="shared" si="4"/>
        <v>71599</v>
      </c>
      <c r="M50" s="206">
        <f t="shared" si="11"/>
        <v>161893</v>
      </c>
      <c r="N50" s="206">
        <f t="shared" si="5"/>
        <v>18352</v>
      </c>
      <c r="O50" s="206">
        <f t="shared" si="6"/>
        <v>180245</v>
      </c>
      <c r="P50" s="206">
        <f t="shared" si="7"/>
        <v>41931</v>
      </c>
      <c r="Q50" s="206">
        <f t="shared" si="8"/>
        <v>222176</v>
      </c>
      <c r="R50" s="26"/>
      <c r="S50" s="187">
        <v>180245</v>
      </c>
      <c r="T50" s="187">
        <v>41931</v>
      </c>
      <c r="U50" s="187">
        <v>222176</v>
      </c>
      <c r="V50" s="187"/>
      <c r="X50" s="37">
        <v>2010</v>
      </c>
      <c r="Y50" s="14">
        <v>460</v>
      </c>
      <c r="Z50" s="14">
        <v>210</v>
      </c>
      <c r="AA50" s="14">
        <v>210</v>
      </c>
      <c r="AB50" s="38">
        <v>77</v>
      </c>
      <c r="AC50" s="13">
        <v>5090</v>
      </c>
      <c r="AD50" s="14">
        <v>954</v>
      </c>
      <c r="AE50" s="14">
        <v>276</v>
      </c>
      <c r="AF50" s="38">
        <v>64</v>
      </c>
      <c r="AG50" s="13">
        <v>4075</v>
      </c>
      <c r="AH50" s="13">
        <v>2355</v>
      </c>
      <c r="AI50" s="14">
        <v>135</v>
      </c>
      <c r="AJ50" s="38">
        <v>138</v>
      </c>
      <c r="AK50" s="13">
        <v>6907</v>
      </c>
      <c r="AL50" s="13">
        <v>2881</v>
      </c>
      <c r="AM50" s="14">
        <v>314</v>
      </c>
      <c r="AN50" s="38">
        <v>114</v>
      </c>
      <c r="AO50" s="13">
        <v>16532</v>
      </c>
      <c r="AP50" s="39">
        <v>6401</v>
      </c>
      <c r="AQ50" s="14">
        <v>935</v>
      </c>
      <c r="AR50" s="38">
        <v>392</v>
      </c>
      <c r="AT50" s="45">
        <v>2010</v>
      </c>
      <c r="AU50" s="19">
        <v>935</v>
      </c>
      <c r="AV50" s="46">
        <v>392</v>
      </c>
      <c r="AW50" s="48">
        <v>8.0000000000000002E-3</v>
      </c>
      <c r="AX50" s="49">
        <v>1.7999999999999999E-2</v>
      </c>
      <c r="AY50" s="50">
        <v>0.02</v>
      </c>
      <c r="AZ50" s="51">
        <v>0.02</v>
      </c>
      <c r="BB50" s="60">
        <v>2010</v>
      </c>
      <c r="BC50" s="48">
        <v>0.04</v>
      </c>
      <c r="BD50" s="48">
        <v>0.13400000000000001</v>
      </c>
      <c r="BE50" s="49">
        <v>0.157</v>
      </c>
      <c r="BF50" s="21" t="s">
        <v>118</v>
      </c>
      <c r="BG50" s="62">
        <v>0.2</v>
      </c>
      <c r="BI50" s="45">
        <v>1995</v>
      </c>
      <c r="BJ50" s="26">
        <v>1150</v>
      </c>
      <c r="BK50" s="25">
        <v>8220</v>
      </c>
      <c r="BL50" s="22" t="s">
        <v>124</v>
      </c>
      <c r="BM50" s="70" t="s">
        <v>124</v>
      </c>
      <c r="BN50" s="26">
        <v>25997</v>
      </c>
      <c r="BO50" s="71">
        <v>180037</v>
      </c>
      <c r="BP50" s="22" t="s">
        <v>124</v>
      </c>
      <c r="BQ50" s="22" t="s">
        <v>124</v>
      </c>
      <c r="BR50" s="26">
        <v>1847</v>
      </c>
      <c r="BS50" s="25">
        <v>13221</v>
      </c>
      <c r="BT50" s="26">
        <v>172484</v>
      </c>
      <c r="BU50" s="26">
        <v>28994</v>
      </c>
      <c r="BV50" s="71">
        <v>201478</v>
      </c>
      <c r="BX50" s="169">
        <v>1966</v>
      </c>
      <c r="BY50" s="170">
        <v>18967</v>
      </c>
      <c r="CA50">
        <f t="shared" si="13"/>
        <v>2002</v>
      </c>
      <c r="CB50">
        <v>666</v>
      </c>
      <c r="CC50">
        <v>242</v>
      </c>
      <c r="CD50">
        <v>3179</v>
      </c>
      <c r="CE50">
        <v>1454</v>
      </c>
      <c r="CF50">
        <v>4752</v>
      </c>
      <c r="CG50">
        <v>3825</v>
      </c>
      <c r="CH50">
        <v>1780</v>
      </c>
      <c r="CI50">
        <v>6785</v>
      </c>
    </row>
    <row r="51" spans="1:87" x14ac:dyDescent="0.3">
      <c r="A51" s="219">
        <f t="shared" si="12"/>
        <v>2003</v>
      </c>
      <c r="B51" s="203" t="s">
        <v>78</v>
      </c>
      <c r="C51" s="204">
        <v>106334</v>
      </c>
      <c r="D51" s="210">
        <v>11840</v>
      </c>
      <c r="E51" s="224">
        <f t="shared" si="3"/>
        <v>118174</v>
      </c>
      <c r="F51" s="206">
        <v>21892</v>
      </c>
      <c r="G51" s="205">
        <f t="shared" si="9"/>
        <v>140066</v>
      </c>
      <c r="H51" s="233">
        <v>23058</v>
      </c>
      <c r="I51" s="210">
        <v>2132</v>
      </c>
      <c r="J51" s="220">
        <f t="shared" si="10"/>
        <v>25190</v>
      </c>
      <c r="K51" s="206">
        <v>7254</v>
      </c>
      <c r="L51" s="234">
        <f t="shared" si="4"/>
        <v>32444</v>
      </c>
      <c r="M51" s="206">
        <f t="shared" si="11"/>
        <v>129392</v>
      </c>
      <c r="N51" s="206">
        <f t="shared" si="5"/>
        <v>13972</v>
      </c>
      <c r="O51" s="206">
        <f t="shared" si="6"/>
        <v>143364</v>
      </c>
      <c r="P51" s="206">
        <f t="shared" si="7"/>
        <v>29146</v>
      </c>
      <c r="Q51" s="206">
        <f t="shared" si="8"/>
        <v>172510</v>
      </c>
      <c r="R51" s="26"/>
      <c r="S51" s="187">
        <v>143364</v>
      </c>
      <c r="T51" s="187">
        <v>29146</v>
      </c>
      <c r="U51" s="187">
        <v>172510</v>
      </c>
      <c r="V51" s="187"/>
      <c r="X51" s="37">
        <v>2011</v>
      </c>
      <c r="Y51" s="14">
        <v>921</v>
      </c>
      <c r="Z51" s="14">
        <v>236</v>
      </c>
      <c r="AA51" s="14">
        <v>292</v>
      </c>
      <c r="AB51" s="38">
        <v>31</v>
      </c>
      <c r="AC51" s="13">
        <v>11191</v>
      </c>
      <c r="AD51" s="14">
        <v>862</v>
      </c>
      <c r="AE51" s="14">
        <v>731</v>
      </c>
      <c r="AF51" s="38">
        <v>42</v>
      </c>
      <c r="AG51" s="13">
        <v>7015</v>
      </c>
      <c r="AH51" s="13">
        <v>1377</v>
      </c>
      <c r="AI51" s="14">
        <v>286</v>
      </c>
      <c r="AJ51" s="38">
        <v>59</v>
      </c>
      <c r="AK51" s="13">
        <v>7178</v>
      </c>
      <c r="AL51" s="13">
        <v>1529</v>
      </c>
      <c r="AM51" s="14">
        <v>302</v>
      </c>
      <c r="AN51" s="38">
        <v>37</v>
      </c>
      <c r="AO51" s="13">
        <v>26305</v>
      </c>
      <c r="AP51" s="39">
        <v>4004</v>
      </c>
      <c r="AQ51" s="13">
        <v>1610</v>
      </c>
      <c r="AR51" s="38">
        <v>170</v>
      </c>
      <c r="AT51" s="45">
        <v>2011</v>
      </c>
      <c r="AU51" s="23">
        <v>1610</v>
      </c>
      <c r="AV51" s="46">
        <v>170</v>
      </c>
      <c r="AW51" s="48">
        <v>1.6E-2</v>
      </c>
      <c r="AX51" s="49">
        <v>2.1999999999999999E-2</v>
      </c>
      <c r="AY51" s="50">
        <v>0.02</v>
      </c>
      <c r="AZ51" s="51">
        <v>0.02</v>
      </c>
      <c r="BB51" s="60">
        <v>2011</v>
      </c>
      <c r="BC51" s="48">
        <v>7.1999999999999995E-2</v>
      </c>
      <c r="BD51" s="48">
        <v>0.31</v>
      </c>
      <c r="BE51" s="49">
        <v>0.21099999999999999</v>
      </c>
      <c r="BF51" s="21" t="s">
        <v>118</v>
      </c>
      <c r="BG51" s="62">
        <v>0.2</v>
      </c>
      <c r="BI51" s="45">
        <v>1996</v>
      </c>
      <c r="BJ51" s="26">
        <v>1310</v>
      </c>
      <c r="BK51" s="25">
        <v>10830</v>
      </c>
      <c r="BL51" s="22" t="s">
        <v>124</v>
      </c>
      <c r="BM51" s="70" t="s">
        <v>124</v>
      </c>
      <c r="BN51" s="26">
        <v>25721</v>
      </c>
      <c r="BO51" s="71">
        <v>174464</v>
      </c>
      <c r="BP51" s="22" t="s">
        <v>124</v>
      </c>
      <c r="BQ51" s="22" t="s">
        <v>124</v>
      </c>
      <c r="BR51" s="26">
        <v>3912</v>
      </c>
      <c r="BS51" s="25">
        <v>18693</v>
      </c>
      <c r="BT51" s="26">
        <v>173044</v>
      </c>
      <c r="BU51" s="26">
        <v>30943</v>
      </c>
      <c r="BV51" s="71">
        <v>203987</v>
      </c>
      <c r="BX51" s="169">
        <v>1967</v>
      </c>
      <c r="BY51" s="170">
        <v>24570</v>
      </c>
      <c r="CA51">
        <f t="shared" si="13"/>
        <v>2003</v>
      </c>
      <c r="CB51">
        <v>690</v>
      </c>
      <c r="CC51">
        <v>343</v>
      </c>
      <c r="CD51">
        <v>3274</v>
      </c>
      <c r="CE51">
        <v>1574</v>
      </c>
      <c r="CF51">
        <v>2381</v>
      </c>
      <c r="CG51">
        <v>3939</v>
      </c>
      <c r="CH51">
        <v>1833</v>
      </c>
      <c r="CI51">
        <v>6987</v>
      </c>
    </row>
    <row r="52" spans="1:87" x14ac:dyDescent="0.3">
      <c r="A52" s="219">
        <f t="shared" si="12"/>
        <v>2004</v>
      </c>
      <c r="B52" s="203" t="s">
        <v>79</v>
      </c>
      <c r="C52" s="204">
        <v>94225</v>
      </c>
      <c r="D52" s="210">
        <v>9166</v>
      </c>
      <c r="E52" s="224">
        <f t="shared" si="3"/>
        <v>103391</v>
      </c>
      <c r="F52" s="206">
        <v>18297</v>
      </c>
      <c r="G52" s="205">
        <f t="shared" si="9"/>
        <v>121688</v>
      </c>
      <c r="H52" s="233">
        <v>23179</v>
      </c>
      <c r="I52" s="210">
        <v>2005</v>
      </c>
      <c r="J52" s="220">
        <f t="shared" si="10"/>
        <v>25184</v>
      </c>
      <c r="K52" s="206">
        <v>4774</v>
      </c>
      <c r="L52" s="234">
        <f t="shared" si="4"/>
        <v>29958</v>
      </c>
      <c r="M52" s="206">
        <f t="shared" si="11"/>
        <v>117404</v>
      </c>
      <c r="N52" s="206">
        <f t="shared" si="5"/>
        <v>11171</v>
      </c>
      <c r="O52" s="206">
        <f t="shared" si="6"/>
        <v>128575</v>
      </c>
      <c r="P52" s="206">
        <f t="shared" si="7"/>
        <v>23071</v>
      </c>
      <c r="Q52" s="206">
        <f t="shared" si="8"/>
        <v>151646</v>
      </c>
      <c r="R52" s="26"/>
      <c r="S52" s="187">
        <v>128575</v>
      </c>
      <c r="T52" s="187">
        <v>23071</v>
      </c>
      <c r="U52" s="187">
        <v>151646</v>
      </c>
      <c r="V52" s="187"/>
      <c r="X52" s="37">
        <v>2012</v>
      </c>
      <c r="Y52" s="14">
        <v>418</v>
      </c>
      <c r="Z52" s="14">
        <v>65</v>
      </c>
      <c r="AA52" s="14">
        <v>142</v>
      </c>
      <c r="AB52" s="38">
        <v>20</v>
      </c>
      <c r="AC52" s="13">
        <v>5126</v>
      </c>
      <c r="AD52" s="14">
        <v>492</v>
      </c>
      <c r="AE52" s="14">
        <v>308</v>
      </c>
      <c r="AF52" s="38">
        <v>39</v>
      </c>
      <c r="AG52" s="13">
        <v>5774</v>
      </c>
      <c r="AH52" s="13">
        <v>2482</v>
      </c>
      <c r="AI52" s="14">
        <v>185</v>
      </c>
      <c r="AJ52" s="38">
        <v>88</v>
      </c>
      <c r="AK52" s="13">
        <v>4442</v>
      </c>
      <c r="AL52" s="13">
        <v>1060</v>
      </c>
      <c r="AM52" s="14">
        <v>139</v>
      </c>
      <c r="AN52" s="38">
        <v>24</v>
      </c>
      <c r="AO52" s="13">
        <v>15759</v>
      </c>
      <c r="AP52" s="39">
        <v>4100</v>
      </c>
      <c r="AQ52" s="14">
        <v>773</v>
      </c>
      <c r="AR52" s="38">
        <v>170</v>
      </c>
      <c r="AT52" s="45">
        <v>2012</v>
      </c>
      <c r="AU52" s="19">
        <v>773</v>
      </c>
      <c r="AV52" s="46">
        <v>170</v>
      </c>
      <c r="AW52" s="48">
        <v>1.4E-2</v>
      </c>
      <c r="AX52" s="49">
        <v>2.5000000000000001E-2</v>
      </c>
      <c r="AY52" s="50">
        <v>0.02</v>
      </c>
      <c r="AZ52" s="51">
        <v>0.02</v>
      </c>
      <c r="BB52" s="60">
        <v>2012</v>
      </c>
      <c r="BC52" s="48">
        <v>7.5999999999999998E-2</v>
      </c>
      <c r="BD52" s="48">
        <v>0.186</v>
      </c>
      <c r="BE52" s="49">
        <v>0.13500000000000001</v>
      </c>
      <c r="BF52" s="21" t="s">
        <v>118</v>
      </c>
      <c r="BG52" s="62">
        <v>0.15</v>
      </c>
      <c r="BI52" s="45">
        <v>1997</v>
      </c>
      <c r="BJ52" s="22">
        <v>930</v>
      </c>
      <c r="BK52" s="25">
        <v>11890</v>
      </c>
      <c r="BL52" s="22" t="s">
        <v>124</v>
      </c>
      <c r="BM52" s="70" t="s">
        <v>124</v>
      </c>
      <c r="BN52" s="26">
        <v>30852</v>
      </c>
      <c r="BO52" s="71">
        <v>208209</v>
      </c>
      <c r="BP52" s="22" t="s">
        <v>124</v>
      </c>
      <c r="BQ52" s="22" t="s">
        <v>124</v>
      </c>
      <c r="BR52" s="26">
        <v>3913</v>
      </c>
      <c r="BS52" s="25">
        <v>36663</v>
      </c>
      <c r="BT52" s="26">
        <v>221067</v>
      </c>
      <c r="BU52" s="26">
        <v>35695</v>
      </c>
      <c r="BV52" s="71">
        <v>256762</v>
      </c>
      <c r="BX52" s="169">
        <v>1968</v>
      </c>
      <c r="BY52" s="170">
        <v>24616</v>
      </c>
      <c r="CA52">
        <f t="shared" si="13"/>
        <v>2004</v>
      </c>
      <c r="CB52">
        <v>636</v>
      </c>
      <c r="CC52">
        <v>206</v>
      </c>
      <c r="CD52">
        <v>2276</v>
      </c>
      <c r="CE52">
        <v>673</v>
      </c>
      <c r="CF52">
        <v>1756</v>
      </c>
      <c r="CG52">
        <v>2738</v>
      </c>
      <c r="CH52">
        <v>1274</v>
      </c>
      <c r="CI52">
        <v>4857</v>
      </c>
    </row>
    <row r="53" spans="1:87" x14ac:dyDescent="0.3">
      <c r="A53" s="219">
        <f t="shared" si="12"/>
        <v>2005</v>
      </c>
      <c r="B53" s="203" t="s">
        <v>80</v>
      </c>
      <c r="C53" s="204">
        <v>96644</v>
      </c>
      <c r="D53" s="210">
        <v>13903</v>
      </c>
      <c r="E53" s="224">
        <f t="shared" si="3"/>
        <v>110547</v>
      </c>
      <c r="F53" s="206">
        <v>14586</v>
      </c>
      <c r="G53" s="205">
        <f t="shared" si="9"/>
        <v>125133</v>
      </c>
      <c r="H53" s="233">
        <v>26143</v>
      </c>
      <c r="I53" s="210">
        <v>3345</v>
      </c>
      <c r="J53" s="220">
        <f t="shared" si="10"/>
        <v>29488</v>
      </c>
      <c r="K53" s="206">
        <v>3544</v>
      </c>
      <c r="L53" s="234">
        <f t="shared" si="4"/>
        <v>33032</v>
      </c>
      <c r="M53" s="206">
        <f t="shared" si="11"/>
        <v>122787</v>
      </c>
      <c r="N53" s="206">
        <f t="shared" si="5"/>
        <v>17248</v>
      </c>
      <c r="O53" s="206">
        <f t="shared" si="6"/>
        <v>140035</v>
      </c>
      <c r="P53" s="206">
        <f t="shared" si="7"/>
        <v>18130</v>
      </c>
      <c r="Q53" s="206">
        <f t="shared" si="8"/>
        <v>158165</v>
      </c>
      <c r="R53" s="26"/>
      <c r="S53" s="187">
        <v>140035</v>
      </c>
      <c r="T53" s="187">
        <v>18130</v>
      </c>
      <c r="U53" s="187">
        <v>158165</v>
      </c>
      <c r="V53" s="187"/>
      <c r="X53" s="37">
        <v>2013</v>
      </c>
      <c r="Y53" s="14">
        <v>356</v>
      </c>
      <c r="Z53" s="14">
        <v>34</v>
      </c>
      <c r="AA53" s="14">
        <v>208</v>
      </c>
      <c r="AB53" s="38">
        <v>11</v>
      </c>
      <c r="AC53" s="13">
        <v>6045</v>
      </c>
      <c r="AD53" s="14">
        <v>94</v>
      </c>
      <c r="AE53" s="14">
        <v>645</v>
      </c>
      <c r="AF53" s="38">
        <v>3</v>
      </c>
      <c r="AG53" s="13">
        <v>3634</v>
      </c>
      <c r="AH53" s="14">
        <v>727</v>
      </c>
      <c r="AI53" s="14">
        <v>170</v>
      </c>
      <c r="AJ53" s="38">
        <v>69</v>
      </c>
      <c r="AK53" s="13">
        <v>6952</v>
      </c>
      <c r="AL53" s="14">
        <v>547</v>
      </c>
      <c r="AM53" s="14">
        <v>408</v>
      </c>
      <c r="AN53" s="38">
        <v>14</v>
      </c>
      <c r="AO53" s="13">
        <v>16986</v>
      </c>
      <c r="AP53" s="39">
        <v>1402</v>
      </c>
      <c r="AQ53" s="13">
        <v>1430</v>
      </c>
      <c r="AR53" s="38">
        <v>97</v>
      </c>
      <c r="AT53" s="45">
        <v>2013</v>
      </c>
      <c r="AU53" s="23">
        <v>1430</v>
      </c>
      <c r="AV53" s="46">
        <v>97</v>
      </c>
      <c r="AW53" s="48">
        <v>1.6E-2</v>
      </c>
      <c r="AX53" s="49">
        <v>3.3000000000000002E-2</v>
      </c>
      <c r="AY53" s="50">
        <v>0.02</v>
      </c>
      <c r="AZ53" s="51">
        <v>0.02</v>
      </c>
      <c r="BB53" s="60">
        <v>2013</v>
      </c>
      <c r="BC53" s="48">
        <v>6.8000000000000005E-2</v>
      </c>
      <c r="BD53" s="48">
        <v>0.14000000000000001</v>
      </c>
      <c r="BE53" s="49">
        <v>0.14000000000000001</v>
      </c>
      <c r="BF53" s="21" t="s">
        <v>118</v>
      </c>
      <c r="BG53" s="62">
        <v>0.13</v>
      </c>
      <c r="BI53" s="45">
        <v>1998</v>
      </c>
      <c r="BJ53" s="26">
        <v>1610</v>
      </c>
      <c r="BK53" s="25">
        <v>9440</v>
      </c>
      <c r="BL53" s="22" t="s">
        <v>124</v>
      </c>
      <c r="BM53" s="70" t="s">
        <v>124</v>
      </c>
      <c r="BN53" s="26">
        <v>34836</v>
      </c>
      <c r="BO53" s="71">
        <v>134687</v>
      </c>
      <c r="BP53" s="22" t="s">
        <v>124</v>
      </c>
      <c r="BQ53" s="22" t="s">
        <v>124</v>
      </c>
      <c r="BR53" s="26">
        <v>3415</v>
      </c>
      <c r="BS53" s="25">
        <v>40241</v>
      </c>
      <c r="BT53" s="26">
        <v>144507</v>
      </c>
      <c r="BU53" s="26">
        <v>39861</v>
      </c>
      <c r="BV53" s="71">
        <v>184368</v>
      </c>
      <c r="BX53" s="169">
        <v>1969</v>
      </c>
      <c r="BY53" s="170">
        <v>17187</v>
      </c>
      <c r="CA53">
        <f t="shared" si="13"/>
        <v>2005</v>
      </c>
      <c r="CB53">
        <v>730</v>
      </c>
      <c r="CC53">
        <v>121</v>
      </c>
      <c r="CD53">
        <v>1801</v>
      </c>
      <c r="CE53">
        <v>1292</v>
      </c>
      <c r="CF53">
        <v>1832</v>
      </c>
      <c r="CG53">
        <v>2167</v>
      </c>
      <c r="CH53">
        <v>1009</v>
      </c>
      <c r="CI53">
        <v>3844</v>
      </c>
    </row>
    <row r="54" spans="1:87" x14ac:dyDescent="0.3">
      <c r="A54" s="219">
        <f t="shared" si="12"/>
        <v>2006</v>
      </c>
      <c r="B54" s="203" t="s">
        <v>81</v>
      </c>
      <c r="C54" s="204">
        <v>85210</v>
      </c>
      <c r="D54" s="210">
        <v>15234</v>
      </c>
      <c r="E54" s="224">
        <f t="shared" si="3"/>
        <v>100444</v>
      </c>
      <c r="F54" s="206">
        <v>7877</v>
      </c>
      <c r="G54" s="205">
        <f t="shared" si="9"/>
        <v>108321</v>
      </c>
      <c r="H54" s="233">
        <v>33332</v>
      </c>
      <c r="I54" s="210">
        <v>5880</v>
      </c>
      <c r="J54" s="220">
        <f t="shared" si="10"/>
        <v>39212</v>
      </c>
      <c r="K54" s="206">
        <v>1633</v>
      </c>
      <c r="L54" s="234">
        <f t="shared" si="4"/>
        <v>40845</v>
      </c>
      <c r="M54" s="206">
        <f t="shared" si="11"/>
        <v>118542</v>
      </c>
      <c r="N54" s="206">
        <f t="shared" si="5"/>
        <v>21114</v>
      </c>
      <c r="O54" s="206">
        <f t="shared" si="6"/>
        <v>139656</v>
      </c>
      <c r="P54" s="206">
        <f t="shared" si="7"/>
        <v>9510</v>
      </c>
      <c r="Q54" s="206">
        <f t="shared" si="8"/>
        <v>149166</v>
      </c>
      <c r="R54" s="26"/>
      <c r="S54" s="187">
        <v>139656</v>
      </c>
      <c r="T54" s="187">
        <v>9510</v>
      </c>
      <c r="U54" s="187">
        <v>149166</v>
      </c>
      <c r="V54" s="187"/>
      <c r="X54" s="37">
        <v>2014</v>
      </c>
      <c r="Y54" s="14">
        <v>527</v>
      </c>
      <c r="Z54" s="14">
        <v>119</v>
      </c>
      <c r="AA54" s="14">
        <v>335</v>
      </c>
      <c r="AB54" s="38">
        <v>31</v>
      </c>
      <c r="AC54" s="13">
        <v>5870</v>
      </c>
      <c r="AD54" s="14">
        <v>505</v>
      </c>
      <c r="AE54" s="14">
        <v>514</v>
      </c>
      <c r="AF54" s="38">
        <v>13</v>
      </c>
      <c r="AG54" s="13">
        <v>4182</v>
      </c>
      <c r="AH54" s="13">
        <v>1246</v>
      </c>
      <c r="AI54" s="14">
        <v>250</v>
      </c>
      <c r="AJ54" s="38">
        <v>63</v>
      </c>
      <c r="AK54" s="13">
        <v>7196</v>
      </c>
      <c r="AL54" s="13">
        <v>1916</v>
      </c>
      <c r="AM54" s="14">
        <v>449</v>
      </c>
      <c r="AN54" s="38">
        <v>47</v>
      </c>
      <c r="AO54" s="13">
        <v>17775</v>
      </c>
      <c r="AP54" s="39">
        <v>3787</v>
      </c>
      <c r="AQ54" s="13">
        <v>1549</v>
      </c>
      <c r="AR54" s="38">
        <v>152</v>
      </c>
      <c r="AT54" s="45">
        <v>2014</v>
      </c>
      <c r="AU54" s="23">
        <v>1549</v>
      </c>
      <c r="AV54" s="46">
        <v>152</v>
      </c>
      <c r="AW54" s="48">
        <v>1.4E-2</v>
      </c>
      <c r="AX54" s="49">
        <v>1.0999999999999999E-2</v>
      </c>
      <c r="AY54" s="50">
        <v>0.02</v>
      </c>
      <c r="AZ54" s="51">
        <v>0.02</v>
      </c>
      <c r="BB54" s="60">
        <v>2014</v>
      </c>
      <c r="BC54" s="48">
        <v>7.4999999999999997E-2</v>
      </c>
      <c r="BD54" s="48">
        <v>0.156</v>
      </c>
      <c r="BE54" s="49">
        <v>0.122</v>
      </c>
      <c r="BF54" s="21" t="s">
        <v>118</v>
      </c>
      <c r="BG54" s="62">
        <v>0.2</v>
      </c>
      <c r="BI54" s="45">
        <v>1999</v>
      </c>
      <c r="BJ54" s="26">
        <v>1310</v>
      </c>
      <c r="BK54" s="25">
        <v>7160</v>
      </c>
      <c r="BL54" s="22" t="s">
        <v>124</v>
      </c>
      <c r="BM54" s="70" t="s">
        <v>124</v>
      </c>
      <c r="BN54" s="26">
        <v>56626</v>
      </c>
      <c r="BO54" s="71">
        <v>176466</v>
      </c>
      <c r="BP54" s="22" t="s">
        <v>124</v>
      </c>
      <c r="BQ54" s="22" t="s">
        <v>124</v>
      </c>
      <c r="BR54" s="26">
        <v>3740</v>
      </c>
      <c r="BS54" s="25">
        <v>22137</v>
      </c>
      <c r="BT54" s="26">
        <v>144087</v>
      </c>
      <c r="BU54" s="26">
        <v>61676</v>
      </c>
      <c r="BV54" s="71">
        <v>205763</v>
      </c>
      <c r="BX54" s="169">
        <v>1970</v>
      </c>
      <c r="BY54" s="170">
        <v>20681</v>
      </c>
      <c r="CA54">
        <f t="shared" si="13"/>
        <v>2006</v>
      </c>
      <c r="CB54">
        <v>638</v>
      </c>
      <c r="CC54">
        <v>119</v>
      </c>
      <c r="CD54">
        <v>1416</v>
      </c>
      <c r="CE54">
        <v>941</v>
      </c>
      <c r="CF54">
        <v>1428</v>
      </c>
      <c r="CG54">
        <v>1703</v>
      </c>
      <c r="CH54">
        <v>793</v>
      </c>
      <c r="CI54">
        <v>3021</v>
      </c>
    </row>
    <row r="55" spans="1:87" x14ac:dyDescent="0.3">
      <c r="A55" s="219">
        <f t="shared" si="12"/>
        <v>2007</v>
      </c>
      <c r="B55" s="203" t="s">
        <v>82</v>
      </c>
      <c r="C55" s="207">
        <v>102374</v>
      </c>
      <c r="D55" s="221">
        <v>14643</v>
      </c>
      <c r="E55" s="223">
        <f t="shared" si="3"/>
        <v>117017</v>
      </c>
      <c r="F55" s="209">
        <v>11242</v>
      </c>
      <c r="G55" s="208">
        <f t="shared" si="9"/>
        <v>128259</v>
      </c>
      <c r="H55" s="225">
        <v>20513</v>
      </c>
      <c r="I55" s="221">
        <v>3446</v>
      </c>
      <c r="J55" s="222">
        <f t="shared" si="10"/>
        <v>23959</v>
      </c>
      <c r="K55" s="209">
        <v>2924</v>
      </c>
      <c r="L55" s="226">
        <f t="shared" si="4"/>
        <v>26883</v>
      </c>
      <c r="M55" s="209">
        <f t="shared" si="11"/>
        <v>122887</v>
      </c>
      <c r="N55" s="209">
        <f t="shared" si="5"/>
        <v>18089</v>
      </c>
      <c r="O55" s="209">
        <f t="shared" si="6"/>
        <v>140976</v>
      </c>
      <c r="P55" s="209">
        <f t="shared" si="7"/>
        <v>14166</v>
      </c>
      <c r="Q55" s="209">
        <f t="shared" si="8"/>
        <v>155142</v>
      </c>
      <c r="R55" s="26"/>
      <c r="S55" s="187">
        <v>140976</v>
      </c>
      <c r="T55" s="187">
        <v>14166</v>
      </c>
      <c r="U55" s="187">
        <v>155142</v>
      </c>
      <c r="V55" s="388">
        <f t="shared" ref="V55:V64" si="14">S55/U55</f>
        <v>0.90869010326023902</v>
      </c>
      <c r="X55" s="37">
        <v>2015</v>
      </c>
      <c r="Y55" s="14">
        <v>417</v>
      </c>
      <c r="Z55" s="14">
        <v>55</v>
      </c>
      <c r="AA55" s="14">
        <v>172</v>
      </c>
      <c r="AB55" s="38">
        <v>15</v>
      </c>
      <c r="AC55" s="13">
        <v>4124</v>
      </c>
      <c r="AD55" s="14">
        <v>88</v>
      </c>
      <c r="AE55" s="14">
        <v>258</v>
      </c>
      <c r="AF55" s="38">
        <v>3</v>
      </c>
      <c r="AG55" s="13">
        <v>6072</v>
      </c>
      <c r="AH55" s="13">
        <v>1477</v>
      </c>
      <c r="AI55" s="14">
        <v>259</v>
      </c>
      <c r="AJ55" s="38">
        <v>52</v>
      </c>
      <c r="AK55" s="13">
        <v>10904</v>
      </c>
      <c r="AL55" s="14">
        <v>661</v>
      </c>
      <c r="AM55" s="14">
        <v>483</v>
      </c>
      <c r="AN55" s="38">
        <v>21</v>
      </c>
      <c r="AO55" s="13">
        <v>21517</v>
      </c>
      <c r="AP55" s="39">
        <v>2280</v>
      </c>
      <c r="AQ55" s="13">
        <v>1172</v>
      </c>
      <c r="AR55" s="38">
        <v>90</v>
      </c>
      <c r="AT55" s="45">
        <v>2015</v>
      </c>
      <c r="AU55" s="23">
        <v>1172</v>
      </c>
      <c r="AV55" s="46">
        <v>90</v>
      </c>
      <c r="AW55" s="48">
        <v>1.4E-2</v>
      </c>
      <c r="AX55" s="49">
        <v>1.4999999999999999E-2</v>
      </c>
      <c r="AY55" s="50">
        <v>0.02</v>
      </c>
      <c r="AZ55" s="51">
        <v>0.02</v>
      </c>
      <c r="BB55" s="60">
        <v>2015</v>
      </c>
      <c r="BC55" s="48">
        <v>6.3E-2</v>
      </c>
      <c r="BD55" s="48">
        <v>0.13700000000000001</v>
      </c>
      <c r="BE55" s="49">
        <v>0.121</v>
      </c>
      <c r="BF55" s="21" t="s">
        <v>118</v>
      </c>
      <c r="BG55" s="62">
        <v>0.13</v>
      </c>
      <c r="BI55" s="45">
        <v>2000</v>
      </c>
      <c r="BJ55" s="26">
        <v>5728</v>
      </c>
      <c r="BK55" s="25">
        <v>16619</v>
      </c>
      <c r="BL55" s="22" t="s">
        <v>124</v>
      </c>
      <c r="BM55" s="70" t="s">
        <v>124</v>
      </c>
      <c r="BN55" s="26">
        <v>63628</v>
      </c>
      <c r="BO55" s="71">
        <v>216723</v>
      </c>
      <c r="BP55" s="22" t="s">
        <v>124</v>
      </c>
      <c r="BQ55" s="22" t="s">
        <v>124</v>
      </c>
      <c r="BR55" s="26">
        <v>8368</v>
      </c>
      <c r="BS55" s="25">
        <v>40909</v>
      </c>
      <c r="BT55" s="26">
        <v>196527</v>
      </c>
      <c r="BU55" s="26">
        <v>77724</v>
      </c>
      <c r="BV55" s="71">
        <v>274251</v>
      </c>
      <c r="BX55" s="169">
        <v>1971</v>
      </c>
      <c r="BY55" s="170">
        <v>17661</v>
      </c>
      <c r="CA55">
        <f t="shared" si="13"/>
        <v>2007</v>
      </c>
      <c r="CB55">
        <v>306</v>
      </c>
      <c r="CC55">
        <v>81</v>
      </c>
      <c r="CD55">
        <v>743</v>
      </c>
      <c r="CE55">
        <v>806</v>
      </c>
      <c r="CF55">
        <v>1212</v>
      </c>
      <c r="CG55">
        <v>893</v>
      </c>
      <c r="CH55">
        <v>416</v>
      </c>
      <c r="CI55">
        <v>1585</v>
      </c>
    </row>
    <row r="56" spans="1:87" x14ac:dyDescent="0.3">
      <c r="A56" s="219">
        <f t="shared" si="12"/>
        <v>2008</v>
      </c>
      <c r="B56" s="203" t="s">
        <v>83</v>
      </c>
      <c r="C56" s="207">
        <v>94205</v>
      </c>
      <c r="D56" s="221">
        <v>13079</v>
      </c>
      <c r="E56" s="223">
        <f t="shared" si="3"/>
        <v>107284</v>
      </c>
      <c r="F56" s="209">
        <v>18217</v>
      </c>
      <c r="G56" s="208">
        <f t="shared" si="9"/>
        <v>125501</v>
      </c>
      <c r="H56" s="225">
        <v>40713</v>
      </c>
      <c r="I56" s="221">
        <v>6998</v>
      </c>
      <c r="J56" s="222">
        <f t="shared" si="10"/>
        <v>47711</v>
      </c>
      <c r="K56" s="209">
        <v>5659</v>
      </c>
      <c r="L56" s="226">
        <f t="shared" si="4"/>
        <v>53370</v>
      </c>
      <c r="M56" s="209">
        <f t="shared" si="11"/>
        <v>134918</v>
      </c>
      <c r="N56" s="209">
        <f t="shared" si="5"/>
        <v>20077</v>
      </c>
      <c r="O56" s="209">
        <f t="shared" si="6"/>
        <v>154995</v>
      </c>
      <c r="P56" s="209">
        <f t="shared" si="7"/>
        <v>23876</v>
      </c>
      <c r="Q56" s="209">
        <f t="shared" si="8"/>
        <v>178871</v>
      </c>
      <c r="R56" s="26"/>
      <c r="S56" s="187">
        <v>154995</v>
      </c>
      <c r="T56" s="187">
        <v>23875</v>
      </c>
      <c r="U56" s="187">
        <v>178870</v>
      </c>
      <c r="V56" s="388">
        <f t="shared" si="14"/>
        <v>0.86652317325431882</v>
      </c>
      <c r="X56" s="37">
        <v>2016</v>
      </c>
      <c r="Y56" s="14">
        <v>458</v>
      </c>
      <c r="Z56" s="14">
        <v>72</v>
      </c>
      <c r="AA56" s="14">
        <v>147</v>
      </c>
      <c r="AB56" s="38">
        <v>13</v>
      </c>
      <c r="AC56" s="13">
        <v>1371</v>
      </c>
      <c r="AD56" s="14">
        <v>491</v>
      </c>
      <c r="AE56" s="14">
        <v>83</v>
      </c>
      <c r="AF56" s="38">
        <v>3</v>
      </c>
      <c r="AG56" s="13">
        <v>2087</v>
      </c>
      <c r="AH56" s="13">
        <v>2492</v>
      </c>
      <c r="AI56" s="14">
        <v>52</v>
      </c>
      <c r="AJ56" s="38">
        <v>17</v>
      </c>
      <c r="AK56" s="13">
        <v>3442</v>
      </c>
      <c r="AL56" s="13">
        <v>1862</v>
      </c>
      <c r="AM56" s="14">
        <v>70</v>
      </c>
      <c r="AN56" s="38">
        <v>14</v>
      </c>
      <c r="AO56" s="13">
        <v>7358</v>
      </c>
      <c r="AP56" s="39">
        <v>4916</v>
      </c>
      <c r="AQ56" s="14">
        <v>352</v>
      </c>
      <c r="AR56" s="38">
        <v>48</v>
      </c>
      <c r="AT56" s="45">
        <v>2016</v>
      </c>
      <c r="AU56" s="19">
        <v>352</v>
      </c>
      <c r="AV56" s="46">
        <v>48</v>
      </c>
      <c r="AW56" s="48">
        <v>1.0999999999999999E-2</v>
      </c>
      <c r="AX56" s="49">
        <v>7.0000000000000001E-3</v>
      </c>
      <c r="AY56" s="50">
        <v>0.02</v>
      </c>
      <c r="AZ56" s="51">
        <v>0.02</v>
      </c>
      <c r="BB56" s="60">
        <v>2016</v>
      </c>
      <c r="BC56" s="48">
        <v>0.1</v>
      </c>
      <c r="BD56" s="48">
        <v>0.20799999999999999</v>
      </c>
      <c r="BE56" s="49">
        <v>0.10100000000000001</v>
      </c>
      <c r="BF56" s="21" t="s">
        <v>118</v>
      </c>
      <c r="BG56" s="62">
        <v>0.2</v>
      </c>
      <c r="BI56" s="45">
        <v>2001</v>
      </c>
      <c r="BJ56" s="26">
        <v>7952</v>
      </c>
      <c r="BK56" s="25">
        <v>28725</v>
      </c>
      <c r="BL56" s="22" t="s">
        <v>124</v>
      </c>
      <c r="BM56" s="70" t="s">
        <v>124</v>
      </c>
      <c r="BN56" s="26">
        <v>137230</v>
      </c>
      <c r="BO56" s="71">
        <v>515079</v>
      </c>
      <c r="BP56" s="22" t="s">
        <v>124</v>
      </c>
      <c r="BQ56" s="22" t="s">
        <v>124</v>
      </c>
      <c r="BR56" s="26">
        <v>12047</v>
      </c>
      <c r="BS56" s="25">
        <v>86426</v>
      </c>
      <c r="BT56" s="26">
        <v>473001</v>
      </c>
      <c r="BU56" s="26">
        <v>157229</v>
      </c>
      <c r="BV56" s="71">
        <v>630230</v>
      </c>
      <c r="BX56" s="169">
        <v>1972</v>
      </c>
      <c r="BY56" s="170">
        <v>13524</v>
      </c>
      <c r="CA56">
        <f t="shared" si="13"/>
        <v>2008</v>
      </c>
      <c r="CB56">
        <v>308</v>
      </c>
      <c r="CC56">
        <v>134</v>
      </c>
      <c r="CD56">
        <v>1106</v>
      </c>
      <c r="CE56">
        <v>2096</v>
      </c>
      <c r="CF56">
        <v>2322</v>
      </c>
      <c r="CG56">
        <v>1331</v>
      </c>
      <c r="CH56">
        <v>619</v>
      </c>
      <c r="CI56">
        <v>2360</v>
      </c>
    </row>
    <row r="57" spans="1:87" ht="15.6" x14ac:dyDescent="0.3">
      <c r="A57" s="219">
        <f t="shared" si="12"/>
        <v>2009</v>
      </c>
      <c r="B57" s="203" t="s">
        <v>84</v>
      </c>
      <c r="C57" s="207">
        <v>231003</v>
      </c>
      <c r="D57" s="221">
        <v>30385</v>
      </c>
      <c r="E57" s="223">
        <f t="shared" si="3"/>
        <v>261388</v>
      </c>
      <c r="F57" s="209">
        <v>38210</v>
      </c>
      <c r="G57" s="208">
        <f t="shared" si="9"/>
        <v>299598</v>
      </c>
      <c r="H57" s="225">
        <v>16555</v>
      </c>
      <c r="I57" s="221">
        <v>2700</v>
      </c>
      <c r="J57" s="222">
        <f t="shared" si="10"/>
        <v>19255</v>
      </c>
      <c r="K57" s="209">
        <v>4529</v>
      </c>
      <c r="L57" s="226">
        <f t="shared" si="4"/>
        <v>23784</v>
      </c>
      <c r="M57" s="209">
        <f t="shared" si="11"/>
        <v>247558</v>
      </c>
      <c r="N57" s="209">
        <f t="shared" si="5"/>
        <v>33085</v>
      </c>
      <c r="O57" s="209">
        <f t="shared" si="6"/>
        <v>280643</v>
      </c>
      <c r="P57" s="209">
        <f t="shared" si="7"/>
        <v>42739</v>
      </c>
      <c r="Q57" s="209">
        <f t="shared" si="8"/>
        <v>323382</v>
      </c>
      <c r="R57" s="26"/>
      <c r="S57" s="187">
        <v>280643</v>
      </c>
      <c r="T57" s="187">
        <v>42739</v>
      </c>
      <c r="U57" s="187">
        <v>323382</v>
      </c>
      <c r="V57" s="388">
        <f t="shared" si="14"/>
        <v>0.86783741828549521</v>
      </c>
      <c r="X57" s="37" t="s">
        <v>106</v>
      </c>
      <c r="Y57" s="14">
        <v>435</v>
      </c>
      <c r="Z57" s="14">
        <v>69</v>
      </c>
      <c r="AA57" s="14">
        <v>201</v>
      </c>
      <c r="AB57" s="38">
        <v>18</v>
      </c>
      <c r="AC57" s="13">
        <v>4507</v>
      </c>
      <c r="AD57" s="14">
        <v>334</v>
      </c>
      <c r="AE57" s="14">
        <v>362</v>
      </c>
      <c r="AF57" s="38">
        <v>12</v>
      </c>
      <c r="AG57" s="13">
        <v>4350</v>
      </c>
      <c r="AH57" s="13">
        <v>1685</v>
      </c>
      <c r="AI57" s="14">
        <v>183</v>
      </c>
      <c r="AJ57" s="38">
        <v>58</v>
      </c>
      <c r="AK57" s="13">
        <v>6587</v>
      </c>
      <c r="AL57" s="13">
        <v>1209</v>
      </c>
      <c r="AM57" s="14">
        <v>310</v>
      </c>
      <c r="AN57" s="38">
        <v>24</v>
      </c>
      <c r="AO57" s="13">
        <v>15879</v>
      </c>
      <c r="AP57" s="39">
        <v>3297</v>
      </c>
      <c r="AQ57" s="13">
        <v>1055</v>
      </c>
      <c r="AR57" s="38">
        <v>111</v>
      </c>
      <c r="AT57" s="45" t="s">
        <v>106</v>
      </c>
      <c r="AU57" s="23">
        <v>1055</v>
      </c>
      <c r="AV57" s="46">
        <v>111</v>
      </c>
      <c r="AW57" s="48">
        <v>1.4E-2</v>
      </c>
      <c r="AX57" s="49">
        <v>1.7999999999999999E-2</v>
      </c>
      <c r="AY57" s="50">
        <v>0.02</v>
      </c>
      <c r="AZ57" s="51">
        <v>0.02</v>
      </c>
      <c r="BB57" s="60" t="s">
        <v>106</v>
      </c>
      <c r="BC57" s="48">
        <v>7.5999999999999998E-2</v>
      </c>
      <c r="BD57" s="48">
        <v>0.16500000000000001</v>
      </c>
      <c r="BE57" s="49">
        <v>0.124</v>
      </c>
      <c r="BF57" s="24" t="s">
        <v>31</v>
      </c>
      <c r="BG57" s="62">
        <v>0.16</v>
      </c>
      <c r="BI57" s="45">
        <v>2002</v>
      </c>
      <c r="BJ57" s="26">
        <v>9671</v>
      </c>
      <c r="BK57" s="25">
        <v>24991</v>
      </c>
      <c r="BL57" s="22" t="s">
        <v>124</v>
      </c>
      <c r="BM57" s="70" t="s">
        <v>124</v>
      </c>
      <c r="BN57" s="26">
        <v>87276</v>
      </c>
      <c r="BO57" s="71">
        <v>323124</v>
      </c>
      <c r="BP57" s="22" t="s">
        <v>124</v>
      </c>
      <c r="BQ57" s="22" t="s">
        <v>124</v>
      </c>
      <c r="BR57" s="26">
        <v>32333</v>
      </c>
      <c r="BS57" s="25">
        <v>129882</v>
      </c>
      <c r="BT57" s="26">
        <v>348717</v>
      </c>
      <c r="BU57" s="26">
        <v>129280</v>
      </c>
      <c r="BV57" s="71">
        <v>477997</v>
      </c>
      <c r="BX57" s="169">
        <v>1973</v>
      </c>
      <c r="BY57" s="170">
        <v>10401</v>
      </c>
      <c r="CA57">
        <f t="shared" si="13"/>
        <v>2009</v>
      </c>
      <c r="CB57">
        <v>363</v>
      </c>
      <c r="CC57">
        <v>218</v>
      </c>
      <c r="CD57">
        <v>2428</v>
      </c>
      <c r="CE57">
        <v>3148</v>
      </c>
      <c r="CF57">
        <v>3598</v>
      </c>
      <c r="CG57">
        <v>2635</v>
      </c>
      <c r="CH57">
        <v>1198</v>
      </c>
      <c r="CI57">
        <v>3242</v>
      </c>
    </row>
    <row r="58" spans="1:87" ht="16.2" customHeight="1" thickBot="1" x14ac:dyDescent="0.35">
      <c r="A58" s="219">
        <f t="shared" si="12"/>
        <v>2010</v>
      </c>
      <c r="B58" s="203" t="s">
        <v>85</v>
      </c>
      <c r="C58" s="207">
        <v>110750</v>
      </c>
      <c r="D58" s="221">
        <v>17721</v>
      </c>
      <c r="E58" s="223">
        <f t="shared" si="3"/>
        <v>128471</v>
      </c>
      <c r="F58" s="209">
        <v>34549</v>
      </c>
      <c r="G58" s="208">
        <f t="shared" si="9"/>
        <v>163020</v>
      </c>
      <c r="H58" s="225">
        <v>31574</v>
      </c>
      <c r="I58" s="221">
        <v>4118</v>
      </c>
      <c r="J58" s="222">
        <f t="shared" si="10"/>
        <v>35692</v>
      </c>
      <c r="K58" s="209">
        <v>9584</v>
      </c>
      <c r="L58" s="226">
        <f t="shared" si="4"/>
        <v>45276</v>
      </c>
      <c r="M58" s="209">
        <f t="shared" si="11"/>
        <v>142324</v>
      </c>
      <c r="N58" s="209">
        <f t="shared" si="5"/>
        <v>21839</v>
      </c>
      <c r="O58" s="209">
        <f t="shared" si="6"/>
        <v>164163</v>
      </c>
      <c r="P58" s="209">
        <f t="shared" si="7"/>
        <v>44133</v>
      </c>
      <c r="Q58" s="209">
        <f t="shared" si="8"/>
        <v>208296</v>
      </c>
      <c r="R58" s="26"/>
      <c r="S58" s="187">
        <v>164163</v>
      </c>
      <c r="T58" s="187">
        <v>44133</v>
      </c>
      <c r="U58" s="187">
        <v>208296</v>
      </c>
      <c r="V58" s="388">
        <f t="shared" si="14"/>
        <v>0.78812363175481048</v>
      </c>
      <c r="X58" s="40" t="s">
        <v>107</v>
      </c>
      <c r="Y58" s="41">
        <v>487</v>
      </c>
      <c r="Z58" s="41">
        <v>127</v>
      </c>
      <c r="AA58" s="41">
        <v>194</v>
      </c>
      <c r="AB58" s="42">
        <v>31</v>
      </c>
      <c r="AC58" s="43">
        <v>5219</v>
      </c>
      <c r="AD58" s="41">
        <v>478</v>
      </c>
      <c r="AE58" s="41">
        <v>348</v>
      </c>
      <c r="AF58" s="42">
        <v>23</v>
      </c>
      <c r="AG58" s="43">
        <v>5387</v>
      </c>
      <c r="AH58" s="43">
        <v>2219</v>
      </c>
      <c r="AI58" s="41">
        <v>196</v>
      </c>
      <c r="AJ58" s="42">
        <v>91</v>
      </c>
      <c r="AK58" s="43">
        <v>8176</v>
      </c>
      <c r="AL58" s="43">
        <v>1988</v>
      </c>
      <c r="AM58" s="41">
        <v>336</v>
      </c>
      <c r="AN58" s="42">
        <v>53</v>
      </c>
      <c r="AO58" s="43">
        <v>19267</v>
      </c>
      <c r="AP58" s="44">
        <v>4811</v>
      </c>
      <c r="AQ58" s="43">
        <v>1074</v>
      </c>
      <c r="AR58" s="42">
        <v>198</v>
      </c>
      <c r="AT58" s="52" t="s">
        <v>107</v>
      </c>
      <c r="AU58" s="27">
        <v>1074</v>
      </c>
      <c r="AV58" s="53">
        <v>198</v>
      </c>
      <c r="AW58" s="54">
        <v>1.2E-2</v>
      </c>
      <c r="AX58" s="55">
        <v>0.02</v>
      </c>
      <c r="AY58" s="56">
        <v>0.02</v>
      </c>
      <c r="AZ58" s="57">
        <v>0.02</v>
      </c>
      <c r="BB58" s="63" t="s">
        <v>107</v>
      </c>
      <c r="BC58" s="64">
        <v>6.3E-2</v>
      </c>
      <c r="BD58" s="64">
        <v>0.16800000000000001</v>
      </c>
      <c r="BE58" s="65">
        <v>0.14499999999999999</v>
      </c>
      <c r="BF58" s="66" t="s">
        <v>31</v>
      </c>
      <c r="BG58" s="67" t="s">
        <v>31</v>
      </c>
      <c r="BI58" s="45">
        <v>2003</v>
      </c>
      <c r="BJ58" s="26">
        <v>1801</v>
      </c>
      <c r="BK58" s="25">
        <v>14154</v>
      </c>
      <c r="BL58" s="22" t="s">
        <v>124</v>
      </c>
      <c r="BM58" s="70" t="s">
        <v>124</v>
      </c>
      <c r="BN58" s="26">
        <v>67049</v>
      </c>
      <c r="BO58" s="71">
        <v>305795</v>
      </c>
      <c r="BP58" s="22" t="s">
        <v>124</v>
      </c>
      <c r="BQ58" s="22" t="s">
        <v>124</v>
      </c>
      <c r="BR58" s="26">
        <v>6417</v>
      </c>
      <c r="BS58" s="25">
        <v>37228</v>
      </c>
      <c r="BT58" s="26">
        <v>281910</v>
      </c>
      <c r="BU58" s="26">
        <v>75268</v>
      </c>
      <c r="BV58" s="71">
        <v>357177</v>
      </c>
      <c r="BX58" s="169">
        <v>1974</v>
      </c>
      <c r="BY58" s="170">
        <v>3010</v>
      </c>
      <c r="CA58">
        <f t="shared" si="13"/>
        <v>2010</v>
      </c>
      <c r="CB58">
        <v>1411</v>
      </c>
      <c r="CC58">
        <v>205</v>
      </c>
      <c r="CD58">
        <v>3395</v>
      </c>
      <c r="CE58">
        <v>2736</v>
      </c>
      <c r="CF58">
        <v>1831</v>
      </c>
      <c r="CG58">
        <v>4927</v>
      </c>
      <c r="CH58">
        <v>2046</v>
      </c>
      <c r="CI58">
        <v>7334</v>
      </c>
    </row>
    <row r="59" spans="1:87" x14ac:dyDescent="0.3">
      <c r="A59" s="219">
        <f t="shared" si="12"/>
        <v>2011</v>
      </c>
      <c r="B59" s="203" t="s">
        <v>86</v>
      </c>
      <c r="C59" s="207">
        <v>113038</v>
      </c>
      <c r="D59" s="221">
        <v>7930</v>
      </c>
      <c r="E59" s="223">
        <f t="shared" si="3"/>
        <v>120968</v>
      </c>
      <c r="F59" s="209">
        <v>35241</v>
      </c>
      <c r="G59" s="208">
        <f t="shared" si="9"/>
        <v>156209</v>
      </c>
      <c r="H59" s="225">
        <v>17801</v>
      </c>
      <c r="I59" s="221">
        <v>2113</v>
      </c>
      <c r="J59" s="222">
        <f t="shared" si="10"/>
        <v>19914</v>
      </c>
      <c r="K59" s="209">
        <v>4198</v>
      </c>
      <c r="L59" s="226">
        <f t="shared" si="4"/>
        <v>24112</v>
      </c>
      <c r="M59" s="209">
        <f t="shared" si="11"/>
        <v>130839</v>
      </c>
      <c r="N59" s="209">
        <f t="shared" si="5"/>
        <v>10043</v>
      </c>
      <c r="O59" s="209">
        <f t="shared" si="6"/>
        <v>140882</v>
      </c>
      <c r="P59" s="209">
        <f t="shared" si="7"/>
        <v>39439</v>
      </c>
      <c r="Q59" s="209">
        <f t="shared" si="8"/>
        <v>180321</v>
      </c>
      <c r="R59" s="26"/>
      <c r="S59" s="187">
        <v>140882</v>
      </c>
      <c r="T59" s="187">
        <v>39438</v>
      </c>
      <c r="U59" s="187">
        <v>180320</v>
      </c>
      <c r="V59" s="388">
        <f t="shared" si="14"/>
        <v>0.78128881987577636</v>
      </c>
      <c r="BI59" s="45">
        <v>2004</v>
      </c>
      <c r="BJ59" s="26">
        <v>3289</v>
      </c>
      <c r="BK59" s="25">
        <v>20148</v>
      </c>
      <c r="BL59" s="22" t="s">
        <v>124</v>
      </c>
      <c r="BM59" s="70" t="s">
        <v>124</v>
      </c>
      <c r="BN59" s="26">
        <v>60421</v>
      </c>
      <c r="BO59" s="71">
        <v>250615</v>
      </c>
      <c r="BP59" s="22" t="s">
        <v>124</v>
      </c>
      <c r="BQ59" s="22" t="s">
        <v>124</v>
      </c>
      <c r="BR59" s="26">
        <v>9202</v>
      </c>
      <c r="BS59" s="25">
        <v>37398</v>
      </c>
      <c r="BT59" s="26">
        <v>235249</v>
      </c>
      <c r="BU59" s="26">
        <v>72912</v>
      </c>
      <c r="BV59" s="71">
        <v>308161</v>
      </c>
      <c r="BX59" s="169">
        <v>1976</v>
      </c>
      <c r="BY59" s="170">
        <v>4244</v>
      </c>
      <c r="CA59">
        <f t="shared" si="13"/>
        <v>2011</v>
      </c>
      <c r="CB59">
        <v>1128</v>
      </c>
      <c r="CC59">
        <v>494</v>
      </c>
      <c r="CD59">
        <v>4228</v>
      </c>
      <c r="CE59">
        <v>3259</v>
      </c>
      <c r="CF59">
        <v>5647</v>
      </c>
      <c r="CG59">
        <v>4312</v>
      </c>
      <c r="CH59">
        <v>2512</v>
      </c>
      <c r="CI59">
        <v>6699</v>
      </c>
    </row>
    <row r="60" spans="1:87" x14ac:dyDescent="0.3">
      <c r="A60" s="219">
        <f t="shared" si="12"/>
        <v>2012</v>
      </c>
      <c r="B60" s="203" t="s">
        <v>87</v>
      </c>
      <c r="C60" s="207">
        <v>63611</v>
      </c>
      <c r="D60" s="221">
        <v>4767</v>
      </c>
      <c r="E60" s="223">
        <f t="shared" si="3"/>
        <v>68378</v>
      </c>
      <c r="F60" s="209">
        <v>19806</v>
      </c>
      <c r="G60" s="208">
        <f t="shared" si="9"/>
        <v>88184</v>
      </c>
      <c r="H60" s="225">
        <v>13695</v>
      </c>
      <c r="I60" s="221">
        <v>3970</v>
      </c>
      <c r="J60" s="222">
        <f t="shared" si="10"/>
        <v>17665</v>
      </c>
      <c r="K60" s="209">
        <v>3337</v>
      </c>
      <c r="L60" s="226">
        <f t="shared" si="4"/>
        <v>21002</v>
      </c>
      <c r="M60" s="209">
        <f t="shared" si="11"/>
        <v>77306</v>
      </c>
      <c r="N60" s="209">
        <f t="shared" si="5"/>
        <v>8737</v>
      </c>
      <c r="O60" s="209">
        <f t="shared" si="6"/>
        <v>86043</v>
      </c>
      <c r="P60" s="209">
        <f t="shared" si="7"/>
        <v>23143</v>
      </c>
      <c r="Q60" s="209">
        <f t="shared" si="8"/>
        <v>109186</v>
      </c>
      <c r="R60" s="26"/>
      <c r="S60" s="187">
        <v>86043</v>
      </c>
      <c r="T60" s="187">
        <v>23143</v>
      </c>
      <c r="U60" s="187">
        <v>109186</v>
      </c>
      <c r="V60" s="388">
        <f t="shared" si="14"/>
        <v>0.78804059128459691</v>
      </c>
      <c r="BI60" s="45">
        <v>2005</v>
      </c>
      <c r="BJ60" s="26">
        <v>2123</v>
      </c>
      <c r="BK60" s="25">
        <v>11221</v>
      </c>
      <c r="BL60" s="22" t="s">
        <v>124</v>
      </c>
      <c r="BM60" s="70" t="s">
        <v>124</v>
      </c>
      <c r="BN60" s="26">
        <v>58917</v>
      </c>
      <c r="BO60" s="71">
        <v>251631</v>
      </c>
      <c r="BP60" s="22" t="s">
        <v>124</v>
      </c>
      <c r="BQ60" s="22" t="s">
        <v>124</v>
      </c>
      <c r="BR60" s="26">
        <v>9619</v>
      </c>
      <c r="BS60" s="25">
        <v>48968</v>
      </c>
      <c r="BT60" s="26">
        <v>241161</v>
      </c>
      <c r="BU60" s="26">
        <v>70659</v>
      </c>
      <c r="BV60" s="71">
        <v>311820</v>
      </c>
      <c r="BX60" s="169">
        <v>1977</v>
      </c>
      <c r="BY60" s="170">
        <v>12806</v>
      </c>
      <c r="CA60">
        <f t="shared" si="13"/>
        <v>2012</v>
      </c>
      <c r="CB60">
        <v>915</v>
      </c>
      <c r="CC60">
        <v>152</v>
      </c>
      <c r="CD60">
        <v>2950</v>
      </c>
      <c r="CE60">
        <v>3255</v>
      </c>
      <c r="CF60">
        <v>1305</v>
      </c>
      <c r="CG60">
        <v>3069</v>
      </c>
      <c r="CH60">
        <v>1196</v>
      </c>
      <c r="CI60">
        <v>6808</v>
      </c>
    </row>
    <row r="61" spans="1:87" x14ac:dyDescent="0.3">
      <c r="A61" s="219">
        <f t="shared" si="12"/>
        <v>2013</v>
      </c>
      <c r="B61" s="203" t="s">
        <v>88</v>
      </c>
      <c r="C61" s="207">
        <v>70332</v>
      </c>
      <c r="D61" s="221">
        <v>5328</v>
      </c>
      <c r="E61" s="223">
        <f t="shared" si="3"/>
        <v>75660</v>
      </c>
      <c r="F61" s="209">
        <v>23470</v>
      </c>
      <c r="G61" s="208">
        <f t="shared" si="9"/>
        <v>99130</v>
      </c>
      <c r="H61" s="225">
        <v>5546</v>
      </c>
      <c r="I61" s="221">
        <v>1593</v>
      </c>
      <c r="J61" s="222">
        <f t="shared" si="10"/>
        <v>7139</v>
      </c>
      <c r="K61" s="209">
        <v>1885</v>
      </c>
      <c r="L61" s="226">
        <f t="shared" si="4"/>
        <v>9024</v>
      </c>
      <c r="M61" s="209">
        <f t="shared" si="11"/>
        <v>75878</v>
      </c>
      <c r="N61" s="209">
        <f t="shared" si="5"/>
        <v>6921</v>
      </c>
      <c r="O61" s="209">
        <f t="shared" si="6"/>
        <v>82799</v>
      </c>
      <c r="P61" s="209">
        <f t="shared" si="7"/>
        <v>25355</v>
      </c>
      <c r="Q61" s="209">
        <f t="shared" si="8"/>
        <v>108154</v>
      </c>
      <c r="R61" s="26"/>
      <c r="S61" s="187">
        <v>82799</v>
      </c>
      <c r="T61" s="187">
        <v>25355</v>
      </c>
      <c r="U61" s="187">
        <v>108154</v>
      </c>
      <c r="V61" s="388">
        <f t="shared" si="14"/>
        <v>0.76556576733176762</v>
      </c>
      <c r="BI61" s="45">
        <v>2006</v>
      </c>
      <c r="BJ61" s="26">
        <v>2181</v>
      </c>
      <c r="BK61" s="25">
        <v>9882</v>
      </c>
      <c r="BL61" s="22" t="s">
        <v>124</v>
      </c>
      <c r="BM61" s="70" t="s">
        <v>124</v>
      </c>
      <c r="BN61" s="26">
        <v>63735</v>
      </c>
      <c r="BO61" s="71">
        <v>245168</v>
      </c>
      <c r="BP61" s="22" t="s">
        <v>124</v>
      </c>
      <c r="BQ61" s="22" t="s">
        <v>124</v>
      </c>
      <c r="BR61" s="26">
        <v>8466</v>
      </c>
      <c r="BS61" s="25">
        <v>74128</v>
      </c>
      <c r="BT61" s="26">
        <v>254796</v>
      </c>
      <c r="BU61" s="26">
        <v>74382</v>
      </c>
      <c r="BV61" s="71">
        <v>329178</v>
      </c>
      <c r="BX61" s="169">
        <v>1978</v>
      </c>
      <c r="BY61" s="170">
        <v>11616</v>
      </c>
      <c r="CA61">
        <f t="shared" si="13"/>
        <v>2013</v>
      </c>
      <c r="CB61">
        <v>539</v>
      </c>
      <c r="CC61">
        <v>95</v>
      </c>
      <c r="CD61">
        <v>1530</v>
      </c>
      <c r="CE61">
        <v>1540</v>
      </c>
      <c r="CF61">
        <v>2148</v>
      </c>
      <c r="CG61">
        <v>2097</v>
      </c>
      <c r="CH61">
        <v>843</v>
      </c>
      <c r="CI61">
        <v>4188</v>
      </c>
    </row>
    <row r="62" spans="1:87" x14ac:dyDescent="0.3">
      <c r="A62" s="219">
        <f t="shared" si="12"/>
        <v>2014</v>
      </c>
      <c r="B62" s="203" t="s">
        <v>89</v>
      </c>
      <c r="C62" s="227">
        <v>89341</v>
      </c>
      <c r="D62" s="228">
        <v>5755</v>
      </c>
      <c r="E62" s="223">
        <f t="shared" si="3"/>
        <v>95096</v>
      </c>
      <c r="F62" s="225">
        <v>38861</v>
      </c>
      <c r="G62" s="208">
        <f t="shared" si="9"/>
        <v>133957</v>
      </c>
      <c r="H62" s="225">
        <v>21067</v>
      </c>
      <c r="I62" s="228">
        <v>3639</v>
      </c>
      <c r="J62" s="222">
        <f t="shared" si="10"/>
        <v>24706</v>
      </c>
      <c r="K62" s="225">
        <v>6928</v>
      </c>
      <c r="L62" s="226">
        <f t="shared" si="4"/>
        <v>31634</v>
      </c>
      <c r="M62" s="209">
        <f t="shared" si="11"/>
        <v>110408</v>
      </c>
      <c r="N62" s="209">
        <f t="shared" si="5"/>
        <v>9394</v>
      </c>
      <c r="O62" s="209">
        <f t="shared" si="6"/>
        <v>119802</v>
      </c>
      <c r="P62" s="209">
        <f t="shared" si="7"/>
        <v>45789</v>
      </c>
      <c r="Q62" s="209">
        <f t="shared" si="8"/>
        <v>165591</v>
      </c>
      <c r="R62" s="26"/>
      <c r="S62" s="235">
        <v>119802</v>
      </c>
      <c r="T62" s="235">
        <v>45789</v>
      </c>
      <c r="U62" s="235">
        <v>165591</v>
      </c>
      <c r="V62" s="388">
        <f t="shared" si="14"/>
        <v>0.72348134862401947</v>
      </c>
      <c r="BI62" s="45">
        <v>2007</v>
      </c>
      <c r="BJ62" s="26">
        <v>1727</v>
      </c>
      <c r="BK62" s="25">
        <v>9475</v>
      </c>
      <c r="BL62" s="22" t="s">
        <v>124</v>
      </c>
      <c r="BM62" s="70" t="s">
        <v>124</v>
      </c>
      <c r="BN62" s="26">
        <v>77268</v>
      </c>
      <c r="BO62" s="71">
        <v>258848</v>
      </c>
      <c r="BP62" s="22" t="s">
        <v>124</v>
      </c>
      <c r="BQ62" s="22" t="s">
        <v>124</v>
      </c>
      <c r="BR62" s="26">
        <v>9015</v>
      </c>
      <c r="BS62" s="25">
        <v>51073</v>
      </c>
      <c r="BT62" s="26">
        <v>231386</v>
      </c>
      <c r="BU62" s="26">
        <v>88010</v>
      </c>
      <c r="BV62" s="71">
        <v>319396</v>
      </c>
      <c r="BX62" s="169">
        <v>1979</v>
      </c>
      <c r="BY62" s="170">
        <v>5664</v>
      </c>
      <c r="CA62">
        <f t="shared" si="13"/>
        <v>2014</v>
      </c>
      <c r="CB62">
        <v>532</v>
      </c>
      <c r="CC62">
        <v>91</v>
      </c>
      <c r="CD62">
        <v>1284</v>
      </c>
      <c r="CE62">
        <v>2501</v>
      </c>
      <c r="CF62">
        <v>2640</v>
      </c>
      <c r="CG62">
        <v>1821</v>
      </c>
      <c r="CH62">
        <v>1030</v>
      </c>
      <c r="CI62">
        <v>4742</v>
      </c>
    </row>
    <row r="63" spans="1:87" x14ac:dyDescent="0.3">
      <c r="A63" s="219">
        <f t="shared" si="12"/>
        <v>2015</v>
      </c>
      <c r="B63" s="203" t="s">
        <v>90</v>
      </c>
      <c r="C63" s="227">
        <v>88296</v>
      </c>
      <c r="D63" s="228">
        <v>4045</v>
      </c>
      <c r="E63" s="223">
        <f t="shared" si="3"/>
        <v>92341</v>
      </c>
      <c r="F63" s="225">
        <v>30806</v>
      </c>
      <c r="G63" s="208">
        <f t="shared" si="9"/>
        <v>123147</v>
      </c>
      <c r="H63" s="225">
        <v>8465</v>
      </c>
      <c r="I63" s="228">
        <v>1408</v>
      </c>
      <c r="J63" s="222">
        <f t="shared" si="10"/>
        <v>9873</v>
      </c>
      <c r="K63" s="225">
        <v>3130</v>
      </c>
      <c r="L63" s="226">
        <f t="shared" si="4"/>
        <v>13003</v>
      </c>
      <c r="M63" s="209">
        <f t="shared" si="11"/>
        <v>96761</v>
      </c>
      <c r="N63" s="209">
        <f t="shared" si="5"/>
        <v>5453</v>
      </c>
      <c r="O63" s="209">
        <f t="shared" si="6"/>
        <v>102214</v>
      </c>
      <c r="P63" s="209">
        <f t="shared" si="7"/>
        <v>33936</v>
      </c>
      <c r="Q63" s="209">
        <f t="shared" si="8"/>
        <v>136150</v>
      </c>
      <c r="R63" s="26"/>
      <c r="S63" s="235">
        <v>102214</v>
      </c>
      <c r="T63" s="235">
        <v>33936</v>
      </c>
      <c r="U63" s="235">
        <v>136150</v>
      </c>
      <c r="V63" s="388">
        <f t="shared" si="14"/>
        <v>0.75074550128534701</v>
      </c>
      <c r="BD63" t="s">
        <v>128</v>
      </c>
      <c r="BE63" t="s">
        <v>129</v>
      </c>
      <c r="BF63" t="s">
        <v>21</v>
      </c>
      <c r="BI63" s="45">
        <v>2008</v>
      </c>
      <c r="BJ63" s="26">
        <v>4489</v>
      </c>
      <c r="BK63" s="25">
        <v>15832</v>
      </c>
      <c r="BL63" s="22" t="s">
        <v>124</v>
      </c>
      <c r="BM63" s="70" t="s">
        <v>124</v>
      </c>
      <c r="BN63" s="26">
        <v>81648</v>
      </c>
      <c r="BO63" s="71">
        <v>245823</v>
      </c>
      <c r="BP63" s="22" t="s">
        <v>124</v>
      </c>
      <c r="BQ63" s="22" t="s">
        <v>124</v>
      </c>
      <c r="BR63" s="26">
        <v>18529</v>
      </c>
      <c r="BS63" s="25">
        <v>93429</v>
      </c>
      <c r="BT63" s="26">
        <v>250418</v>
      </c>
      <c r="BU63" s="26">
        <v>104666</v>
      </c>
      <c r="BV63" s="71">
        <v>355084</v>
      </c>
      <c r="BX63" s="169">
        <v>1980</v>
      </c>
      <c r="BY63" s="170">
        <v>9098</v>
      </c>
      <c r="CA63">
        <v>2015</v>
      </c>
      <c r="CB63">
        <v>839</v>
      </c>
      <c r="CC63">
        <v>5064</v>
      </c>
      <c r="CD63">
        <v>2580</v>
      </c>
      <c r="CE63">
        <v>4908</v>
      </c>
      <c r="CF63">
        <v>2916</v>
      </c>
      <c r="CG63">
        <v>4000</v>
      </c>
      <c r="CH63">
        <v>2247</v>
      </c>
      <c r="CI63">
        <v>6833</v>
      </c>
    </row>
    <row r="64" spans="1:87" x14ac:dyDescent="0.3">
      <c r="A64" s="219">
        <f t="shared" si="12"/>
        <v>2016</v>
      </c>
      <c r="B64" s="210" t="s">
        <v>286</v>
      </c>
      <c r="C64" s="227">
        <v>52825</v>
      </c>
      <c r="D64" s="225">
        <v>3556</v>
      </c>
      <c r="E64" s="223">
        <f t="shared" si="3"/>
        <v>56381</v>
      </c>
      <c r="F64" s="225">
        <v>12575</v>
      </c>
      <c r="G64" s="208">
        <f t="shared" si="9"/>
        <v>68956</v>
      </c>
      <c r="H64" s="225">
        <v>25724</v>
      </c>
      <c r="I64" s="225">
        <v>4145</v>
      </c>
      <c r="J64" s="222">
        <f t="shared" si="10"/>
        <v>29869</v>
      </c>
      <c r="K64" s="225">
        <v>3001</v>
      </c>
      <c r="L64" s="226">
        <f t="shared" si="4"/>
        <v>32870</v>
      </c>
      <c r="M64" s="209">
        <f t="shared" si="11"/>
        <v>78549</v>
      </c>
      <c r="N64" s="209">
        <f t="shared" si="5"/>
        <v>7701</v>
      </c>
      <c r="O64" s="209">
        <f t="shared" si="6"/>
        <v>86250</v>
      </c>
      <c r="P64" s="209">
        <f t="shared" si="7"/>
        <v>15576</v>
      </c>
      <c r="Q64" s="209">
        <f t="shared" si="8"/>
        <v>101826</v>
      </c>
      <c r="R64" s="26"/>
      <c r="S64" s="235">
        <v>86250</v>
      </c>
      <c r="T64" s="235">
        <v>15576</v>
      </c>
      <c r="U64" s="235">
        <v>101826</v>
      </c>
      <c r="V64" s="388">
        <f t="shared" si="14"/>
        <v>0.84703317423840674</v>
      </c>
      <c r="BC64" t="s">
        <v>126</v>
      </c>
      <c r="BD64" s="47">
        <f>AVERAGE(AW47:AW56)</f>
        <v>1.2E-2</v>
      </c>
      <c r="BE64" s="47">
        <f>AVERAGE(BC47:BC56)</f>
        <v>6.2700000000000006E-2</v>
      </c>
      <c r="BF64">
        <v>0.01</v>
      </c>
      <c r="BI64" s="45">
        <v>2009</v>
      </c>
      <c r="BJ64" s="26">
        <v>3528</v>
      </c>
      <c r="BK64" s="25">
        <v>13884</v>
      </c>
      <c r="BL64" s="22" t="s">
        <v>124</v>
      </c>
      <c r="BM64" s="70" t="s">
        <v>124</v>
      </c>
      <c r="BN64" s="26">
        <v>154045</v>
      </c>
      <c r="BO64" s="71">
        <v>543195</v>
      </c>
      <c r="BP64" s="22" t="s">
        <v>124</v>
      </c>
      <c r="BQ64" s="22" t="s">
        <v>124</v>
      </c>
      <c r="BR64" s="26">
        <v>13727</v>
      </c>
      <c r="BS64" s="25">
        <v>44540</v>
      </c>
      <c r="BT64" s="26">
        <v>430319</v>
      </c>
      <c r="BU64" s="26">
        <v>171300</v>
      </c>
      <c r="BV64" s="71">
        <v>601619</v>
      </c>
      <c r="BX64" s="169">
        <v>1981</v>
      </c>
      <c r="BY64" s="170">
        <v>12957</v>
      </c>
      <c r="CA64">
        <v>2016</v>
      </c>
      <c r="CB64">
        <v>583</v>
      </c>
      <c r="CC64">
        <v>3300</v>
      </c>
      <c r="CD64">
        <v>2046</v>
      </c>
      <c r="CE64">
        <v>2556</v>
      </c>
      <c r="CF64">
        <v>1593</v>
      </c>
      <c r="CG64">
        <v>2385</v>
      </c>
      <c r="CH64">
        <v>1334</v>
      </c>
      <c r="CI64">
        <v>4894</v>
      </c>
    </row>
    <row r="65" spans="1:87" x14ac:dyDescent="0.3">
      <c r="A65" s="219">
        <v>2017</v>
      </c>
      <c r="B65" s="210" t="s">
        <v>218</v>
      </c>
      <c r="C65" s="237">
        <v>56705</v>
      </c>
      <c r="D65" s="233">
        <v>1606</v>
      </c>
      <c r="E65" s="224">
        <f>C65+D65</f>
        <v>58311</v>
      </c>
      <c r="F65" s="233">
        <v>11250</v>
      </c>
      <c r="G65" s="205">
        <f t="shared" si="9"/>
        <v>69561</v>
      </c>
      <c r="H65" s="233">
        <v>3808</v>
      </c>
      <c r="I65" s="233">
        <v>357</v>
      </c>
      <c r="J65" s="220">
        <f t="shared" si="10"/>
        <v>4165</v>
      </c>
      <c r="K65" s="238">
        <v>452</v>
      </c>
      <c r="L65" s="234">
        <f>K65+J65</f>
        <v>4617</v>
      </c>
      <c r="M65" s="206">
        <f t="shared" si="11"/>
        <v>60513</v>
      </c>
      <c r="N65" s="206">
        <f t="shared" si="5"/>
        <v>1963</v>
      </c>
      <c r="O65" s="206">
        <f t="shared" si="6"/>
        <v>62476</v>
      </c>
      <c r="P65" s="206">
        <f t="shared" si="7"/>
        <v>11702</v>
      </c>
      <c r="Q65" s="206">
        <f t="shared" si="8"/>
        <v>74178</v>
      </c>
      <c r="R65" s="26"/>
      <c r="S65" s="192">
        <v>59028</v>
      </c>
      <c r="T65" s="192">
        <v>10540</v>
      </c>
      <c r="U65" s="192">
        <f>T65+S65</f>
        <v>69568</v>
      </c>
      <c r="V65" s="388">
        <f>S65/U65</f>
        <v>0.84849356025758971</v>
      </c>
      <c r="BD65" s="47"/>
      <c r="BE65" s="47"/>
      <c r="BI65" s="45"/>
      <c r="BJ65" s="26"/>
      <c r="BK65" s="25"/>
      <c r="BL65" s="22"/>
      <c r="BM65" s="70"/>
      <c r="BN65" s="26"/>
      <c r="BO65" s="71"/>
      <c r="BP65" s="22"/>
      <c r="BQ65" s="22"/>
      <c r="BR65" s="26"/>
      <c r="BS65" s="25"/>
      <c r="BT65" s="26"/>
      <c r="BU65" s="26"/>
      <c r="BV65" s="71"/>
      <c r="BX65" s="169">
        <v>1982</v>
      </c>
      <c r="BY65" s="170">
        <v>20414</v>
      </c>
      <c r="CA65">
        <v>2017</v>
      </c>
      <c r="CB65">
        <v>313</v>
      </c>
      <c r="CD65">
        <v>1055</v>
      </c>
      <c r="CE65">
        <v>1699</v>
      </c>
      <c r="CF65">
        <v>1565</v>
      </c>
      <c r="CG65">
        <v>1021</v>
      </c>
      <c r="CH65">
        <v>627</v>
      </c>
      <c r="CI65">
        <v>1174</v>
      </c>
    </row>
    <row r="66" spans="1:87" x14ac:dyDescent="0.3">
      <c r="B66" s="211"/>
      <c r="C66" s="213" t="s">
        <v>287</v>
      </c>
      <c r="S66" s="187"/>
      <c r="T66" s="187"/>
      <c r="U66" s="187"/>
      <c r="V66" s="187"/>
      <c r="BC66" t="s">
        <v>127</v>
      </c>
      <c r="BD66" s="47">
        <f>AVERAGE(AX47:AX56)</f>
        <v>0.02</v>
      </c>
      <c r="BE66" s="47">
        <f>AVERAGE(BD47:BD56)</f>
        <v>0.16850000000000001</v>
      </c>
      <c r="BF66">
        <v>0.01</v>
      </c>
      <c r="BI66" s="45">
        <v>2010</v>
      </c>
      <c r="BJ66" s="26">
        <v>10357</v>
      </c>
      <c r="BK66" s="25">
        <v>29270</v>
      </c>
      <c r="BL66" s="22" t="s">
        <v>124</v>
      </c>
      <c r="BM66" s="70" t="s">
        <v>124</v>
      </c>
      <c r="BN66" s="26">
        <v>120531</v>
      </c>
      <c r="BO66" s="71">
        <v>304002</v>
      </c>
      <c r="BP66" s="22" t="s">
        <v>124</v>
      </c>
      <c r="BQ66" s="22" t="s">
        <v>124</v>
      </c>
      <c r="BR66" s="26">
        <v>22364</v>
      </c>
      <c r="BS66" s="25">
        <v>77146</v>
      </c>
      <c r="BT66" s="26">
        <v>257166</v>
      </c>
      <c r="BU66" s="26">
        <v>153252</v>
      </c>
      <c r="BV66" s="71">
        <v>410418</v>
      </c>
      <c r="BX66" s="169">
        <v>1983</v>
      </c>
      <c r="BY66" s="170">
        <v>32265</v>
      </c>
    </row>
    <row r="67" spans="1:87" x14ac:dyDescent="0.3">
      <c r="B67" s="211"/>
      <c r="C67" s="224"/>
      <c r="E67" s="224"/>
      <c r="F67" s="230"/>
      <c r="J67" s="224"/>
      <c r="K67" s="224"/>
      <c r="M67" s="224"/>
      <c r="O67" s="224"/>
      <c r="P67" s="224"/>
      <c r="Q67" s="224"/>
      <c r="R67" s="10"/>
      <c r="BI67" s="45">
        <v>2011</v>
      </c>
      <c r="BJ67" s="26">
        <v>2814</v>
      </c>
      <c r="BK67" s="25">
        <v>9750</v>
      </c>
      <c r="BL67" s="22" t="s">
        <v>124</v>
      </c>
      <c r="BM67" s="70" t="s">
        <v>124</v>
      </c>
      <c r="BN67" s="26">
        <v>101263</v>
      </c>
      <c r="BO67" s="71">
        <v>318125</v>
      </c>
      <c r="BP67" s="22" t="s">
        <v>124</v>
      </c>
      <c r="BQ67" s="22" t="s">
        <v>124</v>
      </c>
      <c r="BR67" s="26">
        <v>7771</v>
      </c>
      <c r="BS67" s="25">
        <v>36996</v>
      </c>
      <c r="BT67" s="26">
        <v>253023</v>
      </c>
      <c r="BU67" s="26">
        <v>111848</v>
      </c>
      <c r="BV67" s="71">
        <v>364871</v>
      </c>
      <c r="BX67" s="169">
        <v>1984</v>
      </c>
      <c r="BY67" s="170">
        <v>24593</v>
      </c>
      <c r="CB67" s="10">
        <f>GEOMEAN(CB56:CB65)</f>
        <v>610.12522379145923</v>
      </c>
      <c r="CC67" s="10">
        <f>GEOMEAN(CC56:CC65)</f>
        <v>342.56249558671271</v>
      </c>
      <c r="CD67" s="10">
        <f t="shared" ref="CD67:CI67" si="15">GEOMEAN(CD56:CD65)</f>
        <v>2039.3111004640555</v>
      </c>
      <c r="CE67" s="10">
        <f t="shared" si="15"/>
        <v>2628.1313350696291</v>
      </c>
      <c r="CF67" s="10">
        <f t="shared" si="15"/>
        <v>2326.5885472996156</v>
      </c>
      <c r="CG67" s="10">
        <f t="shared" si="15"/>
        <v>2471.5530522737649</v>
      </c>
      <c r="CH67" s="10">
        <f t="shared" si="15"/>
        <v>1222.2203637182322</v>
      </c>
      <c r="CI67" s="10">
        <f t="shared" si="15"/>
        <v>4265.8022102932846</v>
      </c>
    </row>
    <row r="68" spans="1:87" x14ac:dyDescent="0.3">
      <c r="B68" s="229" t="s">
        <v>288</v>
      </c>
      <c r="C68" s="224">
        <f>AVERAGE(C55:C64)</f>
        <v>101577.5</v>
      </c>
      <c r="D68" s="224">
        <f t="shared" ref="D68:Q68" si="16">AVERAGE(D55:D64)</f>
        <v>10720.9</v>
      </c>
      <c r="E68" s="224">
        <f t="shared" si="16"/>
        <v>112298.4</v>
      </c>
      <c r="F68" s="224">
        <f t="shared" si="16"/>
        <v>26297.7</v>
      </c>
      <c r="G68" s="224">
        <f t="shared" si="16"/>
        <v>138596.1</v>
      </c>
      <c r="H68" s="224">
        <f t="shared" si="16"/>
        <v>20165.3</v>
      </c>
      <c r="I68" s="224">
        <f t="shared" si="16"/>
        <v>3413</v>
      </c>
      <c r="J68" s="224">
        <f t="shared" si="16"/>
        <v>23578.3</v>
      </c>
      <c r="K68" s="224">
        <f t="shared" si="16"/>
        <v>4517.5</v>
      </c>
      <c r="L68" s="224">
        <f t="shared" si="16"/>
        <v>28095.8</v>
      </c>
      <c r="M68" s="224">
        <f t="shared" si="16"/>
        <v>121742.8</v>
      </c>
      <c r="N68" s="224">
        <f t="shared" si="16"/>
        <v>14133.9</v>
      </c>
      <c r="O68" s="224">
        <f t="shared" si="16"/>
        <v>135876.70000000001</v>
      </c>
      <c r="P68" s="224">
        <f t="shared" si="16"/>
        <v>30815.200000000001</v>
      </c>
      <c r="Q68" s="224">
        <f t="shared" si="16"/>
        <v>166691.9</v>
      </c>
      <c r="S68" s="370">
        <f>AVERAGE(S56:S65)</f>
        <v>127681.9</v>
      </c>
      <c r="T68" s="370">
        <f t="shared" ref="T68:U68" si="17">AVERAGE(T56:T65)</f>
        <v>30452.400000000001</v>
      </c>
      <c r="U68" s="370">
        <f t="shared" si="17"/>
        <v>158134.29999999999</v>
      </c>
      <c r="V68" s="173">
        <f>AVERAGE(V56:V65)</f>
        <v>0.80271329861921292</v>
      </c>
      <c r="BI68" s="45">
        <v>2012</v>
      </c>
      <c r="BJ68" s="26">
        <v>3023</v>
      </c>
      <c r="BK68" s="25">
        <v>3023</v>
      </c>
      <c r="BL68" s="22" t="s">
        <v>124</v>
      </c>
      <c r="BM68" s="70" t="s">
        <v>124</v>
      </c>
      <c r="BN68" s="26">
        <v>55464</v>
      </c>
      <c r="BO68" s="71">
        <v>192134</v>
      </c>
      <c r="BP68" s="22" t="s">
        <v>124</v>
      </c>
      <c r="BQ68" s="22" t="s">
        <v>124</v>
      </c>
      <c r="BR68" s="26">
        <v>6813</v>
      </c>
      <c r="BS68" s="25">
        <v>27723</v>
      </c>
      <c r="BT68" s="26">
        <v>165515</v>
      </c>
      <c r="BU68" s="26">
        <v>65300</v>
      </c>
      <c r="BV68" s="71">
        <v>222880</v>
      </c>
      <c r="BX68" s="169">
        <v>1985</v>
      </c>
      <c r="BY68" s="170">
        <v>34365</v>
      </c>
    </row>
    <row r="69" spans="1:87" x14ac:dyDescent="0.3">
      <c r="C69" s="224">
        <f>AVERAGE(C56:C65)</f>
        <v>97010.6</v>
      </c>
      <c r="D69" s="224">
        <f t="shared" ref="D69:Q69" si="18">AVERAGE(D56:D65)</f>
        <v>9417.2000000000007</v>
      </c>
      <c r="E69" s="224">
        <f t="shared" si="18"/>
        <v>106427.8</v>
      </c>
      <c r="F69" s="224">
        <f t="shared" si="18"/>
        <v>26298.5</v>
      </c>
      <c r="G69" s="224">
        <f t="shared" si="18"/>
        <v>132726.29999999999</v>
      </c>
      <c r="H69" s="224">
        <f t="shared" si="18"/>
        <v>18494.8</v>
      </c>
      <c r="I69" s="224">
        <f t="shared" si="18"/>
        <v>3104.1</v>
      </c>
      <c r="J69" s="224">
        <f t="shared" si="18"/>
        <v>21598.9</v>
      </c>
      <c r="K69" s="224">
        <f t="shared" si="18"/>
        <v>4270.3</v>
      </c>
      <c r="L69" s="224">
        <f t="shared" si="18"/>
        <v>25869.200000000001</v>
      </c>
      <c r="M69" s="224">
        <f t="shared" si="18"/>
        <v>115505.4</v>
      </c>
      <c r="N69" s="224">
        <f t="shared" si="18"/>
        <v>12521.3</v>
      </c>
      <c r="O69" s="224">
        <f t="shared" si="18"/>
        <v>128026.7</v>
      </c>
      <c r="P69" s="224">
        <f t="shared" si="18"/>
        <v>30568.799999999999</v>
      </c>
      <c r="Q69" s="224">
        <f t="shared" si="18"/>
        <v>158595.5</v>
      </c>
      <c r="BI69" s="45">
        <v>2013</v>
      </c>
      <c r="BJ69" s="26">
        <v>1661</v>
      </c>
      <c r="BK69" s="25">
        <v>5738</v>
      </c>
      <c r="BL69" s="22" t="s">
        <v>124</v>
      </c>
      <c r="BM69" s="70" t="s">
        <v>124</v>
      </c>
      <c r="BN69" s="26">
        <v>90496</v>
      </c>
      <c r="BO69" s="71">
        <v>214074</v>
      </c>
      <c r="BP69" s="22" t="s">
        <v>124</v>
      </c>
      <c r="BQ69" s="22" t="s">
        <v>124</v>
      </c>
      <c r="BR69" s="26">
        <v>2907</v>
      </c>
      <c r="BS69" s="25">
        <v>11511</v>
      </c>
      <c r="BT69" s="26">
        <v>136259</v>
      </c>
      <c r="BU69" s="26">
        <v>95064</v>
      </c>
      <c r="BV69" s="71">
        <v>231323</v>
      </c>
      <c r="BX69" s="169">
        <v>1986</v>
      </c>
      <c r="BY69" s="170">
        <v>39905</v>
      </c>
    </row>
    <row r="70" spans="1:87" x14ac:dyDescent="0.3">
      <c r="F70" s="213"/>
      <c r="BI70" s="45">
        <v>2014</v>
      </c>
      <c r="BJ70" s="26">
        <v>4782</v>
      </c>
      <c r="BK70" s="25">
        <v>13525</v>
      </c>
      <c r="BL70" s="22" t="s">
        <v>124</v>
      </c>
      <c r="BM70" s="70" t="s">
        <v>124</v>
      </c>
      <c r="BN70" s="26">
        <v>109279</v>
      </c>
      <c r="BO70" s="71">
        <v>260130</v>
      </c>
      <c r="BP70" s="22" t="s">
        <v>124</v>
      </c>
      <c r="BQ70" s="22" t="s">
        <v>124</v>
      </c>
      <c r="BR70" s="26">
        <v>13341</v>
      </c>
      <c r="BS70" s="25">
        <v>47057</v>
      </c>
      <c r="BT70" s="26">
        <v>193310</v>
      </c>
      <c r="BU70" s="26">
        <v>127402</v>
      </c>
      <c r="BV70" s="71">
        <v>320712</v>
      </c>
      <c r="BX70" s="169">
        <v>1987</v>
      </c>
      <c r="BY70" s="170">
        <v>30173</v>
      </c>
    </row>
    <row r="71" spans="1:87" x14ac:dyDescent="0.3">
      <c r="B71" s="229" t="s">
        <v>289</v>
      </c>
      <c r="C71" s="224">
        <f>GEOMEAN(C55:C64)</f>
        <v>93669.154070567893</v>
      </c>
      <c r="D71" s="224">
        <f t="shared" ref="D71:Q71" si="19">GEOMEAN(D55:D64)</f>
        <v>8385.6363126167253</v>
      </c>
      <c r="E71" s="224">
        <f t="shared" si="19"/>
        <v>102707.40337966853</v>
      </c>
      <c r="F71" s="236">
        <f t="shared" si="19"/>
        <v>24120.973542433479</v>
      </c>
      <c r="G71" s="224">
        <f t="shared" si="19"/>
        <v>128433.32016071196</v>
      </c>
      <c r="H71" s="224">
        <f t="shared" si="19"/>
        <v>17508.847236988084</v>
      </c>
      <c r="I71" s="224">
        <f t="shared" si="19"/>
        <v>3077.0562417606416</v>
      </c>
      <c r="J71" s="224">
        <f t="shared" si="19"/>
        <v>20689.897529835747</v>
      </c>
      <c r="K71" s="236">
        <f t="shared" si="19"/>
        <v>4065.7384744562764</v>
      </c>
      <c r="L71" s="224">
        <f t="shared" si="19"/>
        <v>25002.407170657625</v>
      </c>
      <c r="M71" s="224">
        <f t="shared" si="19"/>
        <v>114167.86479925594</v>
      </c>
      <c r="N71" s="224">
        <f t="shared" si="19"/>
        <v>12018.229940566218</v>
      </c>
      <c r="O71" s="224">
        <f t="shared" si="19"/>
        <v>126713.30154196756</v>
      </c>
      <c r="P71" s="236">
        <f t="shared" si="19"/>
        <v>28530.432335005953</v>
      </c>
      <c r="Q71" s="224">
        <f t="shared" si="19"/>
        <v>157066.47609516047</v>
      </c>
      <c r="BI71" s="45">
        <v>2015</v>
      </c>
      <c r="BJ71" s="26">
        <v>3664</v>
      </c>
      <c r="BK71" s="25">
        <v>8131</v>
      </c>
      <c r="BL71" s="22" t="s">
        <v>124</v>
      </c>
      <c r="BM71" s="70" t="s">
        <v>124</v>
      </c>
      <c r="BN71" s="26">
        <v>84896</v>
      </c>
      <c r="BO71" s="71">
        <v>234382</v>
      </c>
      <c r="BP71" s="22" t="s">
        <v>124</v>
      </c>
      <c r="BQ71" s="22" t="s">
        <v>124</v>
      </c>
      <c r="BR71" s="26">
        <v>5842</v>
      </c>
      <c r="BS71" s="25">
        <v>18848</v>
      </c>
      <c r="BT71" s="26">
        <v>166959</v>
      </c>
      <c r="BU71" s="26">
        <v>94402</v>
      </c>
      <c r="BV71" s="71">
        <v>261361</v>
      </c>
      <c r="BX71" s="169">
        <v>1988</v>
      </c>
      <c r="BY71" s="170">
        <v>21328</v>
      </c>
    </row>
    <row r="72" spans="1:87" ht="15" thickBot="1" x14ac:dyDescent="0.35">
      <c r="C72" s="224">
        <f>GEOMEAN(C56:C65)</f>
        <v>88295.743180079764</v>
      </c>
      <c r="D72" s="224">
        <f t="shared" ref="D72:Q72" si="20">GEOMEAN(D56:D65)</f>
        <v>6722.7594346482665</v>
      </c>
      <c r="E72" s="224">
        <f t="shared" si="20"/>
        <v>95796.998626984045</v>
      </c>
      <c r="F72" s="224">
        <f t="shared" si="20"/>
        <v>24122.689482858143</v>
      </c>
      <c r="G72" s="224">
        <f t="shared" si="20"/>
        <v>120810.72941818963</v>
      </c>
      <c r="H72" s="224">
        <f t="shared" si="20"/>
        <v>14795.318869255205</v>
      </c>
      <c r="I72" s="224">
        <f t="shared" si="20"/>
        <v>2452.8485208420598</v>
      </c>
      <c r="J72" s="224">
        <f t="shared" si="20"/>
        <v>17368.926268373001</v>
      </c>
      <c r="K72" s="224">
        <f t="shared" si="20"/>
        <v>3373.30450406727</v>
      </c>
      <c r="L72" s="224">
        <f t="shared" si="20"/>
        <v>20963.801447013167</v>
      </c>
      <c r="M72" s="224">
        <f t="shared" si="20"/>
        <v>106359.95698831911</v>
      </c>
      <c r="N72" s="224">
        <f t="shared" si="20"/>
        <v>9624.7860215602395</v>
      </c>
      <c r="O72" s="224">
        <f t="shared" si="20"/>
        <v>116809.72727023051</v>
      </c>
      <c r="P72" s="224">
        <f t="shared" si="20"/>
        <v>27990.434388151185</v>
      </c>
      <c r="Q72" s="224">
        <f t="shared" si="20"/>
        <v>145894.21564550928</v>
      </c>
      <c r="BI72" s="52">
        <v>2016</v>
      </c>
      <c r="BJ72" s="29">
        <v>4436</v>
      </c>
      <c r="BK72" s="28">
        <v>12238</v>
      </c>
      <c r="BL72" s="29">
        <v>92225</v>
      </c>
      <c r="BM72" s="28">
        <v>7519</v>
      </c>
      <c r="BN72" s="29">
        <v>29146</v>
      </c>
      <c r="BO72" s="72">
        <v>128890</v>
      </c>
      <c r="BP72" s="29">
        <v>33839</v>
      </c>
      <c r="BQ72" s="29">
        <v>5608</v>
      </c>
      <c r="BR72" s="29">
        <v>3469</v>
      </c>
      <c r="BS72" s="28">
        <v>42916</v>
      </c>
      <c r="BT72" s="26">
        <v>146993</v>
      </c>
      <c r="BU72" s="29">
        <v>37051</v>
      </c>
      <c r="BV72" s="72">
        <v>184044</v>
      </c>
      <c r="BX72" s="169">
        <v>1989</v>
      </c>
      <c r="BY72" s="170">
        <v>38287</v>
      </c>
    </row>
    <row r="73" spans="1:87" x14ac:dyDescent="0.3">
      <c r="BX73" s="169">
        <v>1990</v>
      </c>
      <c r="BY73" s="170">
        <v>30522</v>
      </c>
      <c r="BZ73" s="173"/>
    </row>
    <row r="74" spans="1:87" x14ac:dyDescent="0.3">
      <c r="BX74" s="169">
        <v>1991</v>
      </c>
      <c r="BY74" s="170">
        <v>26438</v>
      </c>
      <c r="BZ74" s="173">
        <f t="shared" ref="BZ74:BZ100" si="21">BY74/O39</f>
        <v>0.32332941982193525</v>
      </c>
    </row>
    <row r="75" spans="1:87" x14ac:dyDescent="0.3">
      <c r="BX75" s="169">
        <v>1992</v>
      </c>
      <c r="BY75" s="170">
        <v>36952</v>
      </c>
      <c r="BZ75" s="173">
        <f t="shared" si="21"/>
        <v>0.3390527223680106</v>
      </c>
    </row>
    <row r="76" spans="1:87" x14ac:dyDescent="0.3">
      <c r="BX76" s="169">
        <v>1993</v>
      </c>
      <c r="BY76" s="170">
        <v>34842</v>
      </c>
      <c r="BZ76" s="173">
        <f t="shared" si="21"/>
        <v>0.68923089096376011</v>
      </c>
    </row>
    <row r="77" spans="1:87" x14ac:dyDescent="0.3">
      <c r="BX77" s="169">
        <v>1994</v>
      </c>
      <c r="BY77" s="170">
        <v>21149</v>
      </c>
      <c r="BZ77" s="173">
        <f t="shared" si="21"/>
        <v>0.5404252057034804</v>
      </c>
    </row>
    <row r="78" spans="1:87" x14ac:dyDescent="0.3">
      <c r="BX78" s="169">
        <v>1995</v>
      </c>
      <c r="BY78" s="170">
        <v>22419</v>
      </c>
      <c r="BZ78" s="173">
        <f t="shared" si="21"/>
        <v>0.31536081024054013</v>
      </c>
    </row>
    <row r="79" spans="1:87" x14ac:dyDescent="0.3">
      <c r="BX79" s="169">
        <v>1996</v>
      </c>
      <c r="BY79" s="170">
        <v>26243</v>
      </c>
      <c r="BZ79" s="173">
        <f t="shared" si="21"/>
        <v>0.33099160003027017</v>
      </c>
    </row>
    <row r="80" spans="1:87" x14ac:dyDescent="0.3">
      <c r="BX80" s="169">
        <v>1997</v>
      </c>
      <c r="BY80" s="170">
        <v>32853</v>
      </c>
      <c r="BZ80" s="173">
        <f t="shared" si="21"/>
        <v>0.42174923296147476</v>
      </c>
    </row>
    <row r="81" spans="76:78" x14ac:dyDescent="0.3">
      <c r="BX81" s="169">
        <v>1998</v>
      </c>
      <c r="BY81" s="170">
        <v>28416</v>
      </c>
      <c r="BZ81" s="173">
        <f t="shared" si="21"/>
        <v>0.46365460864457386</v>
      </c>
    </row>
    <row r="82" spans="76:78" x14ac:dyDescent="0.3">
      <c r="BX82" s="169">
        <v>1999</v>
      </c>
      <c r="BY82" s="170">
        <v>31843</v>
      </c>
      <c r="BZ82" s="173">
        <f t="shared" si="21"/>
        <v>0.50582180356774098</v>
      </c>
    </row>
    <row r="83" spans="76:78" x14ac:dyDescent="0.3">
      <c r="BX83" s="169">
        <v>2000</v>
      </c>
      <c r="BY83" s="170">
        <v>28882</v>
      </c>
      <c r="BZ83" s="173">
        <f t="shared" si="21"/>
        <v>0.29859294716056528</v>
      </c>
    </row>
    <row r="84" spans="76:78" x14ac:dyDescent="0.3">
      <c r="BX84" s="169">
        <v>2001</v>
      </c>
      <c r="BY84" s="170">
        <v>69536</v>
      </c>
      <c r="BZ84" s="173">
        <f t="shared" si="21"/>
        <v>0.30534807027713007</v>
      </c>
    </row>
    <row r="85" spans="76:78" x14ac:dyDescent="0.3">
      <c r="BX85" s="169">
        <v>2002</v>
      </c>
      <c r="BY85" s="170">
        <v>90308</v>
      </c>
      <c r="BZ85" s="173">
        <f t="shared" si="21"/>
        <v>0.5010291547615745</v>
      </c>
    </row>
    <row r="86" spans="76:78" x14ac:dyDescent="0.3">
      <c r="BX86" s="169">
        <v>2003</v>
      </c>
      <c r="BY86" s="170">
        <v>78674</v>
      </c>
      <c r="BZ86" s="173">
        <f t="shared" si="21"/>
        <v>0.54877096063167885</v>
      </c>
    </row>
    <row r="87" spans="76:78" x14ac:dyDescent="0.3">
      <c r="BX87" s="169">
        <v>2004</v>
      </c>
      <c r="BY87" s="170">
        <v>67308</v>
      </c>
      <c r="BZ87" s="173">
        <f t="shared" si="21"/>
        <v>0.52349212521874389</v>
      </c>
    </row>
    <row r="88" spans="76:78" x14ac:dyDescent="0.3">
      <c r="BX88" s="169">
        <v>2005</v>
      </c>
      <c r="BY88" s="170">
        <v>53311</v>
      </c>
      <c r="BZ88" s="173">
        <f t="shared" si="21"/>
        <v>0.38069768272217658</v>
      </c>
    </row>
    <row r="89" spans="76:78" x14ac:dyDescent="0.3">
      <c r="BX89" s="169">
        <v>2006</v>
      </c>
      <c r="BY89" s="170">
        <v>51374</v>
      </c>
      <c r="BZ89" s="173">
        <f t="shared" si="21"/>
        <v>0.36786102995932862</v>
      </c>
    </row>
    <row r="90" spans="76:78" x14ac:dyDescent="0.3">
      <c r="BX90" s="169">
        <v>2007</v>
      </c>
      <c r="BY90" s="170">
        <v>57748</v>
      </c>
      <c r="BZ90" s="173">
        <f t="shared" si="21"/>
        <v>0.40963000794461468</v>
      </c>
    </row>
    <row r="91" spans="76:78" x14ac:dyDescent="0.3">
      <c r="BX91" s="171">
        <v>2008</v>
      </c>
      <c r="BY91" s="172">
        <v>56894</v>
      </c>
      <c r="BZ91" s="174">
        <f t="shared" si="21"/>
        <v>0.36706990548082197</v>
      </c>
    </row>
    <row r="92" spans="76:78" x14ac:dyDescent="0.3">
      <c r="BX92" s="171">
        <v>2009</v>
      </c>
      <c r="BY92" s="172">
        <v>87557</v>
      </c>
      <c r="BZ92" s="174">
        <f t="shared" si="21"/>
        <v>0.31198711530307188</v>
      </c>
    </row>
    <row r="93" spans="76:78" x14ac:dyDescent="0.3">
      <c r="BX93" s="171">
        <v>2010</v>
      </c>
      <c r="BY93" s="172">
        <v>97585</v>
      </c>
      <c r="BZ93" s="174">
        <f t="shared" si="21"/>
        <v>0.59443967276426479</v>
      </c>
    </row>
    <row r="94" spans="76:78" x14ac:dyDescent="0.3">
      <c r="BX94" s="171">
        <v>2011</v>
      </c>
      <c r="BY94" s="172">
        <v>64682</v>
      </c>
      <c r="BZ94" s="174">
        <f t="shared" si="21"/>
        <v>0.45912181825925241</v>
      </c>
    </row>
    <row r="95" spans="76:78" x14ac:dyDescent="0.3">
      <c r="BX95" s="171">
        <v>2012</v>
      </c>
      <c r="BY95" s="172">
        <v>58180</v>
      </c>
      <c r="BZ95" s="174">
        <f t="shared" si="21"/>
        <v>0.67617354113640848</v>
      </c>
    </row>
    <row r="96" spans="76:78" x14ac:dyDescent="0.3">
      <c r="BX96" s="171">
        <v>2013</v>
      </c>
      <c r="BY96" s="172">
        <v>40564</v>
      </c>
      <c r="BZ96" s="174">
        <f t="shared" si="21"/>
        <v>0.48990929842147851</v>
      </c>
    </row>
    <row r="97" spans="76:78" x14ac:dyDescent="0.3">
      <c r="BX97" s="171">
        <v>2014</v>
      </c>
      <c r="BY97" s="172">
        <v>34648</v>
      </c>
      <c r="BZ97" s="174">
        <f t="shared" si="21"/>
        <v>0.28921053070900321</v>
      </c>
    </row>
    <row r="98" spans="76:78" x14ac:dyDescent="0.3">
      <c r="BX98" s="171">
        <v>2015</v>
      </c>
      <c r="BY98" s="172">
        <v>40494</v>
      </c>
      <c r="BZ98" s="174">
        <f t="shared" si="21"/>
        <v>0.39616882227483513</v>
      </c>
    </row>
    <row r="99" spans="76:78" x14ac:dyDescent="0.3">
      <c r="BX99" s="171">
        <v>2016</v>
      </c>
      <c r="BY99" s="172">
        <v>37773</v>
      </c>
      <c r="BZ99" s="174">
        <f t="shared" si="21"/>
        <v>0.43794782608695654</v>
      </c>
    </row>
    <row r="100" spans="76:78" x14ac:dyDescent="0.3">
      <c r="BX100" s="171">
        <v>2017</v>
      </c>
      <c r="BY100" s="172">
        <v>9838</v>
      </c>
      <c r="BZ100" s="174">
        <f t="shared" si="21"/>
        <v>0.15746846789167041</v>
      </c>
    </row>
    <row r="102" spans="76:78" x14ac:dyDescent="0.3">
      <c r="BY102" s="16">
        <f>AVERAGE(BY91:BY100)</f>
        <v>52821.5</v>
      </c>
      <c r="BZ102" s="175">
        <f>AVERAGE(BZ91:BZ100)</f>
        <v>0.4179496998327763</v>
      </c>
    </row>
  </sheetData>
  <mergeCells count="63">
    <mergeCell ref="X4:X7"/>
    <mergeCell ref="B4:B5"/>
    <mergeCell ref="C4:C5"/>
    <mergeCell ref="D4:F4"/>
    <mergeCell ref="G4:G5"/>
    <mergeCell ref="H4:H5"/>
    <mergeCell ref="K4:K5"/>
    <mergeCell ref="L4:L5"/>
    <mergeCell ref="M4:M5"/>
    <mergeCell ref="P4:P5"/>
    <mergeCell ref="Q4:Q5"/>
    <mergeCell ref="D5:F5"/>
    <mergeCell ref="T5:T7"/>
    <mergeCell ref="S5:S7"/>
    <mergeCell ref="U5:U7"/>
    <mergeCell ref="Y5:Z6"/>
    <mergeCell ref="AA5:AB5"/>
    <mergeCell ref="AA6:AB6"/>
    <mergeCell ref="AC5:AD5"/>
    <mergeCell ref="AC6:AD6"/>
    <mergeCell ref="Y4:AB4"/>
    <mergeCell ref="AC4:AF4"/>
    <mergeCell ref="AG4:AJ4"/>
    <mergeCell ref="AK4:AM4"/>
    <mergeCell ref="AP4:AQ4"/>
    <mergeCell ref="AK5:AN5"/>
    <mergeCell ref="AK6:AN6"/>
    <mergeCell ref="AO5:AP6"/>
    <mergeCell ref="AQ5:AR6"/>
    <mergeCell ref="AE5:AF5"/>
    <mergeCell ref="AE6:AF6"/>
    <mergeCell ref="AG5:AH5"/>
    <mergeCell ref="AG6:AH6"/>
    <mergeCell ref="AI5:AJ5"/>
    <mergeCell ref="AI6:AJ6"/>
    <mergeCell ref="AU6:AV6"/>
    <mergeCell ref="AW6:AX6"/>
    <mergeCell ref="AY6:AZ6"/>
    <mergeCell ref="AT6:AT7"/>
    <mergeCell ref="AU7:AV7"/>
    <mergeCell ref="BF6:BF7"/>
    <mergeCell ref="BM6:BN6"/>
    <mergeCell ref="BM7:BN7"/>
    <mergeCell ref="AW7:AX7"/>
    <mergeCell ref="AY7:AZ7"/>
    <mergeCell ref="BB6:BB7"/>
    <mergeCell ref="BC6:BD6"/>
    <mergeCell ref="BC7:BD7"/>
    <mergeCell ref="BE6:BE7"/>
    <mergeCell ref="BU6:BU7"/>
    <mergeCell ref="BV6:BV7"/>
    <mergeCell ref="BI5:BI7"/>
    <mergeCell ref="BJ5:BK5"/>
    <mergeCell ref="BM5:BN5"/>
    <mergeCell ref="BJ6:BJ7"/>
    <mergeCell ref="BK6:BK7"/>
    <mergeCell ref="BL6:BL7"/>
    <mergeCell ref="BO6:BO7"/>
    <mergeCell ref="BP6:BP7"/>
    <mergeCell ref="BQ6:BQ7"/>
    <mergeCell ref="BR6:BR7"/>
    <mergeCell ref="BS6:BS7"/>
    <mergeCell ref="BT6:BT7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4E2EB-66E1-4132-8BB0-35B5625F5F37}">
  <dimension ref="A1:AA4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" sqref="F1"/>
    </sheetView>
  </sheetViews>
  <sheetFormatPr defaultRowHeight="14.4" x14ac:dyDescent="0.3"/>
  <cols>
    <col min="1" max="1" width="8.88671875" customWidth="1"/>
    <col min="2" max="2" width="32.6640625" customWidth="1"/>
    <col min="3" max="3" width="10.6640625" customWidth="1"/>
    <col min="4" max="6" width="8.88671875" style="164"/>
    <col min="7" max="7" width="2.109375" style="164" customWidth="1"/>
    <col min="8" max="8" width="8.33203125" customWidth="1"/>
    <col min="9" max="9" width="9.6640625" customWidth="1"/>
    <col min="10" max="10" width="2.6640625" style="164" customWidth="1"/>
    <col min="11" max="11" width="7.33203125" style="164" customWidth="1"/>
    <col min="12" max="13" width="8.88671875" style="164"/>
    <col min="14" max="14" width="2.33203125" style="164" customWidth="1"/>
    <col min="15" max="15" width="5.5546875" style="164" bestFit="1" customWidth="1"/>
    <col min="16" max="17" width="8.88671875" style="164"/>
    <col min="18" max="18" width="3.33203125" style="164" customWidth="1"/>
    <col min="19" max="19" width="6.5546875" style="164" customWidth="1"/>
    <col min="20" max="20" width="8.88671875" style="164"/>
    <col min="21" max="21" width="9.33203125" style="164" customWidth="1"/>
    <col min="22" max="22" width="2.88671875" style="164" customWidth="1"/>
    <col min="23" max="23" width="5.5546875" style="164" bestFit="1" customWidth="1"/>
    <col min="24" max="24" width="8.88671875" style="164"/>
    <col min="25" max="25" width="10.33203125" style="164" customWidth="1"/>
  </cols>
  <sheetData>
    <row r="1" spans="1:25" x14ac:dyDescent="0.3">
      <c r="D1"/>
      <c r="E1"/>
      <c r="F1"/>
      <c r="G1"/>
      <c r="J1"/>
      <c r="K1"/>
      <c r="L1" t="s">
        <v>304</v>
      </c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3">
      <c r="D2" s="163"/>
      <c r="E2"/>
      <c r="F2"/>
      <c r="G2"/>
      <c r="H2" t="s">
        <v>232</v>
      </c>
      <c r="J2"/>
      <c r="K2"/>
      <c r="L2" t="s">
        <v>233</v>
      </c>
      <c r="M2"/>
      <c r="N2"/>
      <c r="O2"/>
      <c r="P2" t="s">
        <v>6</v>
      </c>
      <c r="Q2"/>
      <c r="R2"/>
      <c r="S2"/>
      <c r="T2" t="s">
        <v>234</v>
      </c>
      <c r="U2"/>
      <c r="V2"/>
      <c r="W2"/>
      <c r="X2" t="s">
        <v>8</v>
      </c>
      <c r="Y2"/>
    </row>
    <row r="3" spans="1:25" x14ac:dyDescent="0.3">
      <c r="D3"/>
      <c r="E3"/>
      <c r="F3"/>
      <c r="G3"/>
      <c r="H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3">
      <c r="C4" t="s">
        <v>300</v>
      </c>
      <c r="D4" s="9" t="s">
        <v>235</v>
      </c>
      <c r="E4" s="9" t="s">
        <v>236</v>
      </c>
      <c r="F4" s="9" t="s">
        <v>237</v>
      </c>
      <c r="G4"/>
      <c r="H4" s="9" t="s">
        <v>238</v>
      </c>
      <c r="I4" s="9" t="s">
        <v>239</v>
      </c>
      <c r="J4"/>
      <c r="K4"/>
      <c r="L4" s="16" t="s">
        <v>238</v>
      </c>
      <c r="M4" t="s">
        <v>239</v>
      </c>
      <c r="N4"/>
      <c r="O4"/>
      <c r="P4" s="16" t="s">
        <v>238</v>
      </c>
      <c r="Q4" t="s">
        <v>239</v>
      </c>
      <c r="R4"/>
      <c r="S4"/>
      <c r="T4" s="16" t="s">
        <v>238</v>
      </c>
      <c r="U4" t="s">
        <v>239</v>
      </c>
      <c r="V4"/>
      <c r="W4"/>
      <c r="X4" s="16" t="s">
        <v>238</v>
      </c>
      <c r="Y4" t="s">
        <v>239</v>
      </c>
    </row>
    <row r="5" spans="1:25" x14ac:dyDescent="0.3">
      <c r="A5" t="s">
        <v>240</v>
      </c>
      <c r="B5" t="s">
        <v>264</v>
      </c>
      <c r="D5" s="179"/>
      <c r="E5" s="9"/>
      <c r="F5" s="9"/>
      <c r="H5" s="246">
        <f t="shared" ref="H5:H10" si="0">E6*H6</f>
        <v>30235.459146807258</v>
      </c>
      <c r="I5" s="9"/>
      <c r="K5"/>
      <c r="L5" s="252">
        <f>C8*(1-K7)</f>
        <v>30184</v>
      </c>
      <c r="M5"/>
      <c r="P5" s="252">
        <f>L5</f>
        <v>30184</v>
      </c>
      <c r="Q5"/>
      <c r="T5" s="252">
        <f>P5*Summary!Z51/Summary!V51</f>
        <v>80850</v>
      </c>
      <c r="U5"/>
      <c r="V5"/>
      <c r="W5"/>
      <c r="X5" s="252">
        <f>P5*Summary!AA51/Summary!V51</f>
        <v>141757</v>
      </c>
      <c r="Y5"/>
    </row>
    <row r="6" spans="1:25" x14ac:dyDescent="0.3">
      <c r="B6" t="s">
        <v>241</v>
      </c>
      <c r="D6" s="176">
        <v>0</v>
      </c>
      <c r="E6" s="245">
        <f t="shared" ref="E6:E15" si="1">1-D6</f>
        <v>1</v>
      </c>
      <c r="F6" s="245">
        <f t="shared" ref="F6:F14" si="2">E6*F7</f>
        <v>0.79776937062815989</v>
      </c>
      <c r="H6" s="10">
        <f>E7*H8</f>
        <v>30235.459146807258</v>
      </c>
      <c r="I6" s="10">
        <f t="shared" ref="I6:I11" si="3">H6-H5</f>
        <v>0</v>
      </c>
      <c r="J6" s="178"/>
      <c r="K6" s="245">
        <f>$D6</f>
        <v>0</v>
      </c>
      <c r="L6" s="10">
        <f>L5/(1-K6)</f>
        <v>30184</v>
      </c>
      <c r="M6" s="10">
        <f>L6-L5</f>
        <v>0</v>
      </c>
      <c r="O6" s="245">
        <f>$D6</f>
        <v>0</v>
      </c>
      <c r="P6" s="10">
        <f>P5/(1-O6)</f>
        <v>30184</v>
      </c>
      <c r="Q6" s="10">
        <f>P6-P5</f>
        <v>0</v>
      </c>
      <c r="S6" s="245">
        <f>$D6</f>
        <v>0</v>
      </c>
      <c r="T6" s="10">
        <f>T5/(1-S6)</f>
        <v>80850</v>
      </c>
      <c r="U6" s="10">
        <f>T6-T5</f>
        <v>0</v>
      </c>
      <c r="W6" s="245">
        <f>$D6</f>
        <v>0</v>
      </c>
      <c r="X6" s="10">
        <f>X5/(1-W6)</f>
        <v>141757</v>
      </c>
      <c r="Y6" s="10">
        <f>X6-X5</f>
        <v>0</v>
      </c>
    </row>
    <row r="7" spans="1:25" x14ac:dyDescent="0.3">
      <c r="B7" t="s">
        <v>242</v>
      </c>
      <c r="D7" s="250">
        <v>0.02</v>
      </c>
      <c r="E7" s="245">
        <f t="shared" si="1"/>
        <v>0.98</v>
      </c>
      <c r="F7" s="245">
        <f>E7*F9</f>
        <v>0.79776937062815989</v>
      </c>
      <c r="I7" s="10">
        <f>H8-H6</f>
        <v>617.05018666953765</v>
      </c>
      <c r="J7" s="178"/>
      <c r="K7" s="245">
        <f>$D7</f>
        <v>0.02</v>
      </c>
      <c r="L7"/>
      <c r="M7" s="247">
        <f>L8-L6</f>
        <v>616</v>
      </c>
      <c r="O7" s="245">
        <f t="shared" ref="O7:O10" si="4">$D7</f>
        <v>0.02</v>
      </c>
      <c r="P7"/>
      <c r="Q7" s="10">
        <f>P8-P6</f>
        <v>616</v>
      </c>
      <c r="S7" s="262">
        <f>$D7*S$25</f>
        <v>2.8784644880060193E-2</v>
      </c>
      <c r="T7"/>
      <c r="U7" s="10">
        <f>T8-T6</f>
        <v>2396.2126692956372</v>
      </c>
      <c r="W7" s="262">
        <f>$D7*W$25</f>
        <v>3.7635109288340914E-2</v>
      </c>
      <c r="X7"/>
      <c r="Y7" s="10">
        <f>X8-X6</f>
        <v>5543.6770801583771</v>
      </c>
    </row>
    <row r="8" spans="1:25" x14ac:dyDescent="0.3">
      <c r="B8" s="251" t="s">
        <v>301</v>
      </c>
      <c r="C8" s="10">
        <f>Summary!AH42</f>
        <v>30800</v>
      </c>
      <c r="D8" s="249"/>
      <c r="E8" s="245"/>
      <c r="F8" s="245"/>
      <c r="H8" s="246">
        <f>E9*H9</f>
        <v>30852.509333476795</v>
      </c>
      <c r="I8" s="10"/>
      <c r="J8" s="178"/>
      <c r="K8" s="245"/>
      <c r="L8" s="246">
        <f>L6/(1-K7)</f>
        <v>30800</v>
      </c>
      <c r="M8" s="10"/>
      <c r="O8" s="245"/>
      <c r="P8" s="246">
        <f>P6/(1-O7)</f>
        <v>30800</v>
      </c>
      <c r="Q8" s="10"/>
      <c r="S8" s="245"/>
      <c r="T8" s="246">
        <f>T6/(1-S7)</f>
        <v>83246.212669295637</v>
      </c>
      <c r="U8" s="10"/>
      <c r="W8" s="245"/>
      <c r="X8" s="246">
        <f>X6/(1-W7)</f>
        <v>147300.67708015838</v>
      </c>
      <c r="Y8" s="10"/>
    </row>
    <row r="9" spans="1:25" x14ac:dyDescent="0.3">
      <c r="B9" t="s">
        <v>243</v>
      </c>
      <c r="D9" s="249">
        <f>1-0.942</f>
        <v>5.8000000000000052E-2</v>
      </c>
      <c r="E9" s="245">
        <f t="shared" si="1"/>
        <v>0.94199999999999995</v>
      </c>
      <c r="F9" s="245">
        <f t="shared" si="2"/>
        <v>0.81405037819199988</v>
      </c>
      <c r="H9" s="10">
        <f t="shared" si="0"/>
        <v>32752.133050399996</v>
      </c>
      <c r="I9" s="10">
        <f>H9-H8</f>
        <v>1899.6237169232008</v>
      </c>
      <c r="J9" s="178"/>
      <c r="K9" s="245">
        <f>$D9</f>
        <v>5.8000000000000052E-2</v>
      </c>
      <c r="L9" s="10">
        <f>L8/(1-K9)</f>
        <v>32696.390658174099</v>
      </c>
      <c r="M9" s="10">
        <f>L9-L8</f>
        <v>1896.3906581740994</v>
      </c>
      <c r="O9" s="245">
        <f t="shared" si="4"/>
        <v>5.8000000000000052E-2</v>
      </c>
      <c r="P9" s="10">
        <f>P8/(1-O9)</f>
        <v>32696.390658174099</v>
      </c>
      <c r="Q9" s="10">
        <f>P9-P8</f>
        <v>1896.3906581740994</v>
      </c>
      <c r="S9" s="245">
        <f t="shared" ref="S9:S10" si="5">$D9</f>
        <v>5.8000000000000052E-2</v>
      </c>
      <c r="T9" s="10">
        <f>T8/(1-S9)</f>
        <v>88371.775657426377</v>
      </c>
      <c r="U9" s="10">
        <f>T9-T8</f>
        <v>5125.5629881307395</v>
      </c>
      <c r="W9" s="245">
        <f t="shared" ref="W9:W10" si="6">$D9</f>
        <v>5.8000000000000052E-2</v>
      </c>
      <c r="X9" s="10">
        <f>X8/(1-W9)</f>
        <v>156370.145520338</v>
      </c>
      <c r="Y9" s="10">
        <f>X9-X8</f>
        <v>9069.4684401796258</v>
      </c>
    </row>
    <row r="10" spans="1:25" x14ac:dyDescent="0.3">
      <c r="B10" t="s">
        <v>244</v>
      </c>
      <c r="D10" s="250">
        <v>0</v>
      </c>
      <c r="E10" s="245">
        <f t="shared" si="1"/>
        <v>1</v>
      </c>
      <c r="F10" s="245">
        <f t="shared" si="2"/>
        <v>0.86417237599999996</v>
      </c>
      <c r="H10" s="10">
        <f t="shared" si="0"/>
        <v>32752.133050399996</v>
      </c>
      <c r="I10" s="10">
        <f t="shared" si="3"/>
        <v>0</v>
      </c>
      <c r="J10" s="178"/>
      <c r="K10" s="245">
        <f>$D10</f>
        <v>0</v>
      </c>
      <c r="L10" s="10">
        <f t="shared" ref="L10:L11" si="7">L9/(1-K10)</f>
        <v>32696.390658174099</v>
      </c>
      <c r="M10" s="247">
        <f t="shared" ref="M10:M11" si="8">L10-L9</f>
        <v>0</v>
      </c>
      <c r="O10" s="245">
        <f t="shared" si="4"/>
        <v>0</v>
      </c>
      <c r="P10" s="10">
        <f t="shared" ref="P10:P11" si="9">P9/(1-O10)</f>
        <v>32696.390658174099</v>
      </c>
      <c r="Q10" s="10">
        <f t="shared" ref="Q10:Q11" si="10">P10-P9</f>
        <v>0</v>
      </c>
      <c r="S10" s="245">
        <f t="shared" si="5"/>
        <v>0</v>
      </c>
      <c r="T10" s="10">
        <f t="shared" ref="T10:T11" si="11">T9/(1-S10)</f>
        <v>88371.775657426377</v>
      </c>
      <c r="U10" s="10">
        <f t="shared" ref="U10:U11" si="12">T10-T9</f>
        <v>0</v>
      </c>
      <c r="W10" s="245">
        <f t="shared" si="6"/>
        <v>0</v>
      </c>
      <c r="X10" s="10">
        <f t="shared" ref="X10:X11" si="13">X9/(1-W10)</f>
        <v>156370.145520338</v>
      </c>
      <c r="Y10" s="10">
        <f t="shared" ref="Y10:Y11" si="14">X10-X9</f>
        <v>0</v>
      </c>
    </row>
    <row r="11" spans="1:25" x14ac:dyDescent="0.3">
      <c r="B11" t="s">
        <v>245</v>
      </c>
      <c r="D11" s="249">
        <f>1-0.956</f>
        <v>4.4000000000000039E-2</v>
      </c>
      <c r="E11" s="245">
        <f t="shared" si="1"/>
        <v>0.95599999999999996</v>
      </c>
      <c r="F11" s="245">
        <f t="shared" si="2"/>
        <v>0.86417237599999996</v>
      </c>
      <c r="H11" s="10">
        <f>E12*H13</f>
        <v>34259.553399999997</v>
      </c>
      <c r="I11" s="10">
        <f t="shared" si="3"/>
        <v>1507.4203496000009</v>
      </c>
      <c r="J11" s="178"/>
      <c r="K11" s="249">
        <f>$D11</f>
        <v>4.4000000000000039E-2</v>
      </c>
      <c r="L11" s="10">
        <f t="shared" si="7"/>
        <v>34201.245458341109</v>
      </c>
      <c r="M11" s="10">
        <f t="shared" si="8"/>
        <v>1504.8548001670097</v>
      </c>
      <c r="O11" s="249">
        <f>$D11</f>
        <v>4.4000000000000039E-2</v>
      </c>
      <c r="P11" s="10">
        <f t="shared" si="9"/>
        <v>34201.245458341109</v>
      </c>
      <c r="Q11" s="10">
        <f t="shared" si="10"/>
        <v>1504.8548001670097</v>
      </c>
      <c r="S11" s="249">
        <f>$D11</f>
        <v>4.4000000000000039E-2</v>
      </c>
      <c r="T11" s="10">
        <f t="shared" si="11"/>
        <v>92439.095875969011</v>
      </c>
      <c r="U11" s="10">
        <f t="shared" si="12"/>
        <v>4067.3202185426344</v>
      </c>
      <c r="W11" s="249">
        <f>$D11</f>
        <v>4.4000000000000039E-2</v>
      </c>
      <c r="X11" s="10">
        <f t="shared" si="13"/>
        <v>163567.09782462133</v>
      </c>
      <c r="Y11" s="10">
        <f t="shared" si="14"/>
        <v>7196.9523042833316</v>
      </c>
    </row>
    <row r="12" spans="1:25" x14ac:dyDescent="0.3">
      <c r="B12" t="s">
        <v>246</v>
      </c>
      <c r="D12" s="250">
        <v>8.5999999999999993E-2</v>
      </c>
      <c r="E12" s="245">
        <f t="shared" si="1"/>
        <v>0.91400000000000003</v>
      </c>
      <c r="F12" s="245">
        <f>E12*F14</f>
        <v>0.90394600000000003</v>
      </c>
      <c r="I12" s="10">
        <f>H13-H11</f>
        <v>3223.5466000000015</v>
      </c>
      <c r="J12" s="178"/>
      <c r="K12" s="245">
        <f>$D12</f>
        <v>8.5999999999999993E-2</v>
      </c>
      <c r="L12"/>
      <c r="M12" s="247">
        <f>L13-L11</f>
        <v>3218.0602947673251</v>
      </c>
      <c r="O12" s="245">
        <f>$D12</f>
        <v>8.5999999999999993E-2</v>
      </c>
      <c r="P12"/>
      <c r="Q12" s="10">
        <f>P13-P11</f>
        <v>3218.0602947673251</v>
      </c>
      <c r="S12" s="262">
        <f>$D12*S$25</f>
        <v>0.12377397298425882</v>
      </c>
      <c r="T12"/>
      <c r="U12" s="10">
        <f>T13-T11</f>
        <v>13057.765693869253</v>
      </c>
      <c r="W12" s="262">
        <f>$D12*W$25</f>
        <v>0.1618309699398659</v>
      </c>
      <c r="X12"/>
      <c r="Y12" s="10">
        <f>X13-X11</f>
        <v>31581.007102240837</v>
      </c>
    </row>
    <row r="13" spans="1:25" x14ac:dyDescent="0.3">
      <c r="B13" s="251" t="s">
        <v>303</v>
      </c>
      <c r="C13" s="10">
        <f>Summary!AH38</f>
        <v>37400</v>
      </c>
      <c r="D13" s="249"/>
      <c r="E13" s="245"/>
      <c r="F13" s="245"/>
      <c r="H13" s="246">
        <f>E14*H14</f>
        <v>37483.1</v>
      </c>
      <c r="I13" s="10"/>
      <c r="J13" s="178"/>
      <c r="K13" s="245"/>
      <c r="L13" s="246">
        <f>L11/(1-K12)</f>
        <v>37419.305753108434</v>
      </c>
      <c r="M13" s="10"/>
      <c r="O13" s="245"/>
      <c r="P13" s="246">
        <f>P11/(1-O12)</f>
        <v>37419.305753108434</v>
      </c>
      <c r="Q13" s="10"/>
      <c r="S13" s="245"/>
      <c r="T13" s="246">
        <f>T11/(1-S12)</f>
        <v>105496.86156983826</v>
      </c>
      <c r="U13" s="10"/>
      <c r="W13" s="245"/>
      <c r="X13" s="10">
        <f>X11/(1-W12)</f>
        <v>195148.10492686217</v>
      </c>
      <c r="Y13" s="10"/>
    </row>
    <row r="14" spans="1:25" x14ac:dyDescent="0.3">
      <c r="B14" t="s">
        <v>247</v>
      </c>
      <c r="D14" s="249">
        <v>0</v>
      </c>
      <c r="E14" s="245">
        <f t="shared" si="1"/>
        <v>1</v>
      </c>
      <c r="F14" s="245">
        <f t="shared" si="2"/>
        <v>0.98899999999999999</v>
      </c>
      <c r="H14" s="10">
        <f>E15*H16</f>
        <v>37483.1</v>
      </c>
      <c r="I14" s="10">
        <f>H14-H13</f>
        <v>0</v>
      </c>
      <c r="J14" s="178"/>
      <c r="K14" s="245">
        <f>$D14</f>
        <v>0</v>
      </c>
      <c r="L14" s="10">
        <f>L13/(1-K14)</f>
        <v>37419.305753108434</v>
      </c>
      <c r="M14" s="10">
        <f>L14-L13</f>
        <v>0</v>
      </c>
      <c r="O14" s="245">
        <f>$D14</f>
        <v>0</v>
      </c>
      <c r="P14" s="10">
        <f>P13/(1-O14)</f>
        <v>37419.305753108434</v>
      </c>
      <c r="Q14" s="10">
        <f>P14-P13</f>
        <v>0</v>
      </c>
      <c r="S14" s="245">
        <f>$D14</f>
        <v>0</v>
      </c>
      <c r="T14" s="10">
        <f>T13/(1-S14)</f>
        <v>105496.86156983826</v>
      </c>
      <c r="U14" s="10">
        <f>T14-T13</f>
        <v>0</v>
      </c>
      <c r="W14" s="245">
        <f>$D14</f>
        <v>0</v>
      </c>
      <c r="X14" s="10">
        <f>X13/(1-W14)</f>
        <v>195148.10492686217</v>
      </c>
      <c r="Y14" s="10">
        <f>X14-X13</f>
        <v>0</v>
      </c>
    </row>
    <row r="15" spans="1:25" x14ac:dyDescent="0.3">
      <c r="B15" t="s">
        <v>248</v>
      </c>
      <c r="D15" s="250">
        <v>1.0999999999999999E-2</v>
      </c>
      <c r="E15" s="245">
        <f t="shared" si="1"/>
        <v>0.98899999999999999</v>
      </c>
      <c r="F15" s="245">
        <f>E15</f>
        <v>0.98899999999999999</v>
      </c>
      <c r="I15" s="10">
        <f>H16-H14</f>
        <v>416.90000000000146</v>
      </c>
      <c r="J15" s="178"/>
      <c r="K15" s="245">
        <f>$D15</f>
        <v>1.0999999999999999E-2</v>
      </c>
      <c r="L15"/>
      <c r="M15" s="247">
        <f>L16-L14</f>
        <v>416.19045832577831</v>
      </c>
      <c r="O15" s="245">
        <f>$D15</f>
        <v>1.0999999999999999E-2</v>
      </c>
      <c r="P15"/>
      <c r="Q15" s="10">
        <f>P16-P14</f>
        <v>416.19045832577831</v>
      </c>
      <c r="S15" s="262">
        <f>$D15*S$25</f>
        <v>1.5831554684033106E-2</v>
      </c>
      <c r="T15"/>
      <c r="U15" s="10">
        <f>T16-T14</f>
        <v>1697.0462128569343</v>
      </c>
      <c r="W15" s="262">
        <f>$D15*W$25</f>
        <v>2.0699310108587499E-2</v>
      </c>
      <c r="X15"/>
      <c r="Y15" s="10">
        <f>X16-X14</f>
        <v>4124.8119016767014</v>
      </c>
    </row>
    <row r="16" spans="1:25" x14ac:dyDescent="0.3">
      <c r="B16" t="s">
        <v>302</v>
      </c>
      <c r="C16" s="10">
        <f>Summary!AH34</f>
        <v>37900</v>
      </c>
      <c r="D16" s="249"/>
      <c r="E16" s="245"/>
      <c r="F16" s="245"/>
      <c r="H16" s="246">
        <v>37900</v>
      </c>
      <c r="I16" s="10"/>
      <c r="J16" s="178"/>
      <c r="K16" s="245"/>
      <c r="L16" s="246">
        <f>L14/(1-K15)</f>
        <v>37835.496211434212</v>
      </c>
      <c r="M16" s="10"/>
      <c r="O16" s="176"/>
      <c r="P16" s="246">
        <f>P14/(1-O15)</f>
        <v>37835.496211434212</v>
      </c>
      <c r="Q16" s="10"/>
      <c r="S16" s="176"/>
      <c r="T16" s="246">
        <f>T14/(1-S15)</f>
        <v>107193.9077826952</v>
      </c>
      <c r="U16" s="10"/>
      <c r="W16" s="176"/>
      <c r="X16" s="246">
        <f>X14/(1-W15)</f>
        <v>199272.91682853887</v>
      </c>
      <c r="Y16" s="10"/>
    </row>
    <row r="17" spans="1:27" x14ac:dyDescent="0.3">
      <c r="D17" s="179"/>
      <c r="E17" s="179"/>
      <c r="F17" s="179"/>
      <c r="K17"/>
      <c r="L17" s="10"/>
      <c r="M17"/>
      <c r="P17" s="10"/>
      <c r="Q17"/>
      <c r="T17" s="10"/>
      <c r="U17"/>
      <c r="X17" s="10"/>
      <c r="Y17"/>
    </row>
    <row r="18" spans="1:27" x14ac:dyDescent="0.3">
      <c r="B18" s="177" t="s">
        <v>249</v>
      </c>
      <c r="C18" s="104">
        <f>Summary!AH50</f>
        <v>4200</v>
      </c>
      <c r="I18" s="104">
        <f>I7+I10+I12+I15</f>
        <v>4257.4967866695406</v>
      </c>
      <c r="K18"/>
      <c r="L18" s="10"/>
      <c r="M18" s="10">
        <f>M7+M10+M12+M15</f>
        <v>4250.2507530931034</v>
      </c>
      <c r="P18" s="10"/>
      <c r="Q18" s="10">
        <f>Q7+Q10+Q12+Q15</f>
        <v>4250.2507530931034</v>
      </c>
      <c r="T18" s="10"/>
      <c r="U18" s="10">
        <f>U7+U10+U12+U15</f>
        <v>17151.024576021824</v>
      </c>
      <c r="X18" s="10"/>
      <c r="Y18" s="10">
        <f>Y7+Y10+Y12+Y15</f>
        <v>41249.496084075916</v>
      </c>
    </row>
    <row r="19" spans="1:27" x14ac:dyDescent="0.3">
      <c r="B19" s="177" t="s">
        <v>250</v>
      </c>
      <c r="C19" s="177"/>
      <c r="I19" s="248">
        <f>I18/H16</f>
        <v>0.11233500756384013</v>
      </c>
      <c r="K19"/>
      <c r="L19" s="10"/>
      <c r="M19" s="253">
        <f>M18/L16</f>
        <v>0.11233500756384004</v>
      </c>
      <c r="P19" s="10"/>
      <c r="Q19" s="253">
        <f>Q18/P16</f>
        <v>0.11233500756384004</v>
      </c>
      <c r="R19" s="182"/>
      <c r="S19" s="182"/>
      <c r="T19" s="253"/>
      <c r="U19" s="265">
        <f>U18/T16</f>
        <v>0.15999999375702015</v>
      </c>
      <c r="V19" s="182"/>
      <c r="W19" s="182"/>
      <c r="X19" s="253"/>
      <c r="Y19" s="265">
        <f>Y18/X16</f>
        <v>0.20700001154481204</v>
      </c>
    </row>
    <row r="20" spans="1:27" x14ac:dyDescent="0.3">
      <c r="B20" s="177" t="s">
        <v>251</v>
      </c>
      <c r="C20" s="177"/>
      <c r="I20" s="104">
        <f>I6+I9+I11+I14</f>
        <v>3407.0440665232018</v>
      </c>
      <c r="K20"/>
      <c r="L20" s="10"/>
      <c r="M20" s="104">
        <f>M6+M9+M11+M14</f>
        <v>3401.245458341109</v>
      </c>
      <c r="P20" s="10"/>
      <c r="Q20" s="104">
        <f>Q6+Q9+Q11+Q14</f>
        <v>3401.245458341109</v>
      </c>
      <c r="T20" s="10"/>
      <c r="U20" s="104">
        <f>U6+U9+U11+U14</f>
        <v>9192.8832066733739</v>
      </c>
      <c r="X20" s="10"/>
      <c r="Y20" s="104">
        <f>Y6+Y9+Y11+Y14</f>
        <v>16266.420744462957</v>
      </c>
    </row>
    <row r="21" spans="1:27" x14ac:dyDescent="0.3">
      <c r="B21" s="177" t="s">
        <v>252</v>
      </c>
      <c r="C21" s="177"/>
      <c r="I21" s="248">
        <f>I20/H16</f>
        <v>8.9895621808000051E-2</v>
      </c>
      <c r="K21"/>
      <c r="L21" s="10"/>
      <c r="M21" s="248">
        <f>M20/L16</f>
        <v>8.9895621808000065E-2</v>
      </c>
      <c r="P21" s="10"/>
      <c r="Q21" s="248">
        <f>Q20/P16</f>
        <v>8.9895621808000065E-2</v>
      </c>
      <c r="T21" s="10"/>
      <c r="U21" s="248">
        <f>U20/T16</f>
        <v>8.5759381263619011E-2</v>
      </c>
      <c r="X21" s="10"/>
      <c r="Y21" s="248">
        <f>Y20/X16</f>
        <v>8.1628858569170903E-2</v>
      </c>
    </row>
    <row r="22" spans="1:27" x14ac:dyDescent="0.3">
      <c r="K22"/>
      <c r="L22"/>
      <c r="M22"/>
      <c r="P22"/>
      <c r="Q22"/>
      <c r="T22"/>
      <c r="U22"/>
      <c r="X22"/>
      <c r="Y22"/>
    </row>
    <row r="23" spans="1:27" s="260" customFormat="1" x14ac:dyDescent="0.3">
      <c r="B23" s="261" t="s">
        <v>253</v>
      </c>
      <c r="C23" s="261"/>
      <c r="M23" s="260">
        <v>0.19</v>
      </c>
      <c r="Q23" s="260">
        <f>M23</f>
        <v>0.19</v>
      </c>
      <c r="T23" s="253"/>
      <c r="U23" s="253">
        <v>0.27</v>
      </c>
      <c r="X23" s="253"/>
      <c r="Y23" s="253">
        <v>0.35</v>
      </c>
      <c r="AA23" s="260" t="s">
        <v>254</v>
      </c>
    </row>
    <row r="24" spans="1:27" s="260" customFormat="1" x14ac:dyDescent="0.3">
      <c r="B24" s="261"/>
      <c r="C24" s="261"/>
      <c r="L24" s="259" t="s">
        <v>338</v>
      </c>
      <c r="M24" s="260">
        <f>M19</f>
        <v>0.11233500756384004</v>
      </c>
      <c r="Q24" s="260">
        <f>M24</f>
        <v>0.11233500756384004</v>
      </c>
      <c r="T24" s="253"/>
      <c r="U24" s="265">
        <f>U23/Q23*Q24</f>
        <v>0.15963395811703585</v>
      </c>
      <c r="X24" s="253"/>
      <c r="Y24" s="265">
        <f>Y23/Q23*Q24</f>
        <v>0.20693290867023165</v>
      </c>
      <c r="AA24" s="253" t="s">
        <v>340</v>
      </c>
    </row>
    <row r="25" spans="1:27" s="260" customFormat="1" x14ac:dyDescent="0.3">
      <c r="B25" s="259" t="s">
        <v>339</v>
      </c>
      <c r="C25" s="261"/>
      <c r="L25" s="259"/>
      <c r="S25" s="264">
        <v>1.4392322440030096</v>
      </c>
      <c r="T25" s="253"/>
      <c r="U25" s="253"/>
      <c r="W25" s="263">
        <v>1.8817554644170456</v>
      </c>
    </row>
    <row r="26" spans="1:27" s="260" customFormat="1" x14ac:dyDescent="0.3">
      <c r="B26" s="261"/>
      <c r="C26" s="261"/>
      <c r="L26" s="259"/>
    </row>
    <row r="27" spans="1:27" x14ac:dyDescent="0.3">
      <c r="B27" s="177"/>
      <c r="C27" s="177"/>
      <c r="H27" t="s">
        <v>232</v>
      </c>
      <c r="L27" t="s">
        <v>232</v>
      </c>
    </row>
    <row r="28" spans="1:27" x14ac:dyDescent="0.3">
      <c r="A28" t="s">
        <v>255</v>
      </c>
      <c r="B28" s="163" t="s">
        <v>264</v>
      </c>
      <c r="C28" s="163"/>
      <c r="H28" s="246">
        <f t="shared" ref="H28" si="15">E29*H29</f>
        <v>55817.620638163331</v>
      </c>
      <c r="I28" s="9"/>
      <c r="L28" s="246">
        <f>L29*(1-K29)</f>
        <v>55817.620638163331</v>
      </c>
      <c r="M28"/>
      <c r="P28" s="246">
        <f>P29*(1-O29)</f>
        <v>55817.620638163331</v>
      </c>
      <c r="Q28"/>
      <c r="T28" s="246">
        <f>T29*(1-S29)</f>
        <v>46712.248030756789</v>
      </c>
      <c r="U28"/>
      <c r="X28" s="246">
        <f>X29*(1-W29)</f>
        <v>46712.248030756789</v>
      </c>
      <c r="Y28"/>
    </row>
    <row r="29" spans="1:27" x14ac:dyDescent="0.3">
      <c r="B29" t="s">
        <v>241</v>
      </c>
      <c r="D29" s="176">
        <v>0</v>
      </c>
      <c r="E29" s="245">
        <f t="shared" ref="E29:E30" si="16">1-D29</f>
        <v>1</v>
      </c>
      <c r="F29" s="245">
        <f t="shared" ref="F29" si="17">E29*F30</f>
        <v>0.27442291365862015</v>
      </c>
      <c r="H29" s="10">
        <f>E30*H31</f>
        <v>55817.620638163331</v>
      </c>
      <c r="I29" s="10">
        <f t="shared" ref="I29" si="18">H29-H28</f>
        <v>0</v>
      </c>
      <c r="K29" s="249">
        <f>$D29</f>
        <v>0</v>
      </c>
      <c r="L29" s="10">
        <f>L31*(1-K30)</f>
        <v>55817.620638163331</v>
      </c>
      <c r="M29" s="10">
        <f>L29-L28</f>
        <v>0</v>
      </c>
      <c r="O29" s="249">
        <f>$D29</f>
        <v>0</v>
      </c>
      <c r="P29" s="10">
        <f>P31*(1-O30)</f>
        <v>55817.620638163331</v>
      </c>
      <c r="Q29" s="10">
        <f>P29-P28</f>
        <v>0</v>
      </c>
      <c r="S29" s="249">
        <f>$D29</f>
        <v>0</v>
      </c>
      <c r="T29" s="10">
        <f>T31*(1-S30)</f>
        <v>46712.248030756789</v>
      </c>
      <c r="U29" s="10">
        <f>T29-T28</f>
        <v>0</v>
      </c>
      <c r="W29" s="249">
        <f>$D29</f>
        <v>0</v>
      </c>
      <c r="X29" s="10">
        <f>X31*(1-W30)</f>
        <v>46712.248030756789</v>
      </c>
      <c r="Y29" s="10">
        <f>X29-X28</f>
        <v>0</v>
      </c>
    </row>
    <row r="30" spans="1:27" x14ac:dyDescent="0.3">
      <c r="B30" t="s">
        <v>242</v>
      </c>
      <c r="D30" s="250">
        <v>0.58279999999999998</v>
      </c>
      <c r="E30" s="245">
        <f t="shared" si="16"/>
        <v>0.41720000000000002</v>
      </c>
      <c r="F30" s="245">
        <f>E30*F32</f>
        <v>0.27442291365862015</v>
      </c>
      <c r="I30" s="10">
        <f>H31-H29</f>
        <v>77973.416366063262</v>
      </c>
      <c r="K30" s="249">
        <f>$D30</f>
        <v>0.58279999999999998</v>
      </c>
      <c r="L30"/>
      <c r="M30" s="10">
        <f>L31-L29</f>
        <v>77973.416366063262</v>
      </c>
      <c r="O30" s="249">
        <f>$D30</f>
        <v>0.58279999999999998</v>
      </c>
      <c r="P30"/>
      <c r="Q30" s="10">
        <f>P31-P29</f>
        <v>77973.416366063262</v>
      </c>
      <c r="S30" s="267">
        <f>$D30*S$48</f>
        <v>0.64107999999999998</v>
      </c>
      <c r="T30"/>
      <c r="U30" s="10">
        <f>T31-T29</f>
        <v>83434.436552874075</v>
      </c>
      <c r="W30" s="267">
        <f>$D30*W$48</f>
        <v>0.64107999999999998</v>
      </c>
      <c r="X30"/>
      <c r="Y30" s="10">
        <f>X31-X29</f>
        <v>83434.436552874075</v>
      </c>
      <c r="AA30" t="s">
        <v>256</v>
      </c>
    </row>
    <row r="31" spans="1:27" x14ac:dyDescent="0.3">
      <c r="B31" s="251" t="s">
        <v>301</v>
      </c>
      <c r="C31" s="10">
        <f>Summary!AH43</f>
        <v>135900</v>
      </c>
      <c r="D31" s="249"/>
      <c r="E31" s="245"/>
      <c r="F31" s="245"/>
      <c r="H31" s="246">
        <f>E32*H32</f>
        <v>133791.03700422659</v>
      </c>
      <c r="I31" s="10"/>
      <c r="K31" s="249"/>
      <c r="L31" s="246">
        <f>L32*(1-K32)</f>
        <v>133791.03700422659</v>
      </c>
      <c r="M31" s="10"/>
      <c r="O31" s="249"/>
      <c r="P31" s="246">
        <f>P32*(1-O32)</f>
        <v>133791.03700422659</v>
      </c>
      <c r="Q31" s="10"/>
      <c r="S31" s="249"/>
      <c r="T31" s="246">
        <f>T32*(1-S32)</f>
        <v>130146.68458363086</v>
      </c>
      <c r="U31" s="10"/>
      <c r="W31" s="249"/>
      <c r="X31" s="246">
        <f>X32*(1-W32)</f>
        <v>130146.68458363086</v>
      </c>
      <c r="Y31" s="10"/>
    </row>
    <row r="32" spans="1:27" x14ac:dyDescent="0.3">
      <c r="B32" t="s">
        <v>243</v>
      </c>
      <c r="D32" s="249">
        <f>1-0.942</f>
        <v>5.8000000000000052E-2</v>
      </c>
      <c r="E32" s="245">
        <f t="shared" ref="E32:E35" si="19">1-D32</f>
        <v>0.94199999999999995</v>
      </c>
      <c r="F32" s="245">
        <f t="shared" ref="F32:F34" si="20">E32*F33</f>
        <v>0.65777304328528319</v>
      </c>
      <c r="H32" s="10">
        <f t="shared" ref="H32:H33" si="21">E33*H33</f>
        <v>142028.70170300064</v>
      </c>
      <c r="I32" s="10">
        <f>H32-H31</f>
        <v>8237.6646987740532</v>
      </c>
      <c r="K32" s="249">
        <f>$D32</f>
        <v>5.8000000000000052E-2</v>
      </c>
      <c r="L32" s="10">
        <f>L33*(1-K33)</f>
        <v>142028.70170300064</v>
      </c>
      <c r="M32" s="10">
        <f>L32-L31</f>
        <v>8237.6646987740532</v>
      </c>
      <c r="O32" s="249">
        <f>$D32</f>
        <v>5.8000000000000052E-2</v>
      </c>
      <c r="P32" s="10">
        <f>P33*(1-O33)</f>
        <v>142028.70170300064</v>
      </c>
      <c r="Q32" s="10">
        <f>P32-P31</f>
        <v>8237.6646987740532</v>
      </c>
      <c r="S32" s="249">
        <f t="shared" ref="S32:S33" si="22">$D32</f>
        <v>5.8000000000000052E-2</v>
      </c>
      <c r="T32" s="10">
        <f>T33*(1-S33)</f>
        <v>138159.96240300516</v>
      </c>
      <c r="U32" s="10">
        <f>T32-T31</f>
        <v>8013.2778193742997</v>
      </c>
      <c r="W32" s="249">
        <f t="shared" ref="W32:W33" si="23">$D32</f>
        <v>5.8000000000000052E-2</v>
      </c>
      <c r="X32" s="10">
        <f>X33*(1-W33)</f>
        <v>138159.96240300516</v>
      </c>
      <c r="Y32" s="10">
        <f>X32-X31</f>
        <v>8013.2778193742997</v>
      </c>
      <c r="AA32" t="s">
        <v>257</v>
      </c>
    </row>
    <row r="33" spans="2:27" x14ac:dyDescent="0.3">
      <c r="B33" t="s">
        <v>244</v>
      </c>
      <c r="D33" s="250">
        <v>6.0699999999999997E-2</v>
      </c>
      <c r="E33" s="245">
        <f t="shared" si="19"/>
        <v>0.93930000000000002</v>
      </c>
      <c r="F33" s="245">
        <f t="shared" si="20"/>
        <v>0.69827286972960001</v>
      </c>
      <c r="H33" s="10">
        <f t="shared" si="21"/>
        <v>151206.96444479999</v>
      </c>
      <c r="I33" s="10">
        <f t="shared" ref="I33:I34" si="24">H33-H32</f>
        <v>9178.2627417993499</v>
      </c>
      <c r="K33" s="249">
        <f>$D33</f>
        <v>6.0699999999999997E-2</v>
      </c>
      <c r="L33" s="10">
        <f>L34*(1-K34)</f>
        <v>151206.96444479999</v>
      </c>
      <c r="M33" s="10">
        <f t="shared" ref="M33:M34" si="25">L33-L32</f>
        <v>9178.2627417993499</v>
      </c>
      <c r="O33" s="249">
        <f>$D33</f>
        <v>6.0699999999999997E-2</v>
      </c>
      <c r="P33" s="10">
        <f>P34*(1-O34)</f>
        <v>151206.96444479999</v>
      </c>
      <c r="Q33" s="10">
        <f t="shared" ref="Q33:Q34" si="26">P33-P32</f>
        <v>9178.2627417993499</v>
      </c>
      <c r="S33" s="249">
        <f t="shared" si="22"/>
        <v>6.0699999999999997E-2</v>
      </c>
      <c r="T33" s="10">
        <f>T34*(1-S34)</f>
        <v>147088.217186208</v>
      </c>
      <c r="U33" s="10">
        <f t="shared" ref="U33:U34" si="27">T33-T32</f>
        <v>8928.2547832028358</v>
      </c>
      <c r="W33" s="249">
        <f t="shared" si="23"/>
        <v>6.0699999999999997E-2</v>
      </c>
      <c r="X33" s="10">
        <f>X34*(1-W34)</f>
        <v>147088.217186208</v>
      </c>
      <c r="Y33" s="10">
        <f t="shared" ref="Y33:Y34" si="28">X33-X32</f>
        <v>8928.2547832028358</v>
      </c>
    </row>
    <row r="34" spans="2:27" x14ac:dyDescent="0.3">
      <c r="B34" t="s">
        <v>245</v>
      </c>
      <c r="D34" s="249">
        <f>1-0.956</f>
        <v>4.4000000000000039E-2</v>
      </c>
      <c r="E34" s="245">
        <f t="shared" si="19"/>
        <v>0.95599999999999996</v>
      </c>
      <c r="F34" s="245">
        <f t="shared" si="20"/>
        <v>0.74339707199999994</v>
      </c>
      <c r="H34" s="10">
        <f>E35*H36</f>
        <v>158166.28080000001</v>
      </c>
      <c r="I34" s="10">
        <f t="shared" si="24"/>
        <v>6959.3163552000187</v>
      </c>
      <c r="K34" s="249">
        <f>$D34</f>
        <v>4.4000000000000039E-2</v>
      </c>
      <c r="L34" s="10">
        <f>L36*(1-K35)</f>
        <v>158166.28080000001</v>
      </c>
      <c r="M34" s="10">
        <f t="shared" si="25"/>
        <v>6959.3163552000187</v>
      </c>
      <c r="O34" s="249">
        <f>$D34</f>
        <v>4.4000000000000039E-2</v>
      </c>
      <c r="P34" s="10">
        <f>P36*(1-O35)</f>
        <v>158166.28080000001</v>
      </c>
      <c r="Q34" s="10">
        <f t="shared" si="26"/>
        <v>6959.3163552000187</v>
      </c>
      <c r="S34" s="249">
        <f>$D34</f>
        <v>4.4000000000000039E-2</v>
      </c>
      <c r="T34" s="10">
        <f>T36*(1-S35)</f>
        <v>153857.967768</v>
      </c>
      <c r="U34" s="10">
        <f t="shared" si="27"/>
        <v>6769.7505817920028</v>
      </c>
      <c r="W34" s="249">
        <f>$D34</f>
        <v>4.4000000000000039E-2</v>
      </c>
      <c r="X34" s="10">
        <f>X36*(1-W35)</f>
        <v>153857.967768</v>
      </c>
      <c r="Y34" s="10">
        <f t="shared" si="28"/>
        <v>6769.7505817920028</v>
      </c>
    </row>
    <row r="35" spans="2:27" x14ac:dyDescent="0.3">
      <c r="B35" t="s">
        <v>246</v>
      </c>
      <c r="D35" s="250">
        <v>0.17799999999999999</v>
      </c>
      <c r="E35" s="245">
        <f t="shared" si="19"/>
        <v>0.82200000000000006</v>
      </c>
      <c r="F35" s="245">
        <f>E35*F37</f>
        <v>0.77761199999999997</v>
      </c>
      <c r="I35" s="10">
        <f>H36-H34</f>
        <v>34250.119199999986</v>
      </c>
      <c r="K35" s="249">
        <f>$D35</f>
        <v>0.17799999999999999</v>
      </c>
      <c r="L35"/>
      <c r="M35" s="10">
        <f>L36-L34</f>
        <v>34250.119199999986</v>
      </c>
      <c r="O35" s="249">
        <f>$D35</f>
        <v>0.17799999999999999</v>
      </c>
      <c r="P35"/>
      <c r="Q35" s="10">
        <f>P36-P34</f>
        <v>34250.119199999986</v>
      </c>
      <c r="S35" s="267">
        <f>$D35*S$48</f>
        <v>0.1958</v>
      </c>
      <c r="T35"/>
      <c r="U35" s="10">
        <f>T36-T34</f>
        <v>37460.072232000006</v>
      </c>
      <c r="W35" s="267">
        <f>$D35*W$48</f>
        <v>0.1958</v>
      </c>
      <c r="X35"/>
      <c r="Y35" s="10">
        <f>X36-X34</f>
        <v>37460.072232000006</v>
      </c>
    </row>
    <row r="36" spans="2:27" x14ac:dyDescent="0.3">
      <c r="B36" s="251" t="s">
        <v>303</v>
      </c>
      <c r="C36" s="10">
        <f>Summary!AH39</f>
        <v>192900</v>
      </c>
      <c r="D36" s="249"/>
      <c r="E36" s="245"/>
      <c r="F36" s="245"/>
      <c r="H36" s="246">
        <f>E37*H37</f>
        <v>192416.4</v>
      </c>
      <c r="I36" s="10"/>
      <c r="K36" s="249"/>
      <c r="L36" s="246">
        <f>L37*(1-K37)</f>
        <v>192416.4</v>
      </c>
      <c r="M36" s="10"/>
      <c r="O36" s="249"/>
      <c r="P36" s="246">
        <f>P37*(1-O37)</f>
        <v>192416.4</v>
      </c>
      <c r="Q36" s="10"/>
      <c r="S36" s="249"/>
      <c r="T36" s="246">
        <f>T37*(1-S37)</f>
        <v>191318.04</v>
      </c>
      <c r="U36" s="10"/>
      <c r="W36" s="249"/>
      <c r="X36" s="246">
        <f>X37*(1-W37)</f>
        <v>191318.04</v>
      </c>
      <c r="Y36" s="10"/>
    </row>
    <row r="37" spans="2:27" x14ac:dyDescent="0.3">
      <c r="B37" t="s">
        <v>247</v>
      </c>
      <c r="D37" s="249">
        <v>0</v>
      </c>
      <c r="E37" s="245">
        <f t="shared" ref="E37:E38" si="29">1-D37</f>
        <v>1</v>
      </c>
      <c r="F37" s="245">
        <f t="shared" ref="F37" si="30">E37*F38</f>
        <v>0.94599999999999995</v>
      </c>
      <c r="H37" s="10">
        <f>E38*H39</f>
        <v>192416.4</v>
      </c>
      <c r="I37" s="10">
        <f>H37-H36</f>
        <v>0</v>
      </c>
      <c r="K37" s="249">
        <f>$D37</f>
        <v>0</v>
      </c>
      <c r="L37" s="10">
        <f>L39*(1-K38)</f>
        <v>192416.4</v>
      </c>
      <c r="M37" s="10">
        <f>L37-L36</f>
        <v>0</v>
      </c>
      <c r="O37" s="249">
        <f>$D37</f>
        <v>0</v>
      </c>
      <c r="P37" s="10">
        <f>P39*(1-O38)</f>
        <v>192416.4</v>
      </c>
      <c r="Q37" s="10">
        <f>P37-P36</f>
        <v>0</v>
      </c>
      <c r="S37" s="249">
        <f>$D37</f>
        <v>0</v>
      </c>
      <c r="T37" s="10">
        <f>T39*(1-S38)</f>
        <v>191318.04</v>
      </c>
      <c r="U37" s="10">
        <f>T37-T36</f>
        <v>0</v>
      </c>
      <c r="W37" s="249">
        <f>$D37</f>
        <v>0</v>
      </c>
      <c r="X37" s="10">
        <f>X39*(1-W38)</f>
        <v>191318.04</v>
      </c>
      <c r="Y37" s="10">
        <f>X37-X36</f>
        <v>0</v>
      </c>
    </row>
    <row r="38" spans="2:27" x14ac:dyDescent="0.3">
      <c r="B38" t="s">
        <v>248</v>
      </c>
      <c r="D38" s="250">
        <v>5.3999999999999999E-2</v>
      </c>
      <c r="E38" s="245">
        <f t="shared" si="29"/>
        <v>0.94599999999999995</v>
      </c>
      <c r="F38" s="245">
        <f>E38</f>
        <v>0.94599999999999995</v>
      </c>
      <c r="I38" s="10">
        <f>H39-H37</f>
        <v>10983.600000000006</v>
      </c>
      <c r="K38" s="249">
        <f>$D38</f>
        <v>5.3999999999999999E-2</v>
      </c>
      <c r="L38"/>
      <c r="M38" s="10">
        <f>L39-L37</f>
        <v>10983.600000000006</v>
      </c>
      <c r="O38" s="249">
        <f>$D38</f>
        <v>5.3999999999999999E-2</v>
      </c>
      <c r="P38"/>
      <c r="Q38" s="10">
        <f>P39-P37</f>
        <v>10983.600000000006</v>
      </c>
      <c r="S38" s="267">
        <f>$D38*S$48</f>
        <v>5.9400000000000001E-2</v>
      </c>
      <c r="T38"/>
      <c r="U38" s="10">
        <f>T39-T37</f>
        <v>12081.959999999992</v>
      </c>
      <c r="W38" s="267">
        <f>$D38*W$48</f>
        <v>5.9400000000000001E-2</v>
      </c>
      <c r="X38"/>
      <c r="Y38" s="10">
        <f>X39-X37</f>
        <v>12081.959999999992</v>
      </c>
    </row>
    <row r="39" spans="2:27" x14ac:dyDescent="0.3">
      <c r="B39" t="s">
        <v>302</v>
      </c>
      <c r="C39" s="10">
        <f>Summary!AH35</f>
        <v>203400</v>
      </c>
      <c r="H39" s="252">
        <f>Summary!AH35</f>
        <v>203400</v>
      </c>
      <c r="I39" s="10"/>
      <c r="K39" s="180"/>
      <c r="L39" s="252">
        <f>Summary!$AH$35</f>
        <v>203400</v>
      </c>
      <c r="M39" s="10"/>
      <c r="O39" s="180"/>
      <c r="P39" s="252">
        <f>Summary!$AH$35</f>
        <v>203400</v>
      </c>
      <c r="Q39" s="10"/>
      <c r="S39" s="176"/>
      <c r="T39" s="252">
        <f>Summary!$AH$35</f>
        <v>203400</v>
      </c>
      <c r="U39" s="10"/>
      <c r="W39" s="180"/>
      <c r="X39" s="252">
        <f>Summary!$AH$35</f>
        <v>203400</v>
      </c>
      <c r="Y39" s="10"/>
    </row>
    <row r="40" spans="2:27" x14ac:dyDescent="0.3">
      <c r="L40" s="10"/>
      <c r="M40"/>
      <c r="P40" s="10"/>
      <c r="Q40"/>
      <c r="T40" s="10"/>
      <c r="U40"/>
      <c r="X40" s="10"/>
      <c r="Y40"/>
    </row>
    <row r="41" spans="2:27" x14ac:dyDescent="0.3">
      <c r="B41" s="177" t="s">
        <v>249</v>
      </c>
      <c r="C41" s="104">
        <f>Summary!AH51</f>
        <v>129700</v>
      </c>
      <c r="I41" s="104">
        <f>I30+I33+I35+I38</f>
        <v>132385.3983078626</v>
      </c>
      <c r="L41" s="10"/>
      <c r="M41" s="10">
        <f>M30+M33+M35+M38</f>
        <v>132385.3983078626</v>
      </c>
      <c r="P41" s="10"/>
      <c r="Q41" s="10">
        <f>Q30+Q33+Q35+Q38</f>
        <v>132385.3983078626</v>
      </c>
      <c r="T41" s="10"/>
      <c r="U41" s="10">
        <f>U30+U33+U35+U38</f>
        <v>141904.72356807691</v>
      </c>
      <c r="X41" s="10"/>
      <c r="Y41" s="10">
        <f>Y30+Y33+Y35+Y38</f>
        <v>141904.72356807691</v>
      </c>
    </row>
    <row r="42" spans="2:27" x14ac:dyDescent="0.3">
      <c r="B42" s="177" t="s">
        <v>250</v>
      </c>
      <c r="C42" s="177"/>
      <c r="I42" s="248">
        <f>I41/H39</f>
        <v>0.650862331897063</v>
      </c>
      <c r="L42" s="10"/>
      <c r="M42" s="173">
        <f>M41/L39</f>
        <v>0.650862331897063</v>
      </c>
      <c r="P42" s="10"/>
      <c r="Q42" s="173">
        <f>Q41/P39</f>
        <v>0.650862331897063</v>
      </c>
      <c r="R42" s="182"/>
      <c r="T42" s="10"/>
      <c r="U42" s="173">
        <f>U41/T39</f>
        <v>0.69766334104265937</v>
      </c>
      <c r="V42" s="182"/>
      <c r="X42" s="10"/>
      <c r="Y42" s="173">
        <f>Y41/X39</f>
        <v>0.69766334104265937</v>
      </c>
      <c r="AA42" t="s">
        <v>258</v>
      </c>
    </row>
    <row r="43" spans="2:27" x14ac:dyDescent="0.3">
      <c r="B43" s="177" t="s">
        <v>251</v>
      </c>
      <c r="C43" s="177"/>
      <c r="E43" s="253">
        <f>E34*E32</f>
        <v>0.90055199999999991</v>
      </c>
      <c r="I43" s="104">
        <f>I29+I32+I34+I37</f>
        <v>15196.981053974072</v>
      </c>
      <c r="L43" s="10"/>
      <c r="M43" s="104">
        <f>M29+M32+M34+M37</f>
        <v>15196.981053974072</v>
      </c>
      <c r="P43" s="10"/>
      <c r="Q43" s="104">
        <f>Q29+Q32+Q34+Q37</f>
        <v>15196.981053974072</v>
      </c>
      <c r="T43" s="10"/>
      <c r="U43" s="104">
        <f>U29+U32+U34+U37</f>
        <v>14783.028401166303</v>
      </c>
      <c r="X43" s="10"/>
      <c r="Y43" s="104">
        <f>Y29+Y32+Y34+Y37</f>
        <v>14783.028401166303</v>
      </c>
    </row>
    <row r="44" spans="2:27" x14ac:dyDescent="0.3">
      <c r="B44" s="177" t="s">
        <v>252</v>
      </c>
      <c r="C44" s="177"/>
      <c r="I44" s="248">
        <f>I43/H39</f>
        <v>7.4714754444316966E-2</v>
      </c>
      <c r="L44" s="10"/>
      <c r="M44" s="248">
        <f>M43/L39</f>
        <v>7.4714754444316966E-2</v>
      </c>
      <c r="P44" s="10"/>
      <c r="Q44" s="248">
        <f>Q43/P39</f>
        <v>7.4714754444316966E-2</v>
      </c>
      <c r="T44" s="10"/>
      <c r="U44" s="248">
        <f>U43/T39</f>
        <v>7.2679588992951336E-2</v>
      </c>
      <c r="X44" s="10"/>
      <c r="Y44" s="248">
        <f>Y43/X39</f>
        <v>7.2679588992951336E-2</v>
      </c>
    </row>
    <row r="46" spans="2:27" x14ac:dyDescent="0.3">
      <c r="B46" s="261" t="s">
        <v>253</v>
      </c>
      <c r="C46" s="177"/>
      <c r="I46" s="173"/>
      <c r="M46" s="173"/>
      <c r="Q46" s="173"/>
      <c r="R46" s="181"/>
      <c r="S46" s="181"/>
      <c r="T46" s="181"/>
      <c r="U46" s="173">
        <v>0.7</v>
      </c>
      <c r="V46" s="181"/>
      <c r="W46" s="181"/>
      <c r="X46" s="181"/>
      <c r="Y46" s="173">
        <v>0.7</v>
      </c>
    </row>
    <row r="47" spans="2:27" x14ac:dyDescent="0.3">
      <c r="B47" s="261"/>
    </row>
    <row r="48" spans="2:27" x14ac:dyDescent="0.3">
      <c r="B48" s="259" t="s">
        <v>339</v>
      </c>
      <c r="S48" s="266">
        <v>1.1000000000000001</v>
      </c>
      <c r="W48" s="266">
        <v>1.1000000000000001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80385-10DE-40C6-BDAC-D617FAF2930D}">
  <dimension ref="C39"/>
  <sheetViews>
    <sheetView workbookViewId="0">
      <selection activeCell="C39" sqref="C39"/>
    </sheetView>
  </sheetViews>
  <sheetFormatPr defaultRowHeight="14.4" x14ac:dyDescent="0.3"/>
  <sheetData>
    <row r="39" spans="3:3" x14ac:dyDescent="0.3">
      <c r="C39">
        <f>170000/(170000+602000)</f>
        <v>0.22020725388601037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Documentation</vt:lpstr>
      <vt:lpstr>Natl Spnr</vt:lpstr>
      <vt:lpstr>pHOS</vt:lpstr>
      <vt:lpstr>Run</vt:lpstr>
      <vt:lpstr>Conv</vt:lpstr>
      <vt:lpstr>Blocked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cp:lastPrinted>2018-03-21T01:38:26Z</cp:lastPrinted>
  <dcterms:created xsi:type="dcterms:W3CDTF">2018-02-01T23:07:02Z</dcterms:created>
  <dcterms:modified xsi:type="dcterms:W3CDTF">2020-08-26T23:58:20Z</dcterms:modified>
</cp:coreProperties>
</file>