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mc:AlternateContent xmlns:mc="http://schemas.openxmlformats.org/markup-compatibility/2006">
    <mc:Choice Requires="x15">
      <x15ac:absPath xmlns:x15ac="http://schemas.microsoft.com/office/spreadsheetml/2010/11/ac" url="C:\Users\beame\Documents\NMFS Columbia Basin\10. Quantitative goals\Snake Sockeye\"/>
    </mc:Choice>
  </mc:AlternateContent>
  <xr:revisionPtr revIDLastSave="0" documentId="8_{506D1B53-AF79-490A-92A1-BD4A764C6C12}" xr6:coauthVersionLast="45" xr6:coauthVersionMax="45" xr10:uidLastSave="{00000000-0000-0000-0000-000000000000}"/>
  <bookViews>
    <workbookView xWindow="28680" yWindow="-120" windowWidth="29040" windowHeight="15840" xr2:uid="{00000000-000D-0000-FFFF-FFFF00000000}"/>
  </bookViews>
  <sheets>
    <sheet name="Summary" sheetId="10" r:id="rId1"/>
    <sheet name="Documentation" sheetId="14" r:id="rId2"/>
    <sheet name="Hatchery" sheetId="13" r:id="rId3"/>
    <sheet name="Run" sheetId="12" r:id="rId4"/>
    <sheet name="Conv" sheetId="15" r:id="rId5"/>
    <sheet name="Blocked" sheetId="16" r:id="rId6"/>
  </sheets>
  <definedNames>
    <definedName name="_Ref67714019" localSheetId="4">#REF!</definedName>
    <definedName name="_Ref67714019" localSheetId="1">#REF!</definedName>
    <definedName name="_Ref67714019">#REF!</definedName>
    <definedName name="solver_adj" localSheetId="4" hidden="1">Conv!$D$29</definedName>
    <definedName name="solver_cvg" localSheetId="4" hidden="1">0.0001</definedName>
    <definedName name="solver_drv" localSheetId="4" hidden="1">1</definedName>
    <definedName name="solver_eng" localSheetId="4" hidden="1">1</definedName>
    <definedName name="solver_est" localSheetId="4" hidden="1">1</definedName>
    <definedName name="solver_itr" localSheetId="4" hidden="1">2147483647</definedName>
    <definedName name="solver_mip" localSheetId="4" hidden="1">2147483647</definedName>
    <definedName name="solver_mni" localSheetId="4" hidden="1">30</definedName>
    <definedName name="solver_mrt" localSheetId="4" hidden="1">0.075</definedName>
    <definedName name="solver_msl" localSheetId="4" hidden="1">2</definedName>
    <definedName name="solver_neg" localSheetId="4" hidden="1">1</definedName>
    <definedName name="solver_nod" localSheetId="4" hidden="1">2147483647</definedName>
    <definedName name="solver_num" localSheetId="4" hidden="1">0</definedName>
    <definedName name="solver_nwt" localSheetId="4" hidden="1">1</definedName>
    <definedName name="solver_opt" localSheetId="4" hidden="1">Conv!$H$28</definedName>
    <definedName name="solver_pre" localSheetId="4" hidden="1">0.000001</definedName>
    <definedName name="solver_rbv" localSheetId="4" hidden="1">1</definedName>
    <definedName name="solver_rlx" localSheetId="4" hidden="1">2</definedName>
    <definedName name="solver_rsd" localSheetId="4" hidden="1">0</definedName>
    <definedName name="solver_scl" localSheetId="4" hidden="1">1</definedName>
    <definedName name="solver_sho" localSheetId="4" hidden="1">2</definedName>
    <definedName name="solver_ssz" localSheetId="4" hidden="1">100</definedName>
    <definedName name="solver_tim" localSheetId="4" hidden="1">2147483647</definedName>
    <definedName name="solver_tol" localSheetId="4" hidden="1">0.01</definedName>
    <definedName name="solver_typ" localSheetId="4" hidden="1">3</definedName>
    <definedName name="solver_val" localSheetId="4" hidden="1">614</definedName>
    <definedName name="solver_ver" localSheetId="4" hidden="1">3</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48" i="10" l="1"/>
  <c r="Q41" i="15"/>
  <c r="V32" i="10"/>
  <c r="V36" i="10"/>
  <c r="V40" i="10"/>
  <c r="V44" i="10"/>
  <c r="P29" i="15"/>
  <c r="P31" i="15" s="1"/>
  <c r="H39" i="15"/>
  <c r="H37" i="15" s="1"/>
  <c r="H36" i="15" s="1"/>
  <c r="H34" i="15" s="1"/>
  <c r="H33" i="15" s="1"/>
  <c r="H32" i="15" s="1"/>
  <c r="H31" i="15" s="1"/>
  <c r="H29" i="15" s="1"/>
  <c r="N68" i="10"/>
  <c r="P32" i="15" l="1"/>
  <c r="Q30" i="15"/>
  <c r="Q29" i="15"/>
  <c r="V18" i="10"/>
  <c r="P33" i="15" l="1"/>
  <c r="Q32" i="15"/>
  <c r="C23" i="16"/>
  <c r="C22" i="16"/>
  <c r="C21" i="16"/>
  <c r="Q33" i="15" l="1"/>
  <c r="P34" i="15"/>
  <c r="C24" i="16"/>
  <c r="C25" i="16" s="1"/>
  <c r="K34" i="15"/>
  <c r="K29" i="15"/>
  <c r="D38" i="15"/>
  <c r="K38" i="15" s="1"/>
  <c r="D37" i="15"/>
  <c r="K37" i="15" s="1"/>
  <c r="D35" i="15"/>
  <c r="K35" i="15" s="1"/>
  <c r="D33" i="15"/>
  <c r="K33" i="15" s="1"/>
  <c r="D32" i="15"/>
  <c r="K32" i="15" s="1"/>
  <c r="D30" i="15"/>
  <c r="K30" i="15" s="1"/>
  <c r="K15" i="15"/>
  <c r="K14" i="15"/>
  <c r="K12" i="15"/>
  <c r="K11" i="15"/>
  <c r="K10" i="15"/>
  <c r="K9" i="15"/>
  <c r="K7" i="15"/>
  <c r="K6" i="15"/>
  <c r="U66" i="12"/>
  <c r="P36" i="15" l="1"/>
  <c r="Q34" i="15"/>
  <c r="M63" i="12"/>
  <c r="X63" i="12"/>
  <c r="W63" i="12"/>
  <c r="V63" i="12"/>
  <c r="U63" i="12"/>
  <c r="T63" i="12"/>
  <c r="H63" i="12"/>
  <c r="G63" i="12"/>
  <c r="U34" i="10" s="1"/>
  <c r="F63" i="12"/>
  <c r="U46" i="10" s="1"/>
  <c r="E63" i="12"/>
  <c r="D63" i="12"/>
  <c r="C63" i="12"/>
  <c r="U30" i="10" s="1"/>
  <c r="K64" i="12"/>
  <c r="J64" i="12"/>
  <c r="K63" i="12"/>
  <c r="U40" i="10" s="1"/>
  <c r="J63" i="12"/>
  <c r="U39" i="10" s="1"/>
  <c r="C8" i="15" s="1"/>
  <c r="M64" i="12"/>
  <c r="P37" i="15" l="1"/>
  <c r="Q35" i="15"/>
  <c r="C31" i="15"/>
  <c r="U38" i="10"/>
  <c r="E33" i="15"/>
  <c r="W29" i="15"/>
  <c r="S29" i="15"/>
  <c r="O29" i="15"/>
  <c r="E29" i="15"/>
  <c r="E15" i="15"/>
  <c r="E14" i="15"/>
  <c r="S12" i="15"/>
  <c r="S35" i="15" s="1"/>
  <c r="E12" i="15"/>
  <c r="W11" i="15"/>
  <c r="W34" i="15" s="1"/>
  <c r="E11" i="15"/>
  <c r="W10" i="15"/>
  <c r="W33" i="15" s="1"/>
  <c r="S10" i="15"/>
  <c r="S33" i="15" s="1"/>
  <c r="O10" i="15"/>
  <c r="O33" i="15" s="1"/>
  <c r="E10" i="15"/>
  <c r="E32" i="15"/>
  <c r="E9" i="15"/>
  <c r="S7" i="15"/>
  <c r="S30" i="15" s="1"/>
  <c r="T29" i="15" s="1"/>
  <c r="E7" i="15"/>
  <c r="W6" i="15"/>
  <c r="S6" i="15"/>
  <c r="O6" i="15"/>
  <c r="P39" i="15" l="1"/>
  <c r="Q38" i="15" s="1"/>
  <c r="Q42" i="15" s="1"/>
  <c r="Q37" i="15"/>
  <c r="Q43" i="15" s="1"/>
  <c r="T28" i="15"/>
  <c r="S9" i="15"/>
  <c r="S32" i="15" s="1"/>
  <c r="W9" i="15"/>
  <c r="W32" i="15" s="1"/>
  <c r="X32" i="15" s="1"/>
  <c r="E30" i="15"/>
  <c r="O12" i="15"/>
  <c r="O35" i="15" s="1"/>
  <c r="W12" i="15"/>
  <c r="W35" i="15" s="1"/>
  <c r="U29" i="15"/>
  <c r="S14" i="15"/>
  <c r="S37" i="15" s="1"/>
  <c r="W14" i="15"/>
  <c r="W37" i="15" s="1"/>
  <c r="E37" i="15"/>
  <c r="F15" i="15"/>
  <c r="F14" i="15" s="1"/>
  <c r="F12" i="15" s="1"/>
  <c r="F11" i="15" s="1"/>
  <c r="F10" i="15" s="1"/>
  <c r="F9" i="15" s="1"/>
  <c r="F7" i="15" s="1"/>
  <c r="T32" i="15"/>
  <c r="U30" i="15"/>
  <c r="W7" i="15"/>
  <c r="W30" i="15" s="1"/>
  <c r="X29" i="15" s="1"/>
  <c r="O7" i="15"/>
  <c r="O30" i="15" s="1"/>
  <c r="O11" i="15"/>
  <c r="O34" i="15" s="1"/>
  <c r="S11" i="15"/>
  <c r="S34" i="15" s="1"/>
  <c r="O14" i="15"/>
  <c r="O37" i="15" s="1"/>
  <c r="E34" i="15"/>
  <c r="O9" i="15"/>
  <c r="O32" i="15" s="1"/>
  <c r="E35" i="15"/>
  <c r="Q44" i="15" l="1"/>
  <c r="Y30" i="15"/>
  <c r="X28" i="15"/>
  <c r="Y29" i="15" s="1"/>
  <c r="E43" i="15"/>
  <c r="X33" i="15"/>
  <c r="Y32" i="15"/>
  <c r="T33" i="15"/>
  <c r="U32" i="15"/>
  <c r="T34" i="15" l="1"/>
  <c r="U33" i="15"/>
  <c r="X34" i="15"/>
  <c r="Y33" i="15"/>
  <c r="X36" i="15" l="1"/>
  <c r="Y34" i="15"/>
  <c r="T36" i="15"/>
  <c r="U34" i="15"/>
  <c r="U35" i="15" l="1"/>
  <c r="T37" i="15"/>
  <c r="X37" i="15"/>
  <c r="Y35" i="15"/>
  <c r="Y37" i="15" l="1"/>
  <c r="Y43" i="15" s="1"/>
  <c r="U37" i="15"/>
  <c r="U43" i="15" s="1"/>
  <c r="F24" i="14" l="1"/>
  <c r="F28" i="14"/>
  <c r="F20" i="14"/>
  <c r="F8" i="14"/>
  <c r="I61" i="12" l="1"/>
  <c r="L61" i="12" s="1"/>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I22" i="12"/>
  <c r="L22" i="12" s="1"/>
  <c r="I21" i="12"/>
  <c r="L21" i="12" s="1"/>
  <c r="I20" i="12"/>
  <c r="L20" i="12" s="1"/>
  <c r="I19" i="12"/>
  <c r="L19" i="12" s="1"/>
  <c r="I18" i="12"/>
  <c r="L18" i="12" s="1"/>
  <c r="I17" i="12"/>
  <c r="L17" i="12" s="1"/>
  <c r="I16" i="12"/>
  <c r="L16" i="12" s="1"/>
  <c r="I15" i="12"/>
  <c r="L15" i="12" s="1"/>
  <c r="I14" i="12"/>
  <c r="L14" i="12" s="1"/>
  <c r="I13" i="12"/>
  <c r="L13" i="12" s="1"/>
  <c r="I12" i="12"/>
  <c r="L12" i="12" s="1"/>
  <c r="I11" i="12"/>
  <c r="L11" i="12" s="1"/>
  <c r="I10" i="12"/>
  <c r="L10" i="12" s="1"/>
  <c r="I9" i="12"/>
  <c r="L9" i="12" s="1"/>
  <c r="I8" i="12"/>
  <c r="L8" i="12" s="1"/>
  <c r="I7" i="12"/>
  <c r="L7" i="12" s="1"/>
  <c r="I6" i="12"/>
  <c r="L6" i="12" s="1"/>
  <c r="I5" i="12"/>
  <c r="L5" i="12" s="1"/>
  <c r="B22" i="12"/>
  <c r="B21" i="12" s="1"/>
  <c r="B20" i="12" s="1"/>
  <c r="B19" i="12" s="1"/>
  <c r="B18" i="12" s="1"/>
  <c r="B17" i="12" s="1"/>
  <c r="B16" i="12" s="1"/>
  <c r="B15" i="12" s="1"/>
  <c r="B14" i="12" s="1"/>
  <c r="B13" i="12" s="1"/>
  <c r="B12" i="12" s="1"/>
  <c r="B11" i="12" s="1"/>
  <c r="B10" i="12" s="1"/>
  <c r="B9" i="12" s="1"/>
  <c r="B8" i="12" s="1"/>
  <c r="B7" i="12" s="1"/>
  <c r="B6" i="12" s="1"/>
  <c r="B5" i="12" s="1"/>
  <c r="AD61" i="12" l="1"/>
  <c r="L63" i="12"/>
  <c r="AE61" i="12"/>
  <c r="AE60" i="12"/>
  <c r="AD60" i="12"/>
  <c r="U41" i="10" l="1"/>
  <c r="U49" i="10"/>
  <c r="U48" i="10" s="1"/>
  <c r="U33" i="10"/>
  <c r="Q60" i="12"/>
  <c r="P60" i="12"/>
  <c r="O60" i="12"/>
  <c r="Q59" i="12"/>
  <c r="P59" i="12"/>
  <c r="O59" i="12"/>
  <c r="Q58" i="12"/>
  <c r="P58" i="12"/>
  <c r="O58" i="12"/>
  <c r="Q57" i="12"/>
  <c r="P57" i="12"/>
  <c r="O57" i="12"/>
  <c r="Q56" i="12"/>
  <c r="P56" i="12"/>
  <c r="O56" i="12"/>
  <c r="Q55" i="12"/>
  <c r="P55" i="12"/>
  <c r="O55" i="12"/>
  <c r="Q54" i="12"/>
  <c r="P54" i="12"/>
  <c r="O54" i="12"/>
  <c r="Q53" i="12"/>
  <c r="P53" i="12"/>
  <c r="O53" i="12"/>
  <c r="Q52" i="12"/>
  <c r="P52" i="12"/>
  <c r="O52" i="12"/>
  <c r="Q51" i="12"/>
  <c r="P51" i="12"/>
  <c r="O51" i="12"/>
  <c r="Q50" i="12"/>
  <c r="P50" i="12"/>
  <c r="O50" i="12"/>
  <c r="O63" i="12" s="1"/>
  <c r="X24" i="10"/>
  <c r="X23" i="10"/>
  <c r="U37" i="10" l="1"/>
  <c r="U36" i="10" s="1"/>
  <c r="U32" i="10"/>
  <c r="P63" i="12"/>
  <c r="U23" i="10" s="1"/>
  <c r="U47" i="10"/>
  <c r="C41" i="15"/>
  <c r="Q63" i="12"/>
  <c r="U24" i="10" s="1"/>
  <c r="X26" i="10"/>
  <c r="S41" i="12"/>
  <c r="S40" i="12"/>
  <c r="S39" i="12"/>
  <c r="S38" i="12"/>
  <c r="S37" i="12"/>
  <c r="S36" i="12"/>
  <c r="S35" i="12"/>
  <c r="S34" i="12"/>
  <c r="S33" i="12"/>
  <c r="S32" i="12"/>
  <c r="S31" i="12"/>
  <c r="S30" i="12"/>
  <c r="S29" i="12"/>
  <c r="S28" i="12"/>
  <c r="U41" i="12"/>
  <c r="U40" i="12"/>
  <c r="U39" i="12"/>
  <c r="U38" i="12"/>
  <c r="U37" i="12"/>
  <c r="U36" i="12"/>
  <c r="U35" i="12"/>
  <c r="U34" i="12"/>
  <c r="U33" i="12"/>
  <c r="U32" i="12"/>
  <c r="U31" i="12"/>
  <c r="U30" i="12"/>
  <c r="U29" i="12"/>
  <c r="U28" i="12"/>
  <c r="S59" i="12"/>
  <c r="AC59" i="12" s="1"/>
  <c r="Z59" i="12" s="1"/>
  <c r="S58" i="12"/>
  <c r="F30" i="14"/>
  <c r="F29" i="14"/>
  <c r="F27" i="14"/>
  <c r="F26" i="14"/>
  <c r="F25" i="14"/>
  <c r="F23" i="14"/>
  <c r="F22" i="14"/>
  <c r="F21" i="14"/>
  <c r="F19" i="14"/>
  <c r="F18" i="14"/>
  <c r="F17" i="14"/>
  <c r="F16" i="14"/>
  <c r="F15" i="14"/>
  <c r="F14" i="14"/>
  <c r="F13" i="14"/>
  <c r="F12" i="14"/>
  <c r="F11" i="14"/>
  <c r="F10" i="14"/>
  <c r="F9" i="14"/>
  <c r="F7" i="14"/>
  <c r="F6" i="14"/>
  <c r="F5" i="14"/>
  <c r="F4" i="14"/>
  <c r="F3" i="14"/>
  <c r="AC58" i="12" l="1"/>
  <c r="Z58" i="12" s="1"/>
  <c r="S63" i="12"/>
  <c r="C39" i="15"/>
  <c r="U31" i="10"/>
  <c r="C16" i="15" s="1"/>
  <c r="AB59" i="12"/>
  <c r="Y59" i="12"/>
  <c r="AA59" i="12" s="1"/>
  <c r="C36" i="15"/>
  <c r="U35" i="10"/>
  <c r="C13" i="15" s="1"/>
  <c r="W23" i="10"/>
  <c r="Y13" i="10"/>
  <c r="X13" i="10"/>
  <c r="Y18" i="10"/>
  <c r="X18" i="10"/>
  <c r="Y58" i="12" l="1"/>
  <c r="AA58" i="12" s="1"/>
  <c r="AB58" i="12"/>
  <c r="F12" i="13"/>
  <c r="E27" i="10"/>
  <c r="E26" i="10"/>
  <c r="V13" i="10" l="1"/>
  <c r="E28" i="10" s="1"/>
  <c r="V26" i="10" l="1"/>
  <c r="U26" i="10"/>
  <c r="F68" i="10" s="1"/>
  <c r="F50" i="12" l="1"/>
  <c r="M50" i="12" s="1"/>
  <c r="F49" i="12"/>
  <c r="M49" i="12" s="1"/>
  <c r="F48" i="12"/>
  <c r="M48" i="12" s="1"/>
  <c r="F47" i="12"/>
  <c r="M47" i="12" s="1"/>
  <c r="F46" i="12"/>
  <c r="M46" i="12" s="1"/>
  <c r="F45" i="12"/>
  <c r="M45" i="12" s="1"/>
  <c r="F44" i="12"/>
  <c r="M44" i="12" s="1"/>
  <c r="F43" i="12"/>
  <c r="M43" i="12" s="1"/>
  <c r="F42" i="12"/>
  <c r="M42" i="12" s="1"/>
  <c r="F41" i="12"/>
  <c r="M41" i="12" s="1"/>
  <c r="F40" i="12"/>
  <c r="M40" i="12" s="1"/>
  <c r="F39" i="12"/>
  <c r="M39" i="12" s="1"/>
  <c r="F38" i="12"/>
  <c r="M38" i="12" s="1"/>
  <c r="F37" i="12"/>
  <c r="M37" i="12" s="1"/>
  <c r="F36" i="12"/>
  <c r="M36" i="12" s="1"/>
  <c r="F35" i="12"/>
  <c r="M35" i="12" s="1"/>
  <c r="F34" i="12"/>
  <c r="M34" i="12" s="1"/>
  <c r="F33" i="12"/>
  <c r="M33" i="12" s="1"/>
  <c r="F32" i="12"/>
  <c r="M32" i="12" s="1"/>
  <c r="F31" i="12"/>
  <c r="M31" i="12" s="1"/>
  <c r="F30" i="12"/>
  <c r="M30" i="12" s="1"/>
  <c r="F29" i="12"/>
  <c r="M29" i="12" s="1"/>
  <c r="F28" i="12"/>
  <c r="M28" i="12" s="1"/>
  <c r="F27" i="12"/>
  <c r="M27" i="12" s="1"/>
  <c r="F26" i="12"/>
  <c r="M26" i="12" s="1"/>
  <c r="F25" i="12"/>
  <c r="M25" i="12" s="1"/>
  <c r="F24" i="12"/>
  <c r="M24" i="12" s="1"/>
  <c r="F23" i="12"/>
  <c r="M23" i="12" s="1"/>
  <c r="AG59" i="12" l="1"/>
  <c r="AG58" i="12"/>
  <c r="AG57" i="12"/>
  <c r="AG56" i="12"/>
  <c r="AG55" i="12"/>
  <c r="AG54" i="12"/>
  <c r="AG53" i="12"/>
  <c r="AG52" i="12"/>
  <c r="AG51" i="12"/>
  <c r="AG50" i="12"/>
  <c r="AG49" i="12"/>
  <c r="AG48" i="12"/>
  <c r="AG47" i="12"/>
  <c r="AG46" i="12"/>
  <c r="AG45" i="12"/>
  <c r="AG44" i="12"/>
  <c r="AG43" i="12"/>
  <c r="AG42" i="12"/>
  <c r="AC56" i="12"/>
  <c r="Z56" i="12" s="1"/>
  <c r="AC55" i="12"/>
  <c r="Z55" i="12" s="1"/>
  <c r="AC54" i="12"/>
  <c r="Z54" i="12" s="1"/>
  <c r="AC53" i="12"/>
  <c r="Z53" i="12" s="1"/>
  <c r="AC52" i="12"/>
  <c r="Z52" i="12" s="1"/>
  <c r="AC51" i="12"/>
  <c r="AC57" i="12"/>
  <c r="Z57" i="12" s="1"/>
  <c r="AE59" i="12"/>
  <c r="AE58" i="12"/>
  <c r="AE57" i="12"/>
  <c r="AE56" i="12"/>
  <c r="AE55" i="12"/>
  <c r="AE54" i="12"/>
  <c r="AE53" i="12"/>
  <c r="AE52" i="12"/>
  <c r="AE51" i="12"/>
  <c r="AE50" i="12"/>
  <c r="AE49" i="12"/>
  <c r="AE48" i="12"/>
  <c r="AE47" i="12"/>
  <c r="AE46" i="12"/>
  <c r="AE45" i="12"/>
  <c r="AE44" i="12"/>
  <c r="AE43" i="12"/>
  <c r="AE42" i="12"/>
  <c r="AE41" i="12"/>
  <c r="AE40" i="12"/>
  <c r="AE39" i="12"/>
  <c r="AE38" i="12"/>
  <c r="AE37" i="12"/>
  <c r="AE36" i="12"/>
  <c r="AE35" i="12"/>
  <c r="AE34" i="12"/>
  <c r="AE33" i="12"/>
  <c r="AE32" i="12"/>
  <c r="AE31" i="12"/>
  <c r="AE30" i="12"/>
  <c r="AE29" i="12"/>
  <c r="AE28" i="12"/>
  <c r="AE27" i="12"/>
  <c r="AE26" i="12"/>
  <c r="AE25" i="12"/>
  <c r="AE24" i="12"/>
  <c r="AE23" i="12"/>
  <c r="AD57" i="12"/>
  <c r="AD56" i="12"/>
  <c r="AD55" i="12"/>
  <c r="AD54" i="12"/>
  <c r="AD53" i="12"/>
  <c r="AD52" i="12"/>
  <c r="AD51" i="12"/>
  <c r="AD50" i="12"/>
  <c r="AD49" i="12"/>
  <c r="AD48" i="12"/>
  <c r="AD47" i="12"/>
  <c r="AD46" i="12"/>
  <c r="AD45" i="12"/>
  <c r="AD44" i="12"/>
  <c r="AD43" i="12"/>
  <c r="AD42" i="12"/>
  <c r="AD41" i="12"/>
  <c r="AD40" i="12"/>
  <c r="AD39" i="12"/>
  <c r="AD38" i="12"/>
  <c r="AD37" i="12"/>
  <c r="AD36" i="12"/>
  <c r="AD35" i="12"/>
  <c r="AD34" i="12"/>
  <c r="AD33" i="12"/>
  <c r="AD32" i="12"/>
  <c r="AD31" i="12"/>
  <c r="AD30" i="12"/>
  <c r="AD29" i="12"/>
  <c r="AD28" i="12"/>
  <c r="AD27" i="12"/>
  <c r="AD26" i="12"/>
  <c r="AD25" i="12"/>
  <c r="AD24" i="12"/>
  <c r="AD23" i="12"/>
  <c r="W13" i="10"/>
  <c r="Z51" i="12" l="1"/>
  <c r="AC63" i="12"/>
  <c r="Y52" i="12"/>
  <c r="AA52" i="12" s="1"/>
  <c r="AB52" i="12"/>
  <c r="Y56" i="12"/>
  <c r="AA56" i="12" s="1"/>
  <c r="AB56" i="12"/>
  <c r="AB53" i="12"/>
  <c r="Y53" i="12"/>
  <c r="AA53" i="12" s="1"/>
  <c r="AB55" i="12"/>
  <c r="Y55" i="12"/>
  <c r="AA55" i="12" s="1"/>
  <c r="AB57" i="12"/>
  <c r="Y57" i="12"/>
  <c r="AA57" i="12" s="1"/>
  <c r="Y54" i="12"/>
  <c r="AA54" i="12" s="1"/>
  <c r="AB54" i="12"/>
  <c r="E25" i="10"/>
  <c r="AD59" i="12"/>
  <c r="AG63" i="12"/>
  <c r="AD58" i="12"/>
  <c r="U45" i="10" l="1"/>
  <c r="X65" i="12"/>
  <c r="AB51" i="12"/>
  <c r="Z63" i="12"/>
  <c r="Y51" i="12"/>
  <c r="AB63" i="12" l="1"/>
  <c r="AB65" i="12"/>
  <c r="X66" i="12"/>
  <c r="U43" i="10" s="1"/>
  <c r="U44" i="10"/>
  <c r="AA51" i="12"/>
  <c r="Y63" i="12"/>
  <c r="U64" i="12"/>
  <c r="V64" i="12"/>
  <c r="C28" i="15" l="1"/>
  <c r="C5" i="15"/>
  <c r="U42" i="10"/>
  <c r="AA65" i="12"/>
  <c r="U4" i="10" s="1"/>
  <c r="AA63" i="12"/>
  <c r="E6" i="15"/>
  <c r="F6" i="15" s="1"/>
  <c r="F2" i="14" l="1"/>
  <c r="U13" i="10"/>
  <c r="E24" i="10" s="1"/>
  <c r="H16" i="15"/>
  <c r="H14" i="15" l="1"/>
  <c r="S15" i="15" l="1"/>
  <c r="O15" i="15"/>
  <c r="W15" i="15"/>
  <c r="H13" i="15"/>
  <c r="I14" i="15" s="1"/>
  <c r="I15" i="15"/>
  <c r="H11" i="15" l="1"/>
  <c r="I12" i="15" s="1"/>
  <c r="W38" i="15"/>
  <c r="X39" i="15" s="1"/>
  <c r="O38" i="15"/>
  <c r="S38" i="15"/>
  <c r="T39" i="15" s="1"/>
  <c r="E38" i="15"/>
  <c r="I30" i="15" l="1"/>
  <c r="F38" i="15"/>
  <c r="F37" i="15" s="1"/>
  <c r="F35" i="15" s="1"/>
  <c r="F34" i="15" s="1"/>
  <c r="F33" i="15" s="1"/>
  <c r="F32" i="15" s="1"/>
  <c r="F30" i="15" s="1"/>
  <c r="F29" i="15" s="1"/>
  <c r="Y38" i="15"/>
  <c r="Y41" i="15" s="1"/>
  <c r="Y42" i="15" s="1"/>
  <c r="Y44" i="15"/>
  <c r="U44" i="15"/>
  <c r="U38" i="15"/>
  <c r="U41" i="15" s="1"/>
  <c r="U42" i="15" s="1"/>
  <c r="H10" i="15"/>
  <c r="I11" i="15" s="1"/>
  <c r="H28" i="15" l="1"/>
  <c r="L28" i="15" s="1"/>
  <c r="L29" i="15" s="1"/>
  <c r="I38" i="15"/>
  <c r="I37" i="15"/>
  <c r="H9" i="15"/>
  <c r="I10" i="15" s="1"/>
  <c r="I29" i="15" l="1"/>
  <c r="L31" i="15"/>
  <c r="M29" i="15"/>
  <c r="I35" i="15"/>
  <c r="H8" i="15"/>
  <c r="L32" i="15" l="1"/>
  <c r="M30" i="15"/>
  <c r="H6" i="15"/>
  <c r="I9" i="15"/>
  <c r="L33" i="15" l="1"/>
  <c r="M32" i="15"/>
  <c r="I32" i="15"/>
  <c r="H5" i="15"/>
  <c r="I34" i="15"/>
  <c r="I7" i="15"/>
  <c r="I18" i="15" s="1"/>
  <c r="I19" i="15" s="1"/>
  <c r="I6" i="15" l="1"/>
  <c r="L5" i="15"/>
  <c r="L34" i="15"/>
  <c r="M33" i="15"/>
  <c r="I33" i="15"/>
  <c r="I41" i="15" s="1"/>
  <c r="I42" i="15" s="1"/>
  <c r="I43" i="15"/>
  <c r="I44" i="15" s="1"/>
  <c r="C18" i="15"/>
  <c r="L36" i="15" l="1"/>
  <c r="M34" i="15"/>
  <c r="X5" i="15"/>
  <c r="T5" i="15"/>
  <c r="P5" i="15"/>
  <c r="L6" i="15"/>
  <c r="I20" i="15"/>
  <c r="I21" i="15" s="1"/>
  <c r="X43" i="10" l="1"/>
  <c r="X42" i="10" s="1"/>
  <c r="X45" i="10" s="1"/>
  <c r="X6" i="15"/>
  <c r="L8" i="15"/>
  <c r="M6" i="15"/>
  <c r="W43" i="10"/>
  <c r="W42" i="10" s="1"/>
  <c r="W45" i="10" s="1"/>
  <c r="T6" i="15"/>
  <c r="V43" i="10"/>
  <c r="V42" i="10" s="1"/>
  <c r="V45" i="10" s="1"/>
  <c r="P6" i="15"/>
  <c r="L37" i="15"/>
  <c r="M35" i="15"/>
  <c r="L39" i="15" l="1"/>
  <c r="M38" i="15" s="1"/>
  <c r="M41" i="15" s="1"/>
  <c r="M42" i="15" s="1"/>
  <c r="M37" i="15"/>
  <c r="M43" i="15" s="1"/>
  <c r="M44" i="15" s="1"/>
  <c r="Q6" i="15"/>
  <c r="P8" i="15"/>
  <c r="L9" i="15"/>
  <c r="M7" i="15"/>
  <c r="U6" i="15"/>
  <c r="T8" i="15"/>
  <c r="Y6" i="15"/>
  <c r="X8" i="15"/>
  <c r="W39" i="10" l="1"/>
  <c r="W38" i="10" s="1"/>
  <c r="W41" i="10" s="1"/>
  <c r="T9" i="15"/>
  <c r="U7" i="15"/>
  <c r="X39" i="10"/>
  <c r="X38" i="10" s="1"/>
  <c r="X41" i="10" s="1"/>
  <c r="Y7" i="15"/>
  <c r="X9" i="15"/>
  <c r="V39" i="10"/>
  <c r="V38" i="10" s="1"/>
  <c r="V41" i="10" s="1"/>
  <c r="Q7" i="15"/>
  <c r="P9" i="15"/>
  <c r="M9" i="15"/>
  <c r="L10" i="15"/>
  <c r="Y9" i="15" l="1"/>
  <c r="X10" i="15"/>
  <c r="U9" i="15"/>
  <c r="T10" i="15"/>
  <c r="M10" i="15"/>
  <c r="L11" i="15"/>
  <c r="P10" i="15"/>
  <c r="Q9" i="15"/>
  <c r="X11" i="15" l="1"/>
  <c r="Y10" i="15"/>
  <c r="T11" i="15"/>
  <c r="U10" i="15"/>
  <c r="Q10" i="15"/>
  <c r="P11" i="15"/>
  <c r="M11" i="15"/>
  <c r="L13" i="15"/>
  <c r="L14" i="15" l="1"/>
  <c r="M12" i="15"/>
  <c r="U11" i="15"/>
  <c r="T13" i="15"/>
  <c r="Q11" i="15"/>
  <c r="P13" i="15"/>
  <c r="Y11" i="15"/>
  <c r="X13" i="15"/>
  <c r="X35" i="10" l="1"/>
  <c r="X34" i="10" s="1"/>
  <c r="X37" i="10" s="1"/>
  <c r="X14" i="15"/>
  <c r="Y12" i="15"/>
  <c r="W35" i="10"/>
  <c r="W34" i="10" s="1"/>
  <c r="W37" i="10" s="1"/>
  <c r="U12" i="15"/>
  <c r="T14" i="15"/>
  <c r="V35" i="10"/>
  <c r="V34" i="10" s="1"/>
  <c r="V37" i="10" s="1"/>
  <c r="Q12" i="15"/>
  <c r="P14" i="15"/>
  <c r="M14" i="15"/>
  <c r="M20" i="15" s="1"/>
  <c r="L16" i="15"/>
  <c r="M15" i="15" s="1"/>
  <c r="M18" i="15" s="1"/>
  <c r="M19" i="15" s="1"/>
  <c r="M23" i="15" s="1"/>
  <c r="Q23" i="15" s="1"/>
  <c r="M21" i="15" l="1"/>
  <c r="U14" i="15"/>
  <c r="U20" i="15" s="1"/>
  <c r="T16" i="15"/>
  <c r="Y14" i="15"/>
  <c r="Y20" i="15" s="1"/>
  <c r="X16" i="15"/>
  <c r="Q14" i="15"/>
  <c r="Q20" i="15" s="1"/>
  <c r="P16" i="15"/>
  <c r="Y21" i="15" l="1"/>
  <c r="Q21" i="15"/>
  <c r="V31" i="10"/>
  <c r="V30" i="10" s="1"/>
  <c r="V33" i="10" s="1"/>
  <c r="Q15" i="15"/>
  <c r="Q18" i="15" s="1"/>
  <c r="W31" i="10"/>
  <c r="W30" i="10" s="1"/>
  <c r="W33" i="10" s="1"/>
  <c r="U15" i="15"/>
  <c r="U18" i="15" s="1"/>
  <c r="U21" i="15"/>
  <c r="X31" i="10"/>
  <c r="X30" i="10" s="1"/>
  <c r="X33" i="10" s="1"/>
  <c r="Y15" i="15"/>
  <c r="Y18" i="15" s="1"/>
  <c r="U19" i="15" l="1"/>
  <c r="W47" i="10"/>
  <c r="W46" i="10" s="1"/>
  <c r="W49" i="10" s="1"/>
  <c r="Y19" i="15"/>
  <c r="X47" i="10"/>
  <c r="X46" i="10" s="1"/>
  <c r="Q19" i="15"/>
  <c r="V47" i="10"/>
  <c r="V46" i="10" s="1"/>
  <c r="V49" i="10" s="1"/>
  <c r="X49" i="10" l="1"/>
  <c r="Y26" i="10"/>
  <c r="Y23"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AA4" authorId="0" shapeId="0" xr:uid="{3BE546D4-A562-45FF-87CB-F2CDBB2D85B2}">
      <text>
        <r>
          <rPr>
            <b/>
            <sz val="9"/>
            <color indexed="81"/>
            <rFont val="Tahoma"/>
            <family val="2"/>
          </rPr>
          <t>Recovery Plan:</t>
        </r>
        <r>
          <rPr>
            <sz val="9"/>
            <color indexed="81"/>
            <rFont val="Tahoma"/>
            <family val="2"/>
          </rPr>
          <t xml:space="preserve"> the Snake River drainage, Wallowa Lake, the Payette Lake basin, and Warm Lake formerly supported Sockeye Salmon. However, these lake groups are separated by distances that are consistent with those between other Sockeye Salmon ESUs. The ICTRT concluded that it is unclear, and currently unresolvable, whether these lake groups were MPGs of the same ESU or separate ESUs (ICTRT 2007). Given this uncertainty, the ICTRT treats the Snake River Sawtooth Valley Sockeye Salmon as a single ESU with a single MPG made up of one extant population (Redfish Lake) and two (Alturas Lake and Stanley Lake) to four (possibly also Pettit and Yellowbelly Lakes) other historical populations (ICTRT 2010).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I1" authorId="0" shapeId="0" xr:uid="{49F501E3-2355-42D5-8413-D0CD5F1D7BE5}">
      <text>
        <r>
          <rPr>
            <b/>
            <u/>
            <sz val="9"/>
            <color indexed="81"/>
            <rFont val="Tahoma"/>
            <family val="2"/>
          </rPr>
          <t>Natural Production (eg)</t>
        </r>
        <r>
          <rPr>
            <b/>
            <sz val="9"/>
            <color indexed="81"/>
            <rFont val="Tahoma"/>
            <family val="2"/>
          </rPr>
          <t xml:space="preserve">
(current)
spawning ground survey 
dam count
weir count
EDT model (patient)
expert judgement
(historical)
Reference period estimate
EDT model (template)
Other model
Harvest expansion
???
(goals)
</t>
        </r>
        <r>
          <rPr>
            <b/>
            <u/>
            <sz val="9"/>
            <color indexed="81"/>
            <rFont val="Tahoma"/>
            <family val="2"/>
          </rPr>
          <t>Hatchery</t>
        </r>
        <r>
          <rPr>
            <b/>
            <sz val="9"/>
            <color indexed="81"/>
            <rFont val="Tahoma"/>
            <family val="2"/>
          </rPr>
          <t xml:space="preserve">
release
adult return</t>
        </r>
      </text>
    </comment>
    <comment ref="J1" authorId="0" shapeId="0" xr:uid="{15568CA4-96BE-4089-BF64-FCE05CE93649}">
      <text>
        <r>
          <rPr>
            <b/>
            <sz val="9"/>
            <color indexed="81"/>
            <rFont val="Tahoma"/>
            <family val="2"/>
          </rPr>
          <t>if applicable</t>
        </r>
      </text>
    </comment>
    <comment ref="L1" authorId="0" shapeId="0" xr:uid="{EDB3840C-462F-45C0-A870-6157A27EF772}">
      <text>
        <r>
          <rPr>
            <b/>
            <u/>
            <sz val="9"/>
            <color indexed="81"/>
            <rFont val="Tahoma"/>
            <family val="2"/>
          </rPr>
          <t>Reference (short form)</t>
        </r>
        <r>
          <rPr>
            <b/>
            <sz val="9"/>
            <color indexed="81"/>
            <rFont val="Tahoma"/>
            <family val="2"/>
          </rPr>
          <t xml:space="preserve">
Recovery plan
Subbasin plan
Technical report
Website
Agency unpublished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T3" authorId="0" shapeId="0" xr:uid="{3F9C6559-C33A-4B55-9C77-0624E81CB265}">
      <text>
        <r>
          <rPr>
            <b/>
            <sz val="9"/>
            <color indexed="81"/>
            <rFont val="Tahoma"/>
            <family val="2"/>
          </rPr>
          <t>Includes traps at redfish lake, sawtooth hatchery &amp; Lower Granite fish transported to subbasin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6" authorId="0" shapeId="0" xr:uid="{D9BCB020-59C3-47B9-9531-2C8E59984BBD}">
      <text>
        <r>
          <rPr>
            <b/>
            <sz val="9"/>
            <color indexed="81"/>
            <rFont val="Tahoma"/>
            <family val="2"/>
          </rPr>
          <t>solved to match escape/LGR</t>
        </r>
      </text>
    </comment>
    <comment ref="D9" authorId="0" shapeId="0" xr:uid="{289CAB13-3D24-4BC9-B6E2-6D9955843ECE}">
      <text>
        <r>
          <rPr>
            <b/>
            <sz val="9"/>
            <color indexed="81"/>
            <rFont val="Tahoma"/>
            <family val="2"/>
          </rPr>
          <t>rolled into BON-MCN</t>
        </r>
      </text>
    </comment>
    <comment ref="D10" authorId="0" shapeId="0" xr:uid="{A8A16CF8-BE84-4090-90F2-78DF4D70DB35}">
      <text>
        <r>
          <rPr>
            <b/>
            <sz val="9"/>
            <color indexed="81"/>
            <rFont val="Tahoma"/>
            <family val="2"/>
          </rPr>
          <t>assume included elsewhere</t>
        </r>
      </text>
    </comment>
    <comment ref="D11" authorId="0" shapeId="0" xr:uid="{6793A67E-3813-427B-B18C-CB4A562C91E2}">
      <text>
        <r>
          <rPr>
            <b/>
            <sz val="9"/>
            <color indexed="81"/>
            <rFont val="Tahoma"/>
            <family val="2"/>
          </rPr>
          <t>calibrated to actual data</t>
        </r>
      </text>
    </comment>
    <comment ref="D14" authorId="0" shapeId="0" xr:uid="{966B9B31-A1DB-4BF6-B9D5-E4FC2A7BA48F}">
      <text>
        <r>
          <rPr>
            <b/>
            <sz val="9"/>
            <color indexed="81"/>
            <rFont val="Tahoma"/>
            <family val="2"/>
          </rPr>
          <t>Based on pinniped predation. Note that TAC CR mouth redturn and exploitation rates do not include a coversion for this</t>
        </r>
      </text>
    </comment>
    <comment ref="O14" authorId="0" shapeId="0" xr:uid="{19AD2804-65DC-4DB7-91C8-E9BC04D66C28}">
      <text>
        <r>
          <rPr>
            <b/>
            <sz val="9"/>
            <color indexed="81"/>
            <rFont val="Tahoma"/>
            <family val="2"/>
          </rPr>
          <t>Based on pinniped predation. Note that TAC CR mouth redturn and exploitation rates do not include a coversion for this</t>
        </r>
      </text>
    </comment>
    <comment ref="S14" authorId="0" shapeId="0" xr:uid="{17FEBC31-231F-4091-8C1E-6AB1110D9089}">
      <text>
        <r>
          <rPr>
            <b/>
            <sz val="9"/>
            <color indexed="81"/>
            <rFont val="Tahoma"/>
            <family val="2"/>
          </rPr>
          <t>Based on pinniped predation. Note that TAC CR mouth redturn and exploitation rates do not include a coversion for this</t>
        </r>
      </text>
    </comment>
    <comment ref="W14" authorId="0" shapeId="0" xr:uid="{5A65010F-839C-4C79-8304-B47B19454573}">
      <text>
        <r>
          <rPr>
            <b/>
            <sz val="9"/>
            <color indexed="81"/>
            <rFont val="Tahoma"/>
            <family val="2"/>
          </rPr>
          <t>Based on pinniped predation. Note that TAC CR mouth redturn and exploitation rates do not include a coversion for this</t>
        </r>
      </text>
    </comment>
    <comment ref="D29" authorId="0" shapeId="0" xr:uid="{41E422F3-5EDE-40B4-8C86-41541E0337C6}">
      <text>
        <r>
          <rPr>
            <b/>
            <sz val="9"/>
            <color indexed="81"/>
            <rFont val="Tahoma"/>
            <family val="2"/>
          </rPr>
          <t>solved to match actual</t>
        </r>
      </text>
    </comment>
    <comment ref="T31" authorId="0" shapeId="0" xr:uid="{F4001783-D24B-4154-9E87-BDDA64AB9FB0}">
      <text>
        <r>
          <rPr>
            <b/>
            <sz val="9"/>
            <color indexed="81"/>
            <rFont val="Tahoma"/>
            <family val="2"/>
          </rPr>
          <t>LGr</t>
        </r>
      </text>
    </comment>
    <comment ref="X31" authorId="0" shapeId="0" xr:uid="{5DB99FAC-2977-4A59-BBD6-592814588767}">
      <text>
        <r>
          <rPr>
            <b/>
            <sz val="9"/>
            <color indexed="81"/>
            <rFont val="Tahoma"/>
            <family val="2"/>
          </rPr>
          <t>LGr</t>
        </r>
      </text>
    </comment>
    <comment ref="D34" authorId="0" shapeId="0" xr:uid="{18D85589-7FBD-492B-8559-008731327CF0}">
      <text>
        <r>
          <rPr>
            <b/>
            <sz val="9"/>
            <color indexed="81"/>
            <rFont val="Tahoma"/>
            <family val="2"/>
          </rPr>
          <t>calibrated to actual data</t>
        </r>
      </text>
    </comment>
  </commentList>
</comments>
</file>

<file path=xl/sharedStrings.xml><?xml version="1.0" encoding="utf-8"?>
<sst xmlns="http://schemas.openxmlformats.org/spreadsheetml/2006/main" count="473" uniqueCount="187">
  <si>
    <t>Population</t>
  </si>
  <si>
    <t>Current</t>
  </si>
  <si>
    <t>Historical</t>
  </si>
  <si>
    <t>Totals</t>
  </si>
  <si>
    <t>Low</t>
  </si>
  <si>
    <t>Med</t>
  </si>
  <si>
    <t>High</t>
  </si>
  <si>
    <t>Total</t>
  </si>
  <si>
    <t>--</t>
  </si>
  <si>
    <t>Return</t>
  </si>
  <si>
    <t>Hatchery</t>
  </si>
  <si>
    <t>Location</t>
  </si>
  <si>
    <t>Potential Goal Range</t>
  </si>
  <si>
    <t>Location (Program)</t>
  </si>
  <si>
    <t>Brood</t>
  </si>
  <si>
    <t>Natural Production</t>
  </si>
  <si>
    <t>Terminal</t>
  </si>
  <si>
    <t>Fisheries / Harvest</t>
  </si>
  <si>
    <t>Recent</t>
  </si>
  <si>
    <t>Ocean</t>
  </si>
  <si>
    <t>@ Columbia R Mouth</t>
  </si>
  <si>
    <t>Treaty</t>
  </si>
  <si>
    <t>Snake River Sockeye</t>
  </si>
  <si>
    <t>Life History: Summer run, Lake-rearing</t>
  </si>
  <si>
    <t>Stanley Basin</t>
  </si>
  <si>
    <t>Redfish Lake</t>
  </si>
  <si>
    <t>Alturas Lake</t>
  </si>
  <si>
    <t>Hell Roaring Lake</t>
  </si>
  <si>
    <t>Petit Lake</t>
  </si>
  <si>
    <t>ESA: Endangered</t>
  </si>
  <si>
    <t>Yellow Belly Lake</t>
  </si>
  <si>
    <t>Stanley Lake</t>
  </si>
  <si>
    <t>Payette</t>
  </si>
  <si>
    <t>(Payette)</t>
  </si>
  <si>
    <t>(Wallowa)</t>
  </si>
  <si>
    <t>Mouth</t>
  </si>
  <si>
    <t>Total Return</t>
  </si>
  <si>
    <t>Natural Return</t>
  </si>
  <si>
    <t>Hatchery Return</t>
  </si>
  <si>
    <t>Alturas Returns*</t>
  </si>
  <si>
    <t>Observed Not</t>
  </si>
  <si>
    <t>Trapped</t>
  </si>
  <si>
    <t>At</t>
  </si>
  <si>
    <t>Col. R.</t>
  </si>
  <si>
    <t>Non-treaty</t>
  </si>
  <si>
    <r>
      <t>Catch</t>
    </r>
    <r>
      <rPr>
        <i/>
        <vertAlign val="superscript"/>
        <sz val="11"/>
        <color rgb="FF000000"/>
        <rFont val="Calibri"/>
        <family val="2"/>
        <scheme val="minor"/>
      </rPr>
      <t>2</t>
    </r>
    <r>
      <rPr>
        <i/>
        <sz val="11"/>
        <color rgb="FF000000"/>
        <rFont val="Calibri"/>
        <family val="2"/>
        <scheme val="minor"/>
      </rPr>
      <t xml:space="preserve"> </t>
    </r>
  </si>
  <si>
    <r>
      <t>Catch</t>
    </r>
    <r>
      <rPr>
        <i/>
        <vertAlign val="superscript"/>
        <sz val="11"/>
        <color rgb="FF000000"/>
        <rFont val="Calibri"/>
        <family val="2"/>
        <scheme val="minor"/>
      </rPr>
      <t>3</t>
    </r>
    <r>
      <rPr>
        <i/>
        <sz val="11"/>
        <color rgb="FF000000"/>
        <rFont val="Calibri"/>
        <family val="2"/>
        <scheme val="minor"/>
      </rPr>
      <t xml:space="preserve"> </t>
    </r>
  </si>
  <si>
    <t>LGr - esc</t>
  </si>
  <si>
    <t>CR - LG</t>
  </si>
  <si>
    <t>% hat</t>
  </si>
  <si>
    <t>BON - LGR</t>
  </si>
  <si>
    <t>conversion</t>
  </si>
  <si>
    <t>Recov Plan Hydro model value</t>
  </si>
  <si>
    <t>LGR - esc</t>
  </si>
  <si>
    <t>5-7%</t>
  </si>
  <si>
    <t>ER</t>
  </si>
  <si>
    <t>total</t>
  </si>
  <si>
    <t>Catch</t>
  </si>
  <si>
    <t>hatch</t>
  </si>
  <si>
    <t>wild</t>
  </si>
  <si>
    <t>Columbia R Nontreaty</t>
  </si>
  <si>
    <t>Columbia R Treaty</t>
  </si>
  <si>
    <t>Harvest (Col mainstem)</t>
  </si>
  <si>
    <t>Mainstem Treaty</t>
  </si>
  <si>
    <t>Avg.</t>
  </si>
  <si>
    <t>Harvest</t>
  </si>
  <si>
    <t>Exploitation rate</t>
  </si>
  <si>
    <t>@ Goals</t>
  </si>
  <si>
    <t>% hatchery</t>
  </si>
  <si>
    <t>To Snake R (L Granite)</t>
  </si>
  <si>
    <t>Current Production</t>
  </si>
  <si>
    <t>Smolts</t>
  </si>
  <si>
    <t>Fry</t>
  </si>
  <si>
    <t>production</t>
  </si>
  <si>
    <t>Mainstem non treaty</t>
  </si>
  <si>
    <t>[Need to fix plots of natural &amp; hatchery to account for unobserved]</t>
  </si>
  <si>
    <t>10-yr avg</t>
  </si>
  <si>
    <t>Low goal</t>
  </si>
  <si>
    <t>Med goal</t>
  </si>
  <si>
    <t>High goal</t>
  </si>
  <si>
    <t>goal</t>
  </si>
  <si>
    <t>Limits</t>
  </si>
  <si>
    <t>Springfield Hatchery</t>
  </si>
  <si>
    <t>10-40%</t>
  </si>
  <si>
    <t>SAR</t>
  </si>
  <si>
    <t>Hatchery Production</t>
  </si>
  <si>
    <t>Wallowa Lake</t>
  </si>
  <si>
    <t>Local Return</t>
  </si>
  <si>
    <t>Anticipated</t>
  </si>
  <si>
    <t>Potential</t>
  </si>
  <si>
    <t>Stock</t>
  </si>
  <si>
    <t>Record type</t>
  </si>
  <si>
    <t>Subject</t>
  </si>
  <si>
    <t>Variable</t>
  </si>
  <si>
    <t>Value</t>
  </si>
  <si>
    <t>Metric</t>
  </si>
  <si>
    <t>Units</t>
  </si>
  <si>
    <t>Method</t>
  </si>
  <si>
    <t>Years</t>
  </si>
  <si>
    <t>Quantitative Goal Rules</t>
  </si>
  <si>
    <t>Reference</t>
  </si>
  <si>
    <t>Reference Link</t>
  </si>
  <si>
    <t>Notes</t>
  </si>
  <si>
    <t>geomean</t>
  </si>
  <si>
    <t>not applicable</t>
  </si>
  <si>
    <t>2008-2016</t>
  </si>
  <si>
    <t>P Kline, IDFG, unpublished</t>
  </si>
  <si>
    <t>Historically extirpated population</t>
  </si>
  <si>
    <t>Historical (1800s)</t>
  </si>
  <si>
    <t>Mid-way between low- and high-range goals</t>
  </si>
  <si>
    <t>Medium range - 2</t>
  </si>
  <si>
    <t>1800s</t>
  </si>
  <si>
    <t>https://idfg.idaho.gov/conservation/sockeye</t>
  </si>
  <si>
    <t>https://www.cbfish.org/Document.mvc/Viewer/A30423-1.pdf</t>
  </si>
  <si>
    <t>NPT is exploring reintroduction potential but we have not found any specific goals.</t>
  </si>
  <si>
    <t>IDFG Unpublished</t>
  </si>
  <si>
    <t>Cramer, S., and K. Witty. 1998. Feasibility for Reintroducing Sockeye and Coho Salmon in the Grande Ronde Basin. S. P. Cramer and Associates report to Nez Perce Tribe. (BPA Report DOE/BP-30423-1)</t>
  </si>
  <si>
    <t>Low range - 1</t>
  </si>
  <si>
    <t>https://www.westcoast.fisheries.noaa.gov/publications/recovery_planning/salmon_steelhead/domains/interior_columbia/snake/snake_river_sockeye_recovery_plan_june_2015.pdf</t>
  </si>
  <si>
    <t xml:space="preserve">NMFS (National Marine Fisheries Service). 2015. ESA Recovery Plan for Snake River Sockeye Salmon (Oncorhynchus nerka). </t>
  </si>
  <si>
    <r>
      <t xml:space="preserve">Table ES-2. </t>
    </r>
    <r>
      <rPr>
        <sz val="10"/>
        <color rgb="FF000000"/>
        <rFont val="Times New Roman"/>
        <family val="1"/>
      </rPr>
      <t>Hatchery and natural-origin Sockeye Salmon returns to Sawtooth Valley, 1999 – 2014 (IDFG, in prep). [Recovery Plan data thru 2014]</t>
    </r>
  </si>
  <si>
    <t>High range - 1</t>
  </si>
  <si>
    <t>https://www.cbfish.org/Document.mvc/Viewer/P158036</t>
  </si>
  <si>
    <t>2015-2016 data from: https://www.cbfish.org/Document.mvc/Viewer/P158036</t>
  </si>
  <si>
    <t># trapped</t>
  </si>
  <si>
    <t>Weir trap count</t>
  </si>
  <si>
    <t>Johnson, E., K. Palmer, S. Simmonds, K. Kruse and C. Kozfkay. 2016. Snake Rover Sockeye Salmon captive broodstock program. Idahoe Department of Fish and Game Annual Report to the Bonneville Power Administration (Project 2007-402-00).</t>
  </si>
  <si>
    <t>ESU/MPG</t>
  </si>
  <si>
    <t>natural origin spawners adults</t>
  </si>
  <si>
    <t>Bon est</t>
  </si>
  <si>
    <t>IHR count</t>
  </si>
  <si>
    <t>See sockeye run reconstruction worksheet for number derivation (separate file)</t>
  </si>
  <si>
    <t>LGR</t>
  </si>
  <si>
    <t>Unmarked</t>
  </si>
  <si>
    <t>Marked</t>
  </si>
  <si>
    <t>P Kline data</t>
  </si>
  <si>
    <t>Abundance (mean)</t>
  </si>
  <si>
    <t>(SF Salmon)</t>
  </si>
  <si>
    <t>South Fork Salmon</t>
  </si>
  <si>
    <t>current</t>
  </si>
  <si>
    <t>forwards</t>
  </si>
  <si>
    <t>backwards</t>
  </si>
  <si>
    <t>Medium</t>
  </si>
  <si>
    <t>actual</t>
  </si>
  <si>
    <t>mort</t>
  </si>
  <si>
    <t>surv</t>
  </si>
  <si>
    <t>cummul</t>
  </si>
  <si>
    <t>#</t>
  </si>
  <si>
    <t>diff</t>
  </si>
  <si>
    <t>terminal run</t>
  </si>
  <si>
    <t>Natl loss from LGr to terminal area</t>
  </si>
  <si>
    <t>Harvest from LGR to terminal area</t>
  </si>
  <si>
    <t>@ LGR</t>
  </si>
  <si>
    <t>Natl loss from MCN to LGR</t>
  </si>
  <si>
    <t>Harvest from MCN to LGR</t>
  </si>
  <si>
    <t>Natl loss from BON to MCN</t>
  </si>
  <si>
    <t>Harvest from BON to MCN</t>
  </si>
  <si>
    <t>@ BON</t>
  </si>
  <si>
    <t>Natl loss from mouth to BON</t>
  </si>
  <si>
    <t>Harvest from mouth to BON</t>
  </si>
  <si>
    <t>CR Run</t>
  </si>
  <si>
    <t>Total harvest</t>
  </si>
  <si>
    <t>ER v mouth</t>
  </si>
  <si>
    <t>Conversion loss</t>
  </si>
  <si>
    <t>%</t>
  </si>
  <si>
    <t>ER goal</t>
  </si>
  <si>
    <t>misc scalar</t>
  </si>
  <si>
    <t>hatchery</t>
  </si>
  <si>
    <t>Subjective assumptions for how much hatchery harvest rates might increase relative to wild rates</t>
  </si>
  <si>
    <t>harvest scalar</t>
  </si>
  <si>
    <t>Recent avg</t>
  </si>
  <si>
    <t>(2008-2017)</t>
  </si>
  <si>
    <t>hat</t>
  </si>
  <si>
    <t>Observed not trapped</t>
  </si>
  <si>
    <t>natl</t>
  </si>
  <si>
    <t>@ Bonneville Dam</t>
  </si>
  <si>
    <t>assume conservation hatchery pgm goes away after recovery is achieved</t>
  </si>
  <si>
    <t>historical population identified in recovery plan</t>
  </si>
  <si>
    <t>Natural &amp; Hatchery</t>
  </si>
  <si>
    <t>Natural</t>
  </si>
  <si>
    <t>Pettit Lake</t>
  </si>
  <si>
    <t>Stanley</t>
  </si>
  <si>
    <t>Wallowa</t>
  </si>
  <si>
    <t>blocked</t>
  </si>
  <si>
    <t>goals supplied by ODFW</t>
  </si>
  <si>
    <t>upper goal supplied by NPT</t>
  </si>
  <si>
    <t>Warm Lake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</si>
</sst>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28" x14ac:knownFonts="1">
    <font>
      <sz val="11"/>
      <color theme="1"/>
      <name val="Calibri"/>
      <family val="2"/>
      <scheme val="minor"/>
    </font>
    <font>
      <b/>
      <sz val="11"/>
      <color theme="1"/>
      <name val="Calibri"/>
      <family val="2"/>
      <scheme val="minor"/>
    </font>
    <font>
      <b/>
      <u/>
      <sz val="11"/>
      <color theme="1"/>
      <name val="Calibri"/>
      <family val="2"/>
      <scheme val="minor"/>
    </font>
    <font>
      <b/>
      <sz val="14"/>
      <color theme="0"/>
      <name val="Calibri"/>
      <family val="2"/>
      <scheme val="minor"/>
    </font>
    <font>
      <sz val="11"/>
      <color theme="1"/>
      <name val="Calibri"/>
      <family val="2"/>
      <scheme val="minor"/>
    </font>
    <font>
      <sz val="11"/>
      <color rgb="FFFF0000"/>
      <name val="Calibri"/>
      <family val="2"/>
      <scheme val="minor"/>
    </font>
    <font>
      <b/>
      <i/>
      <sz val="11"/>
      <color theme="1"/>
      <name val="Calibri"/>
      <family val="2"/>
      <scheme val="minor"/>
    </font>
    <font>
      <sz val="11"/>
      <name val="Calibri"/>
      <family val="2"/>
      <scheme val="minor"/>
    </font>
    <font>
      <b/>
      <sz val="11"/>
      <color rgb="FFFF0000"/>
      <name val="Calibri"/>
      <family val="2"/>
      <scheme val="minor"/>
    </font>
    <font>
      <b/>
      <sz val="14"/>
      <color rgb="FFFF0000"/>
      <name val="Calibri"/>
      <family val="2"/>
      <scheme val="minor"/>
    </font>
    <font>
      <sz val="10"/>
      <name val="Arial"/>
      <family val="2"/>
    </font>
    <font>
      <sz val="11"/>
      <color theme="1"/>
      <name val="Times New Roman"/>
      <family val="1"/>
    </font>
    <font>
      <b/>
      <sz val="9"/>
      <color rgb="FF000000"/>
      <name val="Arial Narrow"/>
      <family val="2"/>
    </font>
    <font>
      <sz val="11"/>
      <color rgb="FF000000"/>
      <name val="Arial Narrow"/>
      <family val="2"/>
    </font>
    <font>
      <b/>
      <sz val="10"/>
      <color rgb="FF000000"/>
      <name val="Times New Roman"/>
      <family val="1"/>
    </font>
    <font>
      <sz val="10"/>
      <color rgb="FF000000"/>
      <name val="Times New Roman"/>
      <family val="1"/>
    </font>
    <font>
      <sz val="11"/>
      <color rgb="FF000000"/>
      <name val="Calibri"/>
      <family val="2"/>
      <scheme val="minor"/>
    </font>
    <font>
      <i/>
      <vertAlign val="superscript"/>
      <sz val="11"/>
      <color rgb="FF000000"/>
      <name val="Calibri"/>
      <family val="2"/>
      <scheme val="minor"/>
    </font>
    <font>
      <i/>
      <sz val="11"/>
      <color rgb="FF000000"/>
      <name val="Calibri"/>
      <family val="2"/>
      <scheme val="minor"/>
    </font>
    <font>
      <sz val="14"/>
      <color theme="1"/>
      <name val="Calibri"/>
      <family val="2"/>
      <scheme val="minor"/>
    </font>
    <font>
      <sz val="14"/>
      <color rgb="FFFF0000"/>
      <name val="Calibri"/>
      <family val="2"/>
      <scheme val="minor"/>
    </font>
    <font>
      <sz val="9"/>
      <color indexed="81"/>
      <name val="Tahoma"/>
      <family val="2"/>
    </font>
    <font>
      <b/>
      <sz val="9"/>
      <color indexed="81"/>
      <name val="Tahoma"/>
      <family val="2"/>
    </font>
    <font>
      <u/>
      <sz val="11"/>
      <color theme="10"/>
      <name val="Calibri"/>
      <family val="2"/>
      <scheme val="minor"/>
    </font>
    <font>
      <sz val="11"/>
      <color theme="1"/>
      <name val="Calibri"/>
      <family val="2"/>
    </font>
    <font>
      <b/>
      <u/>
      <sz val="9"/>
      <color indexed="81"/>
      <name val="Tahoma"/>
      <family val="2"/>
    </font>
    <font>
      <sz val="11"/>
      <color theme="1"/>
      <name val="Arial Narrow"/>
      <family val="2"/>
    </font>
    <font>
      <sz val="10"/>
      <name val="Calibri"/>
      <family val="2"/>
      <scheme val="minor"/>
    </font>
  </fonts>
  <fills count="14">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1F1F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A68800"/>
        <bgColor indexed="64"/>
      </patternFill>
    </fill>
    <fill>
      <patternFill patternType="solid">
        <fgColor rgb="FFEABD00"/>
        <bgColor indexed="64"/>
      </patternFill>
    </fill>
    <fill>
      <patternFill patternType="solid">
        <fgColor rgb="FFFFEA93"/>
        <bgColor indexed="64"/>
      </patternFill>
    </fill>
  </fills>
  <borders count="16">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4" fillId="0" borderId="0" applyFont="0" applyFill="0" applyBorder="0" applyAlignment="0" applyProtection="0"/>
    <xf numFmtId="0" fontId="10" fillId="0" borderId="0"/>
    <xf numFmtId="0" fontId="23" fillId="0" borderId="0" applyNumberFormat="0" applyFill="0" applyBorder="0" applyAlignment="0" applyProtection="0"/>
  </cellStyleXfs>
  <cellXfs count="226">
    <xf numFmtId="0" fontId="0" fillId="0" borderId="0" xfId="0"/>
    <xf numFmtId="0" fontId="0" fillId="0" borderId="0" xfId="0" applyAlignment="1">
      <alignment horizontal="center"/>
    </xf>
    <xf numFmtId="0" fontId="0" fillId="3" borderId="0" xfId="0" applyFill="1"/>
    <xf numFmtId="0" fontId="9" fillId="3" borderId="0" xfId="0" applyFont="1" applyFill="1" applyAlignment="1">
      <alignment vertical="center"/>
    </xf>
    <xf numFmtId="0" fontId="5" fillId="3" borderId="0" xfId="0" applyFont="1" applyFill="1" applyAlignment="1">
      <alignment vertical="center"/>
    </xf>
    <xf numFmtId="0" fontId="8" fillId="3" borderId="0" xfId="0" applyFont="1" applyFill="1" applyAlignment="1">
      <alignment vertical="center"/>
    </xf>
    <xf numFmtId="0" fontId="5" fillId="3" borderId="0" xfId="0" applyFont="1" applyFill="1"/>
    <xf numFmtId="0" fontId="0" fillId="0" borderId="1" xfId="0" applyBorder="1"/>
    <xf numFmtId="0" fontId="0" fillId="0" borderId="7" xfId="0" applyBorder="1"/>
    <xf numFmtId="0" fontId="5" fillId="0" borderId="0" xfId="0" applyFont="1"/>
    <xf numFmtId="0" fontId="7" fillId="0" borderId="4" xfId="0" applyFont="1" applyBorder="1"/>
    <xf numFmtId="0" fontId="1" fillId="6" borderId="12" xfId="0" applyFont="1" applyFill="1" applyBorder="1"/>
    <xf numFmtId="0" fontId="1" fillId="5" borderId="2" xfId="0" applyFont="1" applyFill="1" applyBorder="1"/>
    <xf numFmtId="0" fontId="0" fillId="0" borderId="0" xfId="0" quotePrefix="1" applyAlignment="1">
      <alignment horizontal="center"/>
    </xf>
    <xf numFmtId="0" fontId="0" fillId="0" borderId="8" xfId="0" quotePrefix="1" applyBorder="1" applyAlignment="1">
      <alignment horizontal="center"/>
    </xf>
    <xf numFmtId="0" fontId="7" fillId="0" borderId="0" xfId="0" applyFont="1"/>
    <xf numFmtId="0" fontId="1" fillId="2" borderId="6" xfId="0" applyFont="1" applyFill="1" applyBorder="1" applyAlignment="1">
      <alignment horizontal="center" vertical="center"/>
    </xf>
    <xf numFmtId="3" fontId="0" fillId="0" borderId="2" xfId="0" quotePrefix="1" applyNumberFormat="1" applyBorder="1" applyAlignment="1">
      <alignment horizontal="center"/>
    </xf>
    <xf numFmtId="3" fontId="0" fillId="0" borderId="0" xfId="0" quotePrefix="1" applyNumberFormat="1" applyAlignment="1">
      <alignment horizontal="center"/>
    </xf>
    <xf numFmtId="3" fontId="0" fillId="0" borderId="7" xfId="0" quotePrefix="1" applyNumberFormat="1" applyBorder="1" applyAlignment="1">
      <alignment horizontal="center"/>
    </xf>
    <xf numFmtId="3" fontId="0" fillId="0" borderId="8" xfId="0" quotePrefix="1" applyNumberFormat="1" applyBorder="1" applyAlignment="1">
      <alignment horizontal="center"/>
    </xf>
    <xf numFmtId="3" fontId="0" fillId="0" borderId="3" xfId="0" applyNumberFormat="1" applyBorder="1" applyAlignment="1">
      <alignment horizontal="center"/>
    </xf>
    <xf numFmtId="3" fontId="0" fillId="0" borderId="7" xfId="0" applyNumberFormat="1" applyBorder="1" applyAlignment="1">
      <alignment horizontal="center"/>
    </xf>
    <xf numFmtId="0" fontId="12" fillId="7" borderId="0" xfId="0" applyFont="1" applyFill="1" applyAlignment="1">
      <alignment horizontal="center" vertical="center" wrapText="1"/>
    </xf>
    <xf numFmtId="0" fontId="13" fillId="0" borderId="0" xfId="0" applyFont="1" applyAlignment="1">
      <alignment horizontal="center" vertical="center" wrapText="1"/>
    </xf>
    <xf numFmtId="3" fontId="13" fillId="0" borderId="0" xfId="0" applyNumberFormat="1" applyFont="1" applyAlignment="1">
      <alignment horizontal="center" vertical="center" wrapText="1"/>
    </xf>
    <xf numFmtId="0" fontId="14" fillId="0" borderId="0" xfId="0" applyFont="1" applyAlignment="1">
      <alignment vertical="center"/>
    </xf>
    <xf numFmtId="0" fontId="11" fillId="0" borderId="0" xfId="0" applyFont="1" applyAlignment="1">
      <alignment vertical="center" wrapText="1"/>
    </xf>
    <xf numFmtId="0" fontId="0" fillId="0" borderId="0" xfId="0" applyAlignment="1">
      <alignment wrapText="1"/>
    </xf>
    <xf numFmtId="0" fontId="16" fillId="0" borderId="0" xfId="0" applyFont="1" applyAlignment="1">
      <alignment horizontal="center" vertical="center" wrapText="1"/>
    </xf>
    <xf numFmtId="0" fontId="16" fillId="0" borderId="0" xfId="0" applyFont="1" applyAlignment="1">
      <alignment horizontal="right" vertical="center" wrapText="1"/>
    </xf>
    <xf numFmtId="3" fontId="16" fillId="0" borderId="0" xfId="0" applyNumberFormat="1" applyFont="1" applyAlignment="1">
      <alignment horizontal="right" vertical="center" wrapText="1"/>
    </xf>
    <xf numFmtId="3" fontId="5" fillId="0" borderId="0" xfId="0" applyNumberFormat="1" applyFont="1" applyAlignment="1">
      <alignment horizontal="center"/>
    </xf>
    <xf numFmtId="9" fontId="0" fillId="0" borderId="0" xfId="1" applyFont="1"/>
    <xf numFmtId="9" fontId="16" fillId="0" borderId="0" xfId="1" applyFont="1" applyAlignment="1">
      <alignment horizontal="right" vertical="center" wrapText="1"/>
    </xf>
    <xf numFmtId="0" fontId="0" fillId="0" borderId="0" xfId="0" applyAlignment="1">
      <alignment horizontal="right"/>
    </xf>
    <xf numFmtId="9" fontId="0" fillId="0" borderId="0" xfId="0" applyNumberFormat="1"/>
    <xf numFmtId="1" fontId="0" fillId="0" borderId="0" xfId="0" applyNumberFormat="1" applyAlignment="1">
      <alignment horizontal="center"/>
    </xf>
    <xf numFmtId="164" fontId="16" fillId="0" borderId="0" xfId="1" applyNumberFormat="1" applyFont="1" applyAlignment="1">
      <alignment horizontal="right" vertical="center" wrapText="1"/>
    </xf>
    <xf numFmtId="164" fontId="0" fillId="0" borderId="0" xfId="0" applyNumberFormat="1"/>
    <xf numFmtId="0" fontId="0" fillId="0" borderId="9" xfId="0" applyBorder="1"/>
    <xf numFmtId="0" fontId="19" fillId="0" borderId="0" xfId="0" applyFont="1"/>
    <xf numFmtId="164" fontId="6" fillId="5" borderId="14" xfId="0" applyNumberFormat="1" applyFont="1" applyFill="1" applyBorder="1" applyAlignment="1">
      <alignment horizontal="center"/>
    </xf>
    <xf numFmtId="0" fontId="6" fillId="5" borderId="12" xfId="0" applyFont="1" applyFill="1" applyBorder="1" applyAlignment="1">
      <alignment vertical="center"/>
    </xf>
    <xf numFmtId="0" fontId="1" fillId="5" borderId="6" xfId="0" applyFont="1" applyFill="1" applyBorder="1" applyAlignment="1">
      <alignment horizontal="center"/>
    </xf>
    <xf numFmtId="0" fontId="1" fillId="5" borderId="1" xfId="0" applyFont="1" applyFill="1" applyBorder="1"/>
    <xf numFmtId="0" fontId="2" fillId="5" borderId="5" xfId="0" applyFont="1" applyFill="1" applyBorder="1" applyAlignment="1">
      <alignment horizontal="centerContinuous"/>
    </xf>
    <xf numFmtId="0" fontId="2" fillId="5" borderId="4" xfId="0" applyFont="1" applyFill="1" applyBorder="1" applyAlignment="1">
      <alignment horizontal="centerContinuous"/>
    </xf>
    <xf numFmtId="0" fontId="0" fillId="0" borderId="2" xfId="0" applyBorder="1"/>
    <xf numFmtId="0" fontId="1" fillId="0" borderId="3" xfId="0" applyFont="1" applyBorder="1"/>
    <xf numFmtId="0" fontId="0" fillId="0" borderId="4" xfId="0" applyBorder="1"/>
    <xf numFmtId="0" fontId="1" fillId="4" borderId="12" xfId="0" applyFont="1" applyFill="1" applyBorder="1"/>
    <xf numFmtId="0" fontId="0" fillId="4" borderId="13" xfId="0" applyFill="1" applyBorder="1"/>
    <xf numFmtId="0" fontId="2" fillId="8" borderId="4" xfId="0" applyFont="1" applyFill="1" applyBorder="1" applyAlignment="1">
      <alignment horizontal="centerContinuous"/>
    </xf>
    <xf numFmtId="0" fontId="1" fillId="8" borderId="4" xfId="0" applyFont="1" applyFill="1" applyBorder="1" applyAlignment="1">
      <alignment horizontal="centerContinuous"/>
    </xf>
    <xf numFmtId="0" fontId="1" fillId="8" borderId="5" xfId="0" applyFont="1" applyFill="1" applyBorder="1" applyAlignment="1">
      <alignment horizontal="center"/>
    </xf>
    <xf numFmtId="0" fontId="1" fillId="8" borderId="2" xfId="0" applyFont="1" applyFill="1" applyBorder="1"/>
    <xf numFmtId="0" fontId="1" fillId="8" borderId="1" xfId="0" applyFont="1" applyFill="1" applyBorder="1"/>
    <xf numFmtId="3" fontId="1" fillId="8" borderId="1" xfId="0" applyNumberFormat="1" applyFont="1" applyFill="1" applyBorder="1"/>
    <xf numFmtId="0" fontId="1" fillId="8" borderId="7" xfId="0" applyFont="1" applyFill="1" applyBorder="1"/>
    <xf numFmtId="0" fontId="1" fillId="8" borderId="0" xfId="0" applyFont="1" applyFill="1"/>
    <xf numFmtId="0" fontId="1" fillId="8" borderId="0" xfId="0" applyFont="1" applyFill="1" applyAlignment="1">
      <alignment horizontal="center"/>
    </xf>
    <xf numFmtId="0" fontId="1" fillId="0" borderId="3" xfId="0" quotePrefix="1" applyFont="1" applyBorder="1" applyAlignment="1">
      <alignment horizontal="left"/>
    </xf>
    <xf numFmtId="3" fontId="0" fillId="3" borderId="0" xfId="0" applyNumberFormat="1" applyFill="1"/>
    <xf numFmtId="0" fontId="5" fillId="3" borderId="0" xfId="0" applyFont="1" applyFill="1" applyAlignment="1">
      <alignment horizontal="center"/>
    </xf>
    <xf numFmtId="0" fontId="1" fillId="3" borderId="12" xfId="0" applyFont="1" applyFill="1" applyBorder="1" applyAlignment="1">
      <alignment horizontal="center"/>
    </xf>
    <xf numFmtId="9" fontId="0" fillId="0" borderId="0" xfId="1" applyFont="1" applyAlignment="1">
      <alignment horizontal="center"/>
    </xf>
    <xf numFmtId="164" fontId="1" fillId="3" borderId="13" xfId="0" applyNumberFormat="1" applyFont="1" applyFill="1" applyBorder="1" applyAlignment="1">
      <alignment horizontal="center"/>
    </xf>
    <xf numFmtId="3" fontId="1" fillId="3" borderId="13" xfId="0" applyNumberFormat="1" applyFont="1" applyFill="1" applyBorder="1" applyAlignment="1">
      <alignment horizontal="center"/>
    </xf>
    <xf numFmtId="3" fontId="0" fillId="0" borderId="0" xfId="0" applyNumberFormat="1"/>
    <xf numFmtId="0" fontId="1" fillId="3" borderId="0" xfId="0" applyFont="1" applyFill="1"/>
    <xf numFmtId="164" fontId="6" fillId="5" borderId="13" xfId="0" applyNumberFormat="1" applyFont="1" applyFill="1" applyBorder="1" applyAlignment="1">
      <alignment horizontal="center"/>
    </xf>
    <xf numFmtId="0" fontId="1" fillId="5" borderId="1" xfId="0" applyFont="1" applyFill="1" applyBorder="1" applyAlignment="1">
      <alignment horizontal="center"/>
    </xf>
    <xf numFmtId="0" fontId="1" fillId="0" borderId="9" xfId="0" applyFont="1" applyBorder="1" applyAlignment="1">
      <alignment horizontal="left"/>
    </xf>
    <xf numFmtId="3" fontId="5" fillId="3" borderId="0" xfId="0" applyNumberFormat="1" applyFont="1" applyFill="1"/>
    <xf numFmtId="0" fontId="19" fillId="3" borderId="0" xfId="0" applyFont="1" applyFill="1"/>
    <xf numFmtId="0" fontId="1" fillId="8" borderId="4" xfId="0" applyFont="1" applyFill="1" applyBorder="1" applyAlignment="1">
      <alignment horizontal="center"/>
    </xf>
    <xf numFmtId="3" fontId="1" fillId="8" borderId="6" xfId="0" applyNumberFormat="1" applyFont="1" applyFill="1" applyBorder="1" applyAlignment="1">
      <alignment horizontal="center"/>
    </xf>
    <xf numFmtId="3" fontId="5" fillId="0" borderId="0" xfId="0" applyNumberFormat="1" applyFont="1"/>
    <xf numFmtId="0" fontId="0" fillId="0" borderId="12" xfId="0" applyBorder="1"/>
    <xf numFmtId="0" fontId="0" fillId="0" borderId="14" xfId="0" applyBorder="1"/>
    <xf numFmtId="0" fontId="5" fillId="0" borderId="14" xfId="0" applyFont="1" applyBorder="1" applyAlignment="1">
      <alignment horizontal="center"/>
    </xf>
    <xf numFmtId="3" fontId="0" fillId="0" borderId="14" xfId="0" applyNumberFormat="1" applyBorder="1"/>
    <xf numFmtId="3" fontId="0" fillId="0" borderId="14" xfId="0" applyNumberFormat="1" applyBorder="1" applyAlignment="1">
      <alignment horizontal="center"/>
    </xf>
    <xf numFmtId="3" fontId="0" fillId="0" borderId="13" xfId="0" applyNumberFormat="1" applyBorder="1" applyAlignment="1">
      <alignment horizontal="center"/>
    </xf>
    <xf numFmtId="0" fontId="2" fillId="5" borderId="3" xfId="0" applyFont="1" applyFill="1" applyBorder="1" applyAlignment="1">
      <alignment horizontal="centerContinuous"/>
    </xf>
    <xf numFmtId="0" fontId="0" fillId="0" borderId="7" xfId="0" quotePrefix="1" applyBorder="1" applyAlignment="1">
      <alignment horizontal="center"/>
    </xf>
    <xf numFmtId="0" fontId="1" fillId="6" borderId="14" xfId="0" applyFont="1" applyFill="1" applyBorder="1"/>
    <xf numFmtId="0" fontId="1" fillId="5" borderId="5" xfId="0" applyFont="1" applyFill="1" applyBorder="1" applyAlignment="1">
      <alignment horizontal="centerContinuous"/>
    </xf>
    <xf numFmtId="0" fontId="1" fillId="5" borderId="2" xfId="0" applyFont="1" applyFill="1" applyBorder="1" applyAlignment="1">
      <alignment horizontal="center"/>
    </xf>
    <xf numFmtId="0" fontId="0" fillId="0" borderId="7" xfId="0" applyBorder="1" applyAlignment="1">
      <alignment horizontal="center"/>
    </xf>
    <xf numFmtId="164" fontId="6" fillId="5" borderId="12" xfId="1" applyNumberFormat="1" applyFont="1" applyFill="1" applyBorder="1" applyAlignment="1">
      <alignment horizontal="center"/>
    </xf>
    <xf numFmtId="0" fontId="1" fillId="9" borderId="0" xfId="0" applyFont="1" applyFill="1"/>
    <xf numFmtId="0" fontId="1" fillId="9" borderId="0" xfId="0" applyFont="1" applyFill="1" applyAlignment="1">
      <alignment horizontal="center"/>
    </xf>
    <xf numFmtId="3" fontId="0" fillId="0" borderId="0" xfId="0" applyNumberFormat="1" applyAlignment="1">
      <alignment horizontal="center"/>
    </xf>
    <xf numFmtId="0" fontId="23" fillId="0" borderId="0" xfId="3"/>
    <xf numFmtId="0" fontId="1" fillId="0" borderId="0" xfId="0" applyFont="1" applyAlignment="1">
      <alignment horizontal="center" vertical="center"/>
    </xf>
    <xf numFmtId="0" fontId="24" fillId="0" borderId="0" xfId="0" applyFont="1"/>
    <xf numFmtId="3" fontId="0" fillId="0" borderId="1" xfId="0" applyNumberFormat="1" applyBorder="1" applyAlignment="1">
      <alignment horizontal="center"/>
    </xf>
    <xf numFmtId="0" fontId="0" fillId="0" borderId="1" xfId="0" applyBorder="1" applyAlignment="1">
      <alignment horizontal="center"/>
    </xf>
    <xf numFmtId="0" fontId="23" fillId="0" borderId="0" xfId="3" applyAlignment="1">
      <alignment horizontal="left" vertical="center"/>
    </xf>
    <xf numFmtId="0" fontId="26" fillId="0" borderId="0" xfId="0" applyFont="1" applyAlignment="1">
      <alignment horizontal="center" vertical="center" wrapText="1"/>
    </xf>
    <xf numFmtId="3"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3" fontId="26" fillId="0" borderId="0" xfId="0" applyNumberFormat="1" applyFont="1" applyAlignment="1">
      <alignment horizontal="center" vertical="center" wrapText="1"/>
    </xf>
    <xf numFmtId="0" fontId="14" fillId="0" borderId="0" xfId="0" applyFont="1" applyAlignment="1">
      <alignment horizontal="center" vertical="center"/>
    </xf>
    <xf numFmtId="0" fontId="8" fillId="0" borderId="0" xfId="0" applyFont="1"/>
    <xf numFmtId="1" fontId="1" fillId="5" borderId="12" xfId="0" applyNumberFormat="1" applyFont="1" applyFill="1" applyBorder="1" applyAlignment="1">
      <alignment horizontal="center"/>
    </xf>
    <xf numFmtId="3" fontId="27" fillId="0" borderId="0" xfId="0" applyNumberFormat="1" applyFont="1" applyAlignment="1">
      <alignment horizontal="center"/>
    </xf>
    <xf numFmtId="0" fontId="16" fillId="0" borderId="1" xfId="0" applyFont="1" applyBorder="1" applyAlignment="1">
      <alignment horizontal="center" vertical="center" wrapText="1"/>
    </xf>
    <xf numFmtId="9" fontId="27" fillId="0" borderId="0" xfId="1" applyFont="1" applyAlignment="1">
      <alignment horizontal="center"/>
    </xf>
    <xf numFmtId="0" fontId="1" fillId="0" borderId="11" xfId="0" applyFont="1" applyBorder="1" applyAlignment="1">
      <alignment horizontal="left"/>
    </xf>
    <xf numFmtId="0" fontId="23" fillId="0" borderId="1" xfId="3" applyBorder="1"/>
    <xf numFmtId="0" fontId="5" fillId="0" borderId="1" xfId="0" applyFont="1" applyBorder="1"/>
    <xf numFmtId="165" fontId="0" fillId="0" borderId="0" xfId="0" applyNumberFormat="1"/>
    <xf numFmtId="0" fontId="0" fillId="0" borderId="0" xfId="0" applyAlignment="1">
      <alignment horizontal="left"/>
    </xf>
    <xf numFmtId="0" fontId="5" fillId="0" borderId="0" xfId="0" applyFont="1" applyAlignment="1">
      <alignment horizontal="center"/>
    </xf>
    <xf numFmtId="3" fontId="0" fillId="0" borderId="15" xfId="0" applyNumberFormat="1" applyBorder="1"/>
    <xf numFmtId="3" fontId="0" fillId="8" borderId="15" xfId="0" applyNumberFormat="1" applyFill="1" applyBorder="1"/>
    <xf numFmtId="165" fontId="5" fillId="0" borderId="0" xfId="0" applyNumberFormat="1" applyFont="1"/>
    <xf numFmtId="2" fontId="0" fillId="0" borderId="0" xfId="0" applyNumberFormat="1"/>
    <xf numFmtId="165" fontId="0" fillId="10" borderId="0" xfId="0" applyNumberFormat="1" applyFill="1"/>
    <xf numFmtId="3" fontId="0" fillId="10" borderId="0" xfId="0" applyNumberFormat="1" applyFill="1"/>
    <xf numFmtId="0" fontId="0" fillId="0" borderId="0" xfId="0" quotePrefix="1"/>
    <xf numFmtId="2" fontId="5" fillId="0" borderId="0" xfId="0" applyNumberFormat="1" applyFont="1"/>
    <xf numFmtId="3" fontId="0" fillId="0" borderId="0" xfId="0" applyNumberFormat="1" applyAlignment="1">
      <alignment horizontal="right"/>
    </xf>
    <xf numFmtId="9" fontId="0" fillId="0" borderId="0" xfId="1" applyFont="1" applyAlignment="1">
      <alignment horizontal="right"/>
    </xf>
    <xf numFmtId="164" fontId="0" fillId="0" borderId="0" xfId="1" applyNumberFormat="1" applyFont="1"/>
    <xf numFmtId="164" fontId="5" fillId="0" borderId="0" xfId="1" applyNumberFormat="1" applyFont="1"/>
    <xf numFmtId="165" fontId="5" fillId="0" borderId="0" xfId="1" applyNumberFormat="1" applyFont="1"/>
    <xf numFmtId="0" fontId="5" fillId="0" borderId="0" xfId="0" applyFont="1" applyAlignment="1">
      <alignment horizontal="right"/>
    </xf>
    <xf numFmtId="164" fontId="4" fillId="0" borderId="0" xfId="1" applyNumberFormat="1"/>
    <xf numFmtId="164" fontId="4" fillId="0" borderId="0" xfId="1" applyNumberFormat="1" applyAlignment="1">
      <alignment horizontal="right"/>
    </xf>
    <xf numFmtId="164" fontId="5" fillId="0" borderId="0" xfId="1" applyNumberFormat="1" applyFont="1" applyAlignment="1">
      <alignment horizontal="right"/>
    </xf>
    <xf numFmtId="164" fontId="0" fillId="0" borderId="0" xfId="1" applyNumberFormat="1" applyFont="1" applyAlignment="1">
      <alignment horizontal="right"/>
    </xf>
    <xf numFmtId="166" fontId="0" fillId="8" borderId="0" xfId="1" applyNumberFormat="1" applyFont="1" applyFill="1"/>
    <xf numFmtId="165" fontId="0" fillId="0" borderId="0" xfId="1" applyNumberFormat="1" applyFont="1"/>
    <xf numFmtId="9" fontId="5" fillId="0" borderId="0" xfId="1" applyFont="1"/>
    <xf numFmtId="165" fontId="5" fillId="8" borderId="0" xfId="0" applyNumberFormat="1" applyFont="1" applyFill="1"/>
    <xf numFmtId="0" fontId="5" fillId="8" borderId="0" xfId="0" applyFont="1" applyFill="1"/>
    <xf numFmtId="164" fontId="0" fillId="0" borderId="0" xfId="0" applyNumberFormat="1" applyAlignment="1">
      <alignment horizontal="center"/>
    </xf>
    <xf numFmtId="1" fontId="0" fillId="0" borderId="0" xfId="0" applyNumberFormat="1" applyAlignment="1">
      <alignment horizontal="right"/>
    </xf>
    <xf numFmtId="1" fontId="13" fillId="0" borderId="0" xfId="0" applyNumberFormat="1" applyFont="1" applyAlignment="1">
      <alignment horizontal="center" vertical="center" wrapText="1"/>
    </xf>
    <xf numFmtId="0" fontId="1" fillId="0" borderId="3" xfId="0" quotePrefix="1" applyFont="1" applyBorder="1"/>
    <xf numFmtId="165" fontId="0" fillId="8" borderId="0" xfId="1" applyNumberFormat="1" applyFont="1" applyFill="1"/>
    <xf numFmtId="3" fontId="6" fillId="5" borderId="13" xfId="0" applyNumberFormat="1" applyFont="1" applyFill="1" applyBorder="1" applyAlignment="1">
      <alignment horizontal="center"/>
    </xf>
    <xf numFmtId="3" fontId="1" fillId="8" borderId="1" xfId="0" applyNumberFormat="1" applyFont="1" applyFill="1" applyBorder="1" applyAlignment="1">
      <alignment horizontal="center"/>
    </xf>
    <xf numFmtId="0" fontId="0" fillId="0" borderId="1" xfId="0" applyBorder="1" applyAlignment="1">
      <alignment horizontal="center" vertical="center"/>
    </xf>
    <xf numFmtId="0" fontId="1" fillId="0" borderId="15" xfId="0" applyFont="1" applyBorder="1" applyAlignment="1">
      <alignment horizontal="left" vertical="center" wrapText="1"/>
    </xf>
    <xf numFmtId="164" fontId="0" fillId="0" borderId="7" xfId="0" applyNumberFormat="1" applyBorder="1" applyAlignment="1">
      <alignment horizontal="center"/>
    </xf>
    <xf numFmtId="1" fontId="0" fillId="0" borderId="7" xfId="0" applyNumberFormat="1" applyBorder="1" applyAlignment="1">
      <alignment horizontal="center"/>
    </xf>
    <xf numFmtId="3" fontId="1" fillId="0" borderId="4" xfId="0" applyNumberFormat="1" applyFont="1" applyBorder="1" applyAlignment="1">
      <alignment horizontal="center"/>
    </xf>
    <xf numFmtId="3" fontId="1" fillId="0" borderId="5" xfId="0" applyNumberFormat="1" applyFont="1" applyBorder="1" applyAlignment="1">
      <alignment horizontal="center"/>
    </xf>
    <xf numFmtId="3" fontId="0" fillId="0" borderId="8" xfId="0" applyNumberFormat="1" applyBorder="1" applyAlignment="1">
      <alignment horizontal="center"/>
    </xf>
    <xf numFmtId="9" fontId="0" fillId="0" borderId="1" xfId="0" applyNumberFormat="1" applyBorder="1" applyAlignment="1">
      <alignment horizontal="center"/>
    </xf>
    <xf numFmtId="9" fontId="0" fillId="0" borderId="1" xfId="1" applyFont="1" applyBorder="1" applyAlignment="1">
      <alignment horizontal="center"/>
    </xf>
    <xf numFmtId="9" fontId="0" fillId="0" borderId="6" xfId="1" applyFont="1" applyBorder="1" applyAlignment="1">
      <alignment horizontal="center"/>
    </xf>
    <xf numFmtId="0" fontId="20" fillId="11" borderId="0" xfId="0" applyFont="1" applyFill="1" applyAlignment="1">
      <alignment vertical="center"/>
    </xf>
    <xf numFmtId="0" fontId="3" fillId="11" borderId="0" xfId="0" applyFont="1" applyFill="1" applyAlignment="1">
      <alignment vertical="center"/>
    </xf>
    <xf numFmtId="0" fontId="3" fillId="11" borderId="0" xfId="0" applyFont="1" applyFill="1" applyAlignment="1">
      <alignment horizontal="right" vertical="center"/>
    </xf>
    <xf numFmtId="0" fontId="9" fillId="11" borderId="0" xfId="0" applyFont="1" applyFill="1" applyAlignment="1">
      <alignment vertical="center"/>
    </xf>
    <xf numFmtId="0" fontId="3" fillId="11" borderId="0" xfId="0" applyFont="1" applyFill="1" applyAlignment="1">
      <alignment horizontal="left" vertical="center"/>
    </xf>
    <xf numFmtId="0" fontId="20" fillId="11" borderId="0" xfId="0" applyFont="1" applyFill="1"/>
    <xf numFmtId="0" fontId="19" fillId="11" borderId="0" xfId="0" applyFont="1" applyFill="1"/>
    <xf numFmtId="0" fontId="1" fillId="12" borderId="12" xfId="0" applyFont="1" applyFill="1" applyBorder="1"/>
    <xf numFmtId="0" fontId="0" fillId="12" borderId="13" xfId="0" applyFill="1" applyBorder="1"/>
    <xf numFmtId="0" fontId="2" fillId="13" borderId="3" xfId="0" applyFont="1" applyFill="1" applyBorder="1" applyAlignment="1">
      <alignment horizontal="centerContinuous"/>
    </xf>
    <xf numFmtId="0" fontId="0" fillId="13" borderId="5" xfId="0" applyFill="1" applyBorder="1" applyAlignment="1">
      <alignment horizontal="centerContinuous"/>
    </xf>
    <xf numFmtId="0" fontId="2" fillId="13" borderId="4" xfId="0" applyFont="1" applyFill="1" applyBorder="1" applyAlignment="1">
      <alignment horizontal="centerContinuous"/>
    </xf>
    <xf numFmtId="0" fontId="1" fillId="13" borderId="4" xfId="0" applyFont="1" applyFill="1" applyBorder="1" applyAlignment="1">
      <alignment horizontal="centerContinuous"/>
    </xf>
    <xf numFmtId="0" fontId="1" fillId="13" borderId="5" xfId="0" applyFont="1" applyFill="1" applyBorder="1" applyAlignment="1">
      <alignment horizontal="centerContinuous"/>
    </xf>
    <xf numFmtId="0" fontId="1" fillId="13" borderId="6" xfId="0" applyFont="1" applyFill="1" applyBorder="1" applyAlignment="1">
      <alignment horizontal="center" vertical="center"/>
    </xf>
    <xf numFmtId="0" fontId="1" fillId="13" borderId="0" xfId="0" applyFont="1" applyFill="1" applyAlignment="1">
      <alignment horizontal="center" vertical="center"/>
    </xf>
    <xf numFmtId="0" fontId="1" fillId="13" borderId="8" xfId="0" applyFont="1" applyFill="1" applyBorder="1" applyAlignment="1">
      <alignment horizontal="center" vertical="center"/>
    </xf>
    <xf numFmtId="0" fontId="1" fillId="13" borderId="12" xfId="0" applyFont="1" applyFill="1" applyBorder="1" applyAlignment="1">
      <alignment horizontal="center" vertical="center"/>
    </xf>
    <xf numFmtId="0" fontId="1" fillId="13" borderId="5" xfId="0" applyFont="1" applyFill="1" applyBorder="1" applyAlignment="1">
      <alignment horizontal="center" vertical="center"/>
    </xf>
    <xf numFmtId="0" fontId="1" fillId="13" borderId="12" xfId="0" applyFont="1" applyFill="1" applyBorder="1" applyAlignment="1">
      <alignment horizontal="left"/>
    </xf>
    <xf numFmtId="0" fontId="0" fillId="13" borderId="14" xfId="0" applyFill="1" applyBorder="1" applyAlignment="1">
      <alignment horizontal="centerContinuous"/>
    </xf>
    <xf numFmtId="3" fontId="1" fillId="13" borderId="14" xfId="0" applyNumberFormat="1" applyFont="1" applyFill="1" applyBorder="1" applyAlignment="1">
      <alignment horizontal="center"/>
    </xf>
    <xf numFmtId="3" fontId="1" fillId="13" borderId="13" xfId="0" applyNumberFormat="1" applyFont="1" applyFill="1" applyBorder="1" applyAlignment="1">
      <alignment horizontal="center"/>
    </xf>
    <xf numFmtId="0" fontId="1" fillId="2" borderId="3" xfId="0" applyFont="1" applyFill="1" applyBorder="1" applyAlignment="1">
      <alignment horizontal="centerContinuous"/>
    </xf>
    <xf numFmtId="0" fontId="1" fillId="2" borderId="14" xfId="0" quotePrefix="1" applyFont="1" applyFill="1" applyBorder="1" applyAlignment="1">
      <alignment horizontal="centerContinuous"/>
    </xf>
    <xf numFmtId="0" fontId="1" fillId="2" borderId="14" xfId="0" applyFont="1" applyFill="1" applyBorder="1" applyAlignment="1">
      <alignment horizontal="centerContinuous"/>
    </xf>
    <xf numFmtId="0" fontId="1" fillId="2" borderId="13" xfId="0" applyFont="1" applyFill="1" applyBorder="1" applyAlignment="1">
      <alignment horizontal="centerContinuous"/>
    </xf>
    <xf numFmtId="0" fontId="1" fillId="2" borderId="2" xfId="0" applyFont="1" applyFill="1" applyBorder="1" applyAlignment="1">
      <alignment horizontal="center"/>
    </xf>
    <xf numFmtId="0" fontId="1" fillId="2" borderId="1" xfId="0" applyFont="1" applyFill="1" applyBorder="1" applyAlignment="1">
      <alignment horizontal="center" vertical="center"/>
    </xf>
    <xf numFmtId="0" fontId="1" fillId="13" borderId="2" xfId="0" applyFont="1" applyFill="1" applyBorder="1" applyAlignment="1">
      <alignment horizontal="center" vertical="center"/>
    </xf>
    <xf numFmtId="1" fontId="7" fillId="0" borderId="3" xfId="2" applyNumberFormat="1" applyFont="1" applyBorder="1" applyAlignment="1">
      <alignment horizontal="center"/>
    </xf>
    <xf numFmtId="3" fontId="4" fillId="0" borderId="7" xfId="0" applyNumberFormat="1" applyFont="1" applyBorder="1" applyAlignment="1">
      <alignment horizontal="center"/>
    </xf>
    <xf numFmtId="3" fontId="4" fillId="0" borderId="2" xfId="0" applyNumberFormat="1" applyFont="1" applyBorder="1" applyAlignment="1">
      <alignment horizontal="center"/>
    </xf>
    <xf numFmtId="3" fontId="0" fillId="0" borderId="2" xfId="0" applyNumberFormat="1" applyBorder="1" applyAlignment="1">
      <alignment horizontal="center"/>
    </xf>
    <xf numFmtId="3" fontId="0" fillId="0" borderId="4" xfId="0" applyNumberFormat="1" applyBorder="1" applyAlignment="1">
      <alignment horizontal="center"/>
    </xf>
    <xf numFmtId="0" fontId="1" fillId="8" borderId="8" xfId="0" applyFont="1" applyFill="1" applyBorder="1" applyAlignment="1">
      <alignment horizontal="center"/>
    </xf>
    <xf numFmtId="3" fontId="0" fillId="0" borderId="1" xfId="0" applyNumberFormat="1" applyBorder="1"/>
    <xf numFmtId="3" fontId="5" fillId="0" borderId="7" xfId="0" quotePrefix="1" applyNumberFormat="1" applyFont="1" applyBorder="1" applyAlignment="1">
      <alignment horizontal="center"/>
    </xf>
    <xf numFmtId="3" fontId="5" fillId="0" borderId="0" xfId="0" quotePrefix="1" applyNumberFormat="1" applyFont="1" applyAlignment="1">
      <alignment horizontal="center"/>
    </xf>
    <xf numFmtId="3" fontId="5" fillId="0" borderId="8" xfId="0" quotePrefix="1" applyNumberFormat="1" applyFont="1" applyBorder="1" applyAlignment="1">
      <alignment horizontal="center"/>
    </xf>
    <xf numFmtId="0" fontId="0" fillId="0" borderId="13" xfId="0" applyFont="1" applyBorder="1"/>
    <xf numFmtId="3" fontId="0" fillId="0" borderId="2" xfId="0" quotePrefix="1" applyNumberFormat="1" applyFont="1" applyBorder="1" applyAlignment="1">
      <alignment horizontal="center"/>
    </xf>
    <xf numFmtId="3" fontId="0" fillId="0" borderId="1" xfId="0" quotePrefix="1" applyNumberFormat="1" applyFont="1" applyBorder="1" applyAlignment="1">
      <alignment horizontal="center"/>
    </xf>
    <xf numFmtId="3" fontId="0" fillId="0" borderId="6" xfId="0" quotePrefix="1" applyNumberFormat="1" applyFont="1" applyBorder="1" applyAlignment="1">
      <alignment horizontal="center"/>
    </xf>
    <xf numFmtId="3" fontId="0" fillId="0" borderId="7" xfId="0" quotePrefix="1" applyNumberFormat="1" applyFont="1" applyBorder="1" applyAlignment="1">
      <alignment horizontal="center"/>
    </xf>
    <xf numFmtId="3" fontId="0" fillId="0" borderId="0" xfId="0" quotePrefix="1" applyNumberFormat="1" applyFont="1" applyAlignment="1">
      <alignment horizontal="center"/>
    </xf>
    <xf numFmtId="3" fontId="0" fillId="0" borderId="8" xfId="0" quotePrefix="1" applyNumberFormat="1" applyFont="1" applyBorder="1" applyAlignment="1">
      <alignment horizontal="center"/>
    </xf>
    <xf numFmtId="3" fontId="0" fillId="8" borderId="0" xfId="0" applyNumberFormat="1" applyFill="1"/>
    <xf numFmtId="3" fontId="0" fillId="0" borderId="0" xfId="0" applyNumberFormat="1" applyFont="1" applyAlignment="1">
      <alignment horizontal="center"/>
    </xf>
    <xf numFmtId="0" fontId="1" fillId="10" borderId="3" xfId="0" applyFont="1" applyFill="1" applyBorder="1" applyAlignment="1">
      <alignment horizontal="center" vertical="center"/>
    </xf>
    <xf numFmtId="0" fontId="0" fillId="10" borderId="5" xfId="0" applyFill="1" applyBorder="1" applyAlignment="1">
      <alignment horizontal="center" vertical="center"/>
    </xf>
    <xf numFmtId="0" fontId="0" fillId="10" borderId="2" xfId="0" applyFill="1" applyBorder="1" applyAlignment="1">
      <alignment horizontal="center" vertical="center"/>
    </xf>
    <xf numFmtId="0" fontId="0" fillId="10" borderId="6" xfId="0" applyFill="1" applyBorder="1" applyAlignment="1">
      <alignment horizontal="center" vertical="center"/>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164" fontId="0" fillId="0" borderId="0" xfId="0" applyNumberFormat="1" applyAlignment="1">
      <alignment horizontal="center" vertical="center"/>
    </xf>
    <xf numFmtId="0" fontId="0" fillId="0" borderId="0" xfId="0" applyAlignment="1">
      <alignment horizontal="center" vertical="center"/>
    </xf>
    <xf numFmtId="3" fontId="0" fillId="0" borderId="4" xfId="0" applyNumberFormat="1" applyBorder="1" applyAlignment="1">
      <alignment horizontal="center" vertical="center"/>
    </xf>
    <xf numFmtId="0" fontId="0" fillId="0" borderId="1" xfId="0" applyBorder="1" applyAlignment="1">
      <alignment horizontal="center" vertical="center"/>
    </xf>
    <xf numFmtId="3" fontId="0" fillId="0" borderId="5" xfId="0" applyNumberFormat="1"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164" fontId="0" fillId="0" borderId="8" xfId="0" applyNumberFormat="1" applyBorder="1" applyAlignment="1">
      <alignment horizontal="center" vertical="center"/>
    </xf>
    <xf numFmtId="0" fontId="0" fillId="0" borderId="6" xfId="0" applyBorder="1" applyAlignment="1">
      <alignment horizontal="center"/>
    </xf>
    <xf numFmtId="3" fontId="0" fillId="0" borderId="8" xfId="0" quotePrefix="1" applyNumberFormat="1" applyBorder="1" applyAlignment="1">
      <alignment horizontal="center" vertical="center"/>
    </xf>
    <xf numFmtId="3" fontId="7" fillId="0" borderId="5" xfId="0" applyNumberFormat="1" applyFont="1" applyBorder="1" applyAlignment="1">
      <alignment horizontal="center" vertical="center"/>
    </xf>
    <xf numFmtId="0" fontId="1" fillId="0" borderId="9" xfId="0" applyFont="1" applyBorder="1" applyAlignment="1">
      <alignment horizontal="center" vertical="center" wrapText="1"/>
    </xf>
    <xf numFmtId="0" fontId="12" fillId="7" borderId="0" xfId="0" applyFont="1" applyFill="1" applyAlignment="1">
      <alignment horizontal="center" vertical="center" wrapText="1"/>
    </xf>
    <xf numFmtId="0" fontId="11" fillId="0" borderId="0" xfId="0" applyFont="1" applyAlignment="1">
      <alignment vertical="center" wrapText="1"/>
    </xf>
  </cellXfs>
  <cellStyles count="4">
    <cellStyle name="Hyperlink" xfId="3" builtinId="8"/>
    <cellStyle name="Normal" xfId="0" builtinId="0"/>
    <cellStyle name="Normal 3" xfId="2" xr:uid="{00000000-0005-0000-0000-000001000000}"/>
    <cellStyle name="Percent" xfId="1" builtinId="5"/>
  </cellStyles>
  <dxfs count="0"/>
  <tableStyles count="0" defaultTableStyle="TableStyleMedium2" defaultPivotStyle="PivotStyleLight16"/>
  <colors>
    <mruColors>
      <color rgb="FF685400"/>
      <color rgb="FFFFEA93"/>
      <color rgb="FFFFDA3F"/>
      <color rgb="FFEABD00"/>
      <color rgb="FFA68800"/>
      <color rgb="FF800000"/>
      <color rgb="FFFFE5E5"/>
      <color rgb="FFE10101"/>
      <color rgb="FFFFAFAF"/>
      <color rgb="FFFE4C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67863633682699"/>
          <c:y val="5.0926099833851046E-2"/>
          <c:w val="0.87488040197248185"/>
          <c:h val="0.82766742339054333"/>
        </c:manualLayout>
      </c:layout>
      <c:barChart>
        <c:barDir val="col"/>
        <c:grouping val="stacked"/>
        <c:varyColors val="0"/>
        <c:ser>
          <c:idx val="0"/>
          <c:order val="0"/>
          <c:tx>
            <c:v>Natural return to Sawtooth Valley</c:v>
          </c:tx>
          <c:spPr>
            <a:solidFill>
              <a:srgbClr val="685400"/>
            </a:solidFill>
            <a:ln>
              <a:solidFill>
                <a:schemeClr val="tx1"/>
              </a:solidFill>
            </a:ln>
            <a:effectLst/>
          </c:spPr>
          <c:invertIfNegative val="0"/>
          <c:cat>
            <c:numRef>
              <c:f>Run!$B$23:$B$61</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Run!$U$23:$U$61</c:f>
              <c:numCache>
                <c:formatCode>General</c:formatCode>
                <c:ptCount val="39"/>
                <c:pt idx="5">
                  <c:v>14</c:v>
                </c:pt>
                <c:pt idx="6">
                  <c:v>29</c:v>
                </c:pt>
                <c:pt idx="7">
                  <c:v>16</c:v>
                </c:pt>
                <c:pt idx="8">
                  <c:v>1</c:v>
                </c:pt>
                <c:pt idx="9">
                  <c:v>1</c:v>
                </c:pt>
                <c:pt idx="10">
                  <c:v>0</c:v>
                </c:pt>
                <c:pt idx="11">
                  <c:v>4</c:v>
                </c:pt>
                <c:pt idx="12">
                  <c:v>1</c:v>
                </c:pt>
                <c:pt idx="13">
                  <c:v>8</c:v>
                </c:pt>
                <c:pt idx="14">
                  <c:v>1</c:v>
                </c:pt>
                <c:pt idx="15">
                  <c:v>0</c:v>
                </c:pt>
                <c:pt idx="16">
                  <c:v>1</c:v>
                </c:pt>
                <c:pt idx="17">
                  <c:v>0</c:v>
                </c:pt>
                <c:pt idx="18">
                  <c:v>1</c:v>
                </c:pt>
                <c:pt idx="19">
                  <c:v>0</c:v>
                </c:pt>
                <c:pt idx="20">
                  <c:v>10</c:v>
                </c:pt>
                <c:pt idx="21">
                  <c:v>4</c:v>
                </c:pt>
                <c:pt idx="22">
                  <c:v>6</c:v>
                </c:pt>
                <c:pt idx="23">
                  <c:v>0</c:v>
                </c:pt>
                <c:pt idx="24">
                  <c:v>4</c:v>
                </c:pt>
                <c:pt idx="25">
                  <c:v>2</c:v>
                </c:pt>
                <c:pt idx="26">
                  <c:v>1</c:v>
                </c:pt>
                <c:pt idx="27">
                  <c:v>3</c:v>
                </c:pt>
                <c:pt idx="28">
                  <c:v>140</c:v>
                </c:pt>
                <c:pt idx="29">
                  <c:v>86</c:v>
                </c:pt>
                <c:pt idx="30">
                  <c:v>178</c:v>
                </c:pt>
                <c:pt idx="31">
                  <c:v>145</c:v>
                </c:pt>
                <c:pt idx="32">
                  <c:v>52</c:v>
                </c:pt>
                <c:pt idx="33">
                  <c:v>79</c:v>
                </c:pt>
                <c:pt idx="34">
                  <c:v>453</c:v>
                </c:pt>
                <c:pt idx="35" formatCode="#,##0">
                  <c:v>28</c:v>
                </c:pt>
                <c:pt idx="36" formatCode="#,##0">
                  <c:v>33</c:v>
                </c:pt>
              </c:numCache>
            </c:numRef>
          </c:val>
          <c:extLst>
            <c:ext xmlns:c16="http://schemas.microsoft.com/office/drawing/2014/chart" uri="{C3380CC4-5D6E-409C-BE32-E72D297353CC}">
              <c16:uniqueId val="{00000000-00F8-4D14-AE16-A1389A74F3AA}"/>
            </c:ext>
          </c:extLst>
        </c:ser>
        <c:ser>
          <c:idx val="1"/>
          <c:order val="1"/>
          <c:tx>
            <c:v>Hatchery return to Sawtooth Valley</c:v>
          </c:tx>
          <c:spPr>
            <a:solidFill>
              <a:srgbClr val="A68800"/>
            </a:solidFill>
            <a:ln>
              <a:solidFill>
                <a:schemeClr val="tx1"/>
              </a:solidFill>
            </a:ln>
            <a:effectLst/>
          </c:spPr>
          <c:invertIfNegative val="0"/>
          <c:cat>
            <c:numRef>
              <c:f>Run!$B$23:$B$61</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Run!$V$23:$V$61</c:f>
              <c:numCache>
                <c:formatCode>General</c:formatCode>
                <c:ptCount val="39"/>
                <c:pt idx="19">
                  <c:v>7</c:v>
                </c:pt>
                <c:pt idx="20">
                  <c:v>233</c:v>
                </c:pt>
                <c:pt idx="21">
                  <c:v>19</c:v>
                </c:pt>
                <c:pt idx="22">
                  <c:v>9</c:v>
                </c:pt>
                <c:pt idx="23">
                  <c:v>2</c:v>
                </c:pt>
                <c:pt idx="24">
                  <c:v>20</c:v>
                </c:pt>
                <c:pt idx="25">
                  <c:v>4</c:v>
                </c:pt>
                <c:pt idx="26">
                  <c:v>2</c:v>
                </c:pt>
                <c:pt idx="27">
                  <c:v>1</c:v>
                </c:pt>
                <c:pt idx="28">
                  <c:v>456</c:v>
                </c:pt>
                <c:pt idx="29">
                  <c:v>730</c:v>
                </c:pt>
                <c:pt idx="30" formatCode="#,##0">
                  <c:v>1144</c:v>
                </c:pt>
                <c:pt idx="31">
                  <c:v>954</c:v>
                </c:pt>
                <c:pt idx="32">
                  <c:v>190</c:v>
                </c:pt>
                <c:pt idx="33">
                  <c:v>191</c:v>
                </c:pt>
                <c:pt idx="34" formatCode="#,##0">
                  <c:v>1062</c:v>
                </c:pt>
                <c:pt idx="35" formatCode="#,##0">
                  <c:v>63</c:v>
                </c:pt>
                <c:pt idx="36" formatCode="#,##0">
                  <c:v>539</c:v>
                </c:pt>
              </c:numCache>
            </c:numRef>
          </c:val>
          <c:extLst>
            <c:ext xmlns:c16="http://schemas.microsoft.com/office/drawing/2014/chart" uri="{C3380CC4-5D6E-409C-BE32-E72D297353CC}">
              <c16:uniqueId val="{00000001-00F8-4D14-AE16-A1389A74F3AA}"/>
            </c:ext>
          </c:extLst>
        </c:ser>
        <c:ser>
          <c:idx val="2"/>
          <c:order val="2"/>
          <c:tx>
            <c:v>Lower Granite return</c:v>
          </c:tx>
          <c:spPr>
            <a:solidFill>
              <a:srgbClr val="EABD00"/>
            </a:solidFill>
            <a:ln>
              <a:solidFill>
                <a:schemeClr val="tx1">
                  <a:lumMod val="95000"/>
                  <a:lumOff val="5000"/>
                </a:schemeClr>
              </a:solidFill>
            </a:ln>
            <a:effectLst/>
          </c:spPr>
          <c:invertIfNegative val="0"/>
          <c:cat>
            <c:numRef>
              <c:f>Run!$B$23:$B$61</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Run!$AD$23:$AD$61</c:f>
              <c:numCache>
                <c:formatCode>General</c:formatCode>
                <c:ptCount val="39"/>
                <c:pt idx="0">
                  <c:v>96</c:v>
                </c:pt>
                <c:pt idx="1">
                  <c:v>218</c:v>
                </c:pt>
                <c:pt idx="2">
                  <c:v>211</c:v>
                </c:pt>
                <c:pt idx="3">
                  <c:v>216</c:v>
                </c:pt>
                <c:pt idx="4">
                  <c:v>105</c:v>
                </c:pt>
                <c:pt idx="5">
                  <c:v>21</c:v>
                </c:pt>
                <c:pt idx="6">
                  <c:v>-9</c:v>
                </c:pt>
                <c:pt idx="7">
                  <c:v>13</c:v>
                </c:pt>
                <c:pt idx="8">
                  <c:v>22</c:v>
                </c:pt>
                <c:pt idx="9">
                  <c:v>3</c:v>
                </c:pt>
                <c:pt idx="10">
                  <c:v>1</c:v>
                </c:pt>
                <c:pt idx="11">
                  <c:v>5</c:v>
                </c:pt>
                <c:pt idx="12">
                  <c:v>1</c:v>
                </c:pt>
                <c:pt idx="13">
                  <c:v>9</c:v>
                </c:pt>
                <c:pt idx="14">
                  <c:v>2</c:v>
                </c:pt>
                <c:pt idx="15">
                  <c:v>5</c:v>
                </c:pt>
                <c:pt idx="16">
                  <c:v>2</c:v>
                </c:pt>
                <c:pt idx="17">
                  <c:v>17</c:v>
                </c:pt>
                <c:pt idx="18">
                  <c:v>2</c:v>
                </c:pt>
                <c:pt idx="19">
                  <c:v>11</c:v>
                </c:pt>
                <c:pt idx="20">
                  <c:v>80</c:v>
                </c:pt>
                <c:pt idx="21">
                  <c:v>19</c:v>
                </c:pt>
                <c:pt idx="22">
                  <c:v>50</c:v>
                </c:pt>
                <c:pt idx="23">
                  <c:v>23</c:v>
                </c:pt>
                <c:pt idx="24">
                  <c:v>86</c:v>
                </c:pt>
                <c:pt idx="25">
                  <c:v>13</c:v>
                </c:pt>
                <c:pt idx="26">
                  <c:v>13</c:v>
                </c:pt>
                <c:pt idx="27">
                  <c:v>51</c:v>
                </c:pt>
                <c:pt idx="28">
                  <c:v>260</c:v>
                </c:pt>
                <c:pt idx="29">
                  <c:v>572</c:v>
                </c:pt>
                <c:pt idx="30">
                  <c:v>1037</c:v>
                </c:pt>
                <c:pt idx="31">
                  <c:v>383</c:v>
                </c:pt>
                <c:pt idx="32">
                  <c:v>189</c:v>
                </c:pt>
                <c:pt idx="33">
                  <c:v>485</c:v>
                </c:pt>
                <c:pt idx="34">
                  <c:v>1208</c:v>
                </c:pt>
                <c:pt idx="35">
                  <c:v>349</c:v>
                </c:pt>
                <c:pt idx="36">
                  <c:v>220</c:v>
                </c:pt>
                <c:pt idx="37">
                  <c:v>228</c:v>
                </c:pt>
                <c:pt idx="38">
                  <c:v>378</c:v>
                </c:pt>
              </c:numCache>
            </c:numRef>
          </c:val>
          <c:extLst>
            <c:ext xmlns:c16="http://schemas.microsoft.com/office/drawing/2014/chart" uri="{C3380CC4-5D6E-409C-BE32-E72D297353CC}">
              <c16:uniqueId val="{00000002-00F8-4D14-AE16-A1389A74F3AA}"/>
            </c:ext>
          </c:extLst>
        </c:ser>
        <c:ser>
          <c:idx val="3"/>
          <c:order val="3"/>
          <c:tx>
            <c:v>Columbia River return</c:v>
          </c:tx>
          <c:spPr>
            <a:solidFill>
              <a:srgbClr val="FFDA3F"/>
            </a:solidFill>
            <a:ln>
              <a:solidFill>
                <a:schemeClr val="tx1"/>
              </a:solidFill>
            </a:ln>
            <a:effectLst/>
          </c:spPr>
          <c:invertIfNegative val="0"/>
          <c:cat>
            <c:numRef>
              <c:f>Run!$B$23:$B$61</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Run!$AE$23:$AE$61</c:f>
              <c:numCache>
                <c:formatCode>General</c:formatCode>
                <c:ptCount val="39"/>
                <c:pt idx="0">
                  <c:v>11</c:v>
                </c:pt>
                <c:pt idx="1">
                  <c:v>18</c:v>
                </c:pt>
                <c:pt idx="2">
                  <c:v>46</c:v>
                </c:pt>
                <c:pt idx="3">
                  <c:v>25</c:v>
                </c:pt>
                <c:pt idx="4">
                  <c:v>43</c:v>
                </c:pt>
                <c:pt idx="5">
                  <c:v>24</c:v>
                </c:pt>
                <c:pt idx="6">
                  <c:v>4</c:v>
                </c:pt>
                <c:pt idx="7">
                  <c:v>26</c:v>
                </c:pt>
                <c:pt idx="8">
                  <c:v>22</c:v>
                </c:pt>
                <c:pt idx="9">
                  <c:v>0</c:v>
                </c:pt>
                <c:pt idx="10">
                  <c:v>0</c:v>
                </c:pt>
                <c:pt idx="11">
                  <c:v>1</c:v>
                </c:pt>
                <c:pt idx="12">
                  <c:v>0</c:v>
                </c:pt>
                <c:pt idx="13">
                  <c:v>1</c:v>
                </c:pt>
                <c:pt idx="14">
                  <c:v>0</c:v>
                </c:pt>
                <c:pt idx="15">
                  <c:v>0</c:v>
                </c:pt>
                <c:pt idx="16">
                  <c:v>0</c:v>
                </c:pt>
                <c:pt idx="17">
                  <c:v>1</c:v>
                </c:pt>
                <c:pt idx="18">
                  <c:v>1</c:v>
                </c:pt>
                <c:pt idx="19">
                  <c:v>1</c:v>
                </c:pt>
                <c:pt idx="20">
                  <c:v>15</c:v>
                </c:pt>
                <c:pt idx="21">
                  <c:v>4</c:v>
                </c:pt>
                <c:pt idx="22">
                  <c:v>4</c:v>
                </c:pt>
                <c:pt idx="23">
                  <c:v>2</c:v>
                </c:pt>
                <c:pt idx="24">
                  <c:v>4</c:v>
                </c:pt>
                <c:pt idx="25">
                  <c:v>1</c:v>
                </c:pt>
                <c:pt idx="26">
                  <c:v>44</c:v>
                </c:pt>
                <c:pt idx="27">
                  <c:v>3</c:v>
                </c:pt>
                <c:pt idx="28">
                  <c:v>71</c:v>
                </c:pt>
                <c:pt idx="29">
                  <c:v>91</c:v>
                </c:pt>
                <c:pt idx="30">
                  <c:v>175</c:v>
                </c:pt>
                <c:pt idx="31">
                  <c:v>298</c:v>
                </c:pt>
                <c:pt idx="32">
                  <c:v>66</c:v>
                </c:pt>
                <c:pt idx="33">
                  <c:v>380</c:v>
                </c:pt>
                <c:pt idx="34">
                  <c:v>151</c:v>
                </c:pt>
                <c:pt idx="35">
                  <c:v>1303</c:v>
                </c:pt>
                <c:pt idx="36">
                  <c:v>131</c:v>
                </c:pt>
                <c:pt idx="37">
                  <c:v>217</c:v>
                </c:pt>
                <c:pt idx="38">
                  <c:v>-378</c:v>
                </c:pt>
              </c:numCache>
            </c:numRef>
          </c:val>
          <c:extLst>
            <c:ext xmlns:c16="http://schemas.microsoft.com/office/drawing/2014/chart" uri="{C3380CC4-5D6E-409C-BE32-E72D297353CC}">
              <c16:uniqueId val="{00000003-00F8-4D14-AE16-A1389A74F3AA}"/>
            </c:ext>
          </c:extLst>
        </c:ser>
        <c:dLbls>
          <c:showLegendKey val="0"/>
          <c:showVal val="0"/>
          <c:showCatName val="0"/>
          <c:showSerName val="0"/>
          <c:showPercent val="0"/>
          <c:showBubbleSize val="0"/>
        </c:dLbls>
        <c:gapWidth val="10"/>
        <c:overlap val="100"/>
        <c:axId val="235987360"/>
        <c:axId val="235986968"/>
      </c:barChart>
      <c:catAx>
        <c:axId val="2359873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235986968"/>
        <c:crosses val="autoZero"/>
        <c:auto val="1"/>
        <c:lblAlgn val="ctr"/>
        <c:lblOffset val="100"/>
        <c:tickLblSkip val="2"/>
        <c:tickMarkSkip val="2"/>
        <c:noMultiLvlLbl val="0"/>
      </c:catAx>
      <c:valAx>
        <c:axId val="235986968"/>
        <c:scaling>
          <c:orientation val="minMax"/>
          <c:max val="3000"/>
          <c:min val="0"/>
        </c:scaling>
        <c:delete val="0"/>
        <c:axPos val="l"/>
        <c:majorGridlines>
          <c:spPr>
            <a:ln w="9525" cap="flat" cmpd="sng" algn="ctr">
              <a:solidFill>
                <a:schemeClr val="bg1">
                  <a:lumMod val="50000"/>
                </a:schemeClr>
              </a:solidFill>
              <a:prstDash val="dash"/>
              <a:round/>
            </a:ln>
            <a:effectLst/>
          </c:spPr>
        </c:majorGridlines>
        <c:title>
          <c:tx>
            <c:rich>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sz="1600"/>
                  <a:t>Abundance</a:t>
                </a:r>
              </a:p>
            </c:rich>
          </c:tx>
          <c:layout>
            <c:manualLayout>
              <c:xMode val="edge"/>
              <c:yMode val="edge"/>
              <c:x val="4.8562199200258664E-3"/>
              <c:y val="0.30397023723472993"/>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235987360"/>
        <c:crosses val="autoZero"/>
        <c:crossBetween val="between"/>
        <c:majorUnit val="1000"/>
      </c:valAx>
      <c:spPr>
        <a:solidFill>
          <a:schemeClr val="bg1">
            <a:lumMod val="95000"/>
          </a:schemeClr>
        </a:solidFill>
        <a:ln>
          <a:solidFill>
            <a:schemeClr val="tx1"/>
          </a:solidFill>
        </a:ln>
        <a:effectLst/>
      </c:spPr>
    </c:plotArea>
    <c:legend>
      <c:legendPos val="r"/>
      <c:layout>
        <c:manualLayout>
          <c:xMode val="edge"/>
          <c:yMode val="edge"/>
          <c:x val="0.14333714411017473"/>
          <c:y val="9.3128213944095928E-2"/>
          <c:w val="0.2890713481127789"/>
          <c:h val="0.32568990452821822"/>
        </c:manualLayout>
      </c:layout>
      <c:overlay val="0"/>
      <c:spPr>
        <a:solidFill>
          <a:schemeClr val="bg1"/>
        </a:solidFill>
        <a:ln>
          <a:solidFill>
            <a:schemeClr val="tx1"/>
          </a:solidFill>
        </a:ln>
        <a:effectLst/>
      </c:spPr>
      <c:txPr>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Harvest Distribution</a:t>
            </a:r>
          </a:p>
          <a:p>
            <a:pPr>
              <a:defRPr b="1">
                <a:solidFill>
                  <a:schemeClr val="tx1"/>
                </a:solidFill>
              </a:defRPr>
            </a:pPr>
            <a:r>
              <a:rPr lang="en-US" b="1">
                <a:solidFill>
                  <a:schemeClr val="tx1"/>
                </a:solidFill>
              </a:rPr>
              <a:t>2007-2016</a:t>
            </a:r>
            <a:r>
              <a:rPr lang="en-US" b="1" baseline="0">
                <a:solidFill>
                  <a:schemeClr val="tx1"/>
                </a:solidFill>
              </a:rPr>
              <a:t> avg.</a:t>
            </a:r>
            <a:endParaRPr lang="en-US" b="1">
              <a:solidFill>
                <a:schemeClr val="tx1"/>
              </a:solidFill>
            </a:endParaRPr>
          </a:p>
        </c:rich>
      </c:tx>
      <c:layout>
        <c:manualLayout>
          <c:xMode val="edge"/>
          <c:yMode val="edge"/>
          <c:x val="0.32193426355021137"/>
          <c:y val="2.119611472561796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3799329630516677"/>
          <c:y val="0.20033334462549543"/>
          <c:w val="0.5301591348604261"/>
          <c:h val="0.75513364273857519"/>
        </c:manualLayout>
      </c:layout>
      <c:pieChart>
        <c:varyColors val="1"/>
        <c:ser>
          <c:idx val="0"/>
          <c:order val="0"/>
          <c:spPr>
            <a:solidFill>
              <a:srgbClr val="FFDA3F"/>
            </a:solidFill>
            <a:ln w="3175">
              <a:solidFill>
                <a:schemeClr val="bg1"/>
              </a:solidFill>
            </a:ln>
          </c:spPr>
          <c:dPt>
            <c:idx val="0"/>
            <c:bubble3D val="0"/>
            <c:spPr>
              <a:solidFill>
                <a:srgbClr val="FFDA3F"/>
              </a:solidFill>
              <a:ln w="3175">
                <a:solidFill>
                  <a:schemeClr val="bg1"/>
                </a:solidFill>
              </a:ln>
              <a:effectLst/>
            </c:spPr>
            <c:extLst>
              <c:ext xmlns:c16="http://schemas.microsoft.com/office/drawing/2014/chart" uri="{C3380CC4-5D6E-409C-BE32-E72D297353CC}">
                <c16:uniqueId val="{00000001-D25A-4AF6-8ED2-004C942EB85A}"/>
              </c:ext>
            </c:extLst>
          </c:dPt>
          <c:dPt>
            <c:idx val="1"/>
            <c:bubble3D val="0"/>
            <c:spPr>
              <a:solidFill>
                <a:srgbClr val="A68800"/>
              </a:solidFill>
              <a:ln w="3175">
                <a:solidFill>
                  <a:schemeClr val="bg1"/>
                </a:solidFill>
              </a:ln>
              <a:effectLst/>
            </c:spPr>
            <c:extLst>
              <c:ext xmlns:c16="http://schemas.microsoft.com/office/drawing/2014/chart" uri="{C3380CC4-5D6E-409C-BE32-E72D297353CC}">
                <c16:uniqueId val="{00000003-D25A-4AF6-8ED2-004C942EB85A}"/>
              </c:ext>
            </c:extLst>
          </c:dPt>
          <c:dLbls>
            <c:dLbl>
              <c:idx val="0"/>
              <c:layout>
                <c:manualLayout>
                  <c:x val="-7.9417597064145948E-3"/>
                  <c:y val="3.911509515042981E-2"/>
                </c:manualLayout>
              </c:layout>
              <c:tx>
                <c:rich>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n-lt"/>
                        <a:ea typeface="+mn-ea"/>
                        <a:cs typeface="+mn-cs"/>
                      </a:defRPr>
                    </a:pPr>
                    <a:fld id="{43A0D263-6361-4AFD-AFB4-6F348C10E14B}" type="CELLRANGE">
                      <a:rPr lang="en-US" sz="1200" baseline="0">
                        <a:solidFill>
                          <a:schemeClr val="tx1"/>
                        </a:solidFill>
                      </a:rPr>
                      <a:pPr>
                        <a:defRPr sz="1200" b="1">
                          <a:solidFill>
                            <a:schemeClr val="tx1"/>
                          </a:solidFill>
                        </a:defRPr>
                      </a:pPr>
                      <a:t>[CELLRANGE]</a:t>
                    </a:fld>
                    <a:r>
                      <a:rPr lang="en-US" sz="1200" baseline="0">
                        <a:solidFill>
                          <a:schemeClr val="tx1"/>
                        </a:solidFill>
                      </a:rPr>
                      <a:t>, </a:t>
                    </a:r>
                    <a:fld id="{59B7457F-E2A7-406B-A17F-93E1E153C706}" type="VALUE">
                      <a:rPr lang="en-US" sz="1200" baseline="0">
                        <a:solidFill>
                          <a:schemeClr val="tx1"/>
                        </a:solidFill>
                      </a:rPr>
                      <a:pPr>
                        <a:defRPr sz="1200" b="1">
                          <a:solidFill>
                            <a:schemeClr val="tx1"/>
                          </a:solidFill>
                        </a:defRPr>
                      </a:pPr>
                      <a:t>[VALUE]</a:t>
                    </a:fld>
                    <a:endParaRPr lang="en-US" sz="1200" baseline="0">
                      <a:solidFill>
                        <a:schemeClr val="tx1"/>
                      </a:solidFill>
                    </a:endParaRPr>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9175039196333563"/>
                      <c:h val="0.25758939569404793"/>
                    </c:manualLayout>
                  </c15:layout>
                  <c15:dlblFieldTable/>
                  <c15:showDataLabelsRange val="1"/>
                </c:ext>
                <c:ext xmlns:c16="http://schemas.microsoft.com/office/drawing/2014/chart" uri="{C3380CC4-5D6E-409C-BE32-E72D297353CC}">
                  <c16:uniqueId val="{00000001-D25A-4AF6-8ED2-004C942EB85A}"/>
                </c:ext>
              </c:extLst>
            </c:dLbl>
            <c:dLbl>
              <c:idx val="1"/>
              <c:layout>
                <c:manualLayout>
                  <c:x val="1.7432114997248841E-2"/>
                  <c:y val="-2.8743439126632589E-2"/>
                </c:manualLayout>
              </c:layout>
              <c:tx>
                <c:rich>
                  <a:bodyPr/>
                  <a:lstStyle/>
                  <a:p>
                    <a:fld id="{2AC1DD1B-0AA9-47D5-B904-8B9582ECBBD9}" type="CELLRANGE">
                      <a:rPr lang="en-US" baseline="0"/>
                      <a:pPr/>
                      <a:t>[CELLRANGE]</a:t>
                    </a:fld>
                    <a:r>
                      <a:rPr lang="en-US" baseline="0"/>
                      <a:t>, </a:t>
                    </a:r>
                    <a:fld id="{F24A8340-C645-426D-A51B-CAB2E903F5A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layout>
                    <c:manualLayout>
                      <c:w val="0.21480716147238885"/>
                      <c:h val="0.21151463085554503"/>
                    </c:manualLayout>
                  </c15:layout>
                  <c15:dlblFieldTable/>
                  <c15:showDataLabelsRange val="1"/>
                </c:ext>
                <c:ext xmlns:c16="http://schemas.microsoft.com/office/drawing/2014/chart" uri="{C3380CC4-5D6E-409C-BE32-E72D297353CC}">
                  <c16:uniqueId val="{00000003-D25A-4AF6-8ED2-004C942EB85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ext>
            </c:extLst>
          </c:dLbls>
          <c:val>
            <c:numRef>
              <c:f>Run!$P$63:$Q$63</c:f>
              <c:numCache>
                <c:formatCode>0.0%</c:formatCode>
                <c:ptCount val="2"/>
                <c:pt idx="0">
                  <c:v>5.762341938616082E-4</c:v>
                </c:pt>
                <c:pt idx="1">
                  <c:v>5.5317054595707883E-2</c:v>
                </c:pt>
              </c:numCache>
            </c:numRef>
          </c:val>
          <c:extLst>
            <c:ext xmlns:c15="http://schemas.microsoft.com/office/drawing/2012/chart" uri="{02D57815-91ED-43cb-92C2-25804820EDAC}">
              <c15:datalabelsRange>
                <c15:f>Run!$P$3:$Q$3</c15:f>
                <c15:dlblRangeCache>
                  <c:ptCount val="2"/>
                  <c:pt idx="0">
                    <c:v>Columbia R Nontreaty</c:v>
                  </c:pt>
                  <c:pt idx="1">
                    <c:v>Columbia R Treaty</c:v>
                  </c:pt>
                </c15:dlblRangeCache>
              </c15:datalabelsRange>
            </c:ext>
            <c:ext xmlns:c16="http://schemas.microsoft.com/office/drawing/2014/chart" uri="{C3380CC4-5D6E-409C-BE32-E72D297353CC}">
              <c16:uniqueId val="{00000004-D25A-4AF6-8ED2-004C942EB85A}"/>
            </c:ext>
          </c:extLst>
        </c:ser>
        <c:dLbls>
          <c:showLegendKey val="0"/>
          <c:showVal val="0"/>
          <c:showCatName val="0"/>
          <c:showSerName val="0"/>
          <c:showPercent val="0"/>
          <c:showBubbleSize val="0"/>
          <c:showLeaderLines val="0"/>
        </c:dLbls>
        <c:firstSliceAng val="115"/>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019592777564347"/>
          <c:y val="0.16794063181686639"/>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834276622068419"/>
          <c:y val="6.1556700815951416E-2"/>
          <c:w val="0.65040882567358682"/>
          <c:h val="0.79274828192211966"/>
        </c:manualLayout>
      </c:layout>
      <c:barChart>
        <c:barDir val="bar"/>
        <c:grouping val="clustered"/>
        <c:varyColors val="0"/>
        <c:ser>
          <c:idx val="0"/>
          <c:order val="0"/>
          <c:tx>
            <c:v>Natural Production</c:v>
          </c:tx>
          <c:spPr>
            <a:solidFill>
              <a:srgbClr val="A688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Summary!$D$24:$D$28</c:f>
              <c:strCache>
                <c:ptCount val="5"/>
                <c:pt idx="0">
                  <c:v>Current</c:v>
                </c:pt>
                <c:pt idx="1">
                  <c:v>Low goal</c:v>
                </c:pt>
                <c:pt idx="2">
                  <c:v>Med goal</c:v>
                </c:pt>
                <c:pt idx="3">
                  <c:v>High goal</c:v>
                </c:pt>
                <c:pt idx="4">
                  <c:v>Historical</c:v>
                </c:pt>
              </c:strCache>
            </c:strRef>
          </c:cat>
          <c:val>
            <c:numRef>
              <c:f>Summary!$E$24:$E$28</c:f>
              <c:numCache>
                <c:formatCode>#,##0</c:formatCode>
                <c:ptCount val="5"/>
                <c:pt idx="0">
                  <c:v>100</c:v>
                </c:pt>
                <c:pt idx="1">
                  <c:v>5500</c:v>
                </c:pt>
                <c:pt idx="2">
                  <c:v>15750</c:v>
                </c:pt>
                <c:pt idx="3">
                  <c:v>26000</c:v>
                </c:pt>
                <c:pt idx="4">
                  <c:v>84000</c:v>
                </c:pt>
              </c:numCache>
            </c:numRef>
          </c:val>
          <c:extLst>
            <c:ext xmlns:c16="http://schemas.microsoft.com/office/drawing/2014/chart" uri="{C3380CC4-5D6E-409C-BE32-E72D297353CC}">
              <c16:uniqueId val="{00000000-C03E-4492-9BD7-C04156392A6B}"/>
            </c:ext>
          </c:extLst>
        </c:ser>
        <c:dLbls>
          <c:showLegendKey val="0"/>
          <c:showVal val="0"/>
          <c:showCatName val="0"/>
          <c:showSerName val="0"/>
          <c:showPercent val="0"/>
          <c:showBubbleSize val="0"/>
        </c:dLbls>
        <c:gapWidth val="20"/>
        <c:axId val="235989320"/>
        <c:axId val="235989712"/>
      </c:barChart>
      <c:catAx>
        <c:axId val="235989320"/>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235989712"/>
        <c:crosses val="autoZero"/>
        <c:auto val="1"/>
        <c:lblAlgn val="ctr"/>
        <c:lblOffset val="100"/>
        <c:noMultiLvlLbl val="0"/>
      </c:catAx>
      <c:valAx>
        <c:axId val="2359897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235989320"/>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Hatchery Releases</a:t>
            </a:r>
          </a:p>
        </c:rich>
      </c:tx>
      <c:layout>
        <c:manualLayout>
          <c:xMode val="edge"/>
          <c:yMode val="edge"/>
          <c:x val="0.3457991298923147"/>
          <c:y val="5.92005110662600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3799329630516677"/>
          <c:y val="0.20033334462549543"/>
          <c:w val="0.5301591348604261"/>
          <c:h val="0.75513364273857519"/>
        </c:manualLayout>
      </c:layout>
      <c:pieChart>
        <c:varyColors val="1"/>
        <c:ser>
          <c:idx val="0"/>
          <c:order val="0"/>
          <c:spPr>
            <a:solidFill>
              <a:srgbClr val="685400"/>
            </a:solidFill>
          </c:spPr>
          <c:dPt>
            <c:idx val="0"/>
            <c:bubble3D val="0"/>
            <c:spPr>
              <a:solidFill>
                <a:srgbClr val="685400"/>
              </a:solidFill>
              <a:ln w="19050">
                <a:solidFill>
                  <a:schemeClr val="lt1"/>
                </a:solidFill>
              </a:ln>
              <a:effectLst/>
            </c:spPr>
            <c:extLst>
              <c:ext xmlns:c16="http://schemas.microsoft.com/office/drawing/2014/chart" uri="{C3380CC4-5D6E-409C-BE32-E72D297353CC}">
                <c16:uniqueId val="{00000001-C4EB-486A-B7E9-8FAE07BE7BF5}"/>
              </c:ext>
            </c:extLst>
          </c:dPt>
          <c:dLbls>
            <c:dLbl>
              <c:idx val="0"/>
              <c:layout>
                <c:manualLayout>
                  <c:x val="0.63039950695212232"/>
                  <c:y val="3.890456403493165E-2"/>
                </c:manualLayout>
              </c:layout>
              <c:showLegendKey val="0"/>
              <c:showVal val="1"/>
              <c:showCatName val="1"/>
              <c:showSerName val="0"/>
              <c:showPercent val="0"/>
              <c:showBubbleSize val="0"/>
              <c:extLst>
                <c:ext xmlns:c15="http://schemas.microsoft.com/office/drawing/2012/chart" uri="{CE6537A1-D6FC-4f65-9D91-7224C49458BB}">
                  <c15:layout>
                    <c:manualLayout>
                      <c:w val="0.36667848164614558"/>
                      <c:h val="0.19753168626694875"/>
                    </c:manualLayout>
                  </c15:layout>
                </c:ext>
                <c:ext xmlns:c16="http://schemas.microsoft.com/office/drawing/2014/chart" uri="{C3380CC4-5D6E-409C-BE32-E72D297353CC}">
                  <c16:uniqueId val="{00000001-C4EB-486A-B7E9-8FAE07BE7BF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Summary!$S$17</c:f>
              <c:strCache>
                <c:ptCount val="1"/>
                <c:pt idx="0">
                  <c:v>Springfield Hatchery</c:v>
                </c:pt>
              </c:strCache>
            </c:strRef>
          </c:cat>
          <c:val>
            <c:numRef>
              <c:f>Summary!$V$17</c:f>
              <c:numCache>
                <c:formatCode>#,##0</c:formatCode>
                <c:ptCount val="1"/>
                <c:pt idx="0">
                  <c:v>900000</c:v>
                </c:pt>
              </c:numCache>
            </c:numRef>
          </c:val>
          <c:extLst>
            <c:ext xmlns:c16="http://schemas.microsoft.com/office/drawing/2014/chart" uri="{C3380CC4-5D6E-409C-BE32-E72D297353CC}">
              <c16:uniqueId val="{00000004-C4EB-486A-B7E9-8FAE07BE7BF5}"/>
            </c:ext>
          </c:extLst>
        </c:ser>
        <c:dLbls>
          <c:showLegendKey val="0"/>
          <c:showVal val="0"/>
          <c:showCatName val="0"/>
          <c:showSerName val="0"/>
          <c:showPercent val="0"/>
          <c:showBubbleSize val="0"/>
          <c:showLeaderLines val="0"/>
        </c:dLbls>
        <c:firstSliceAng val="135"/>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46981627296588"/>
          <c:y val="5.0925925925925923E-2"/>
          <c:w val="0.82197462817147859"/>
          <c:h val="0.80463764946048411"/>
        </c:manualLayout>
      </c:layout>
      <c:barChart>
        <c:barDir val="col"/>
        <c:grouping val="stacked"/>
        <c:varyColors val="0"/>
        <c:ser>
          <c:idx val="0"/>
          <c:order val="0"/>
          <c:tx>
            <c:v>Natural return to Sawtooth Valley</c:v>
          </c:tx>
          <c:spPr>
            <a:solidFill>
              <a:schemeClr val="accent6">
                <a:lumMod val="75000"/>
              </a:schemeClr>
            </a:solidFill>
            <a:ln>
              <a:solidFill>
                <a:schemeClr val="tx1"/>
              </a:solidFill>
            </a:ln>
            <a:effectLst/>
          </c:spPr>
          <c:invertIfNegative val="0"/>
          <c:cat>
            <c:numRef>
              <c:f>Run!$B$23:$B$59</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Run!$U$23:$U$59</c:f>
              <c:numCache>
                <c:formatCode>General</c:formatCode>
                <c:ptCount val="37"/>
                <c:pt idx="5">
                  <c:v>14</c:v>
                </c:pt>
                <c:pt idx="6">
                  <c:v>29</c:v>
                </c:pt>
                <c:pt idx="7">
                  <c:v>16</c:v>
                </c:pt>
                <c:pt idx="8">
                  <c:v>1</c:v>
                </c:pt>
                <c:pt idx="9">
                  <c:v>1</c:v>
                </c:pt>
                <c:pt idx="10">
                  <c:v>0</c:v>
                </c:pt>
                <c:pt idx="11">
                  <c:v>4</c:v>
                </c:pt>
                <c:pt idx="12">
                  <c:v>1</c:v>
                </c:pt>
                <c:pt idx="13">
                  <c:v>8</c:v>
                </c:pt>
                <c:pt idx="14">
                  <c:v>1</c:v>
                </c:pt>
                <c:pt idx="15">
                  <c:v>0</c:v>
                </c:pt>
                <c:pt idx="16">
                  <c:v>1</c:v>
                </c:pt>
                <c:pt idx="17">
                  <c:v>0</c:v>
                </c:pt>
                <c:pt idx="18">
                  <c:v>1</c:v>
                </c:pt>
                <c:pt idx="19">
                  <c:v>0</c:v>
                </c:pt>
                <c:pt idx="20">
                  <c:v>10</c:v>
                </c:pt>
                <c:pt idx="21">
                  <c:v>4</c:v>
                </c:pt>
                <c:pt idx="22">
                  <c:v>6</c:v>
                </c:pt>
                <c:pt idx="23">
                  <c:v>0</c:v>
                </c:pt>
                <c:pt idx="24">
                  <c:v>4</c:v>
                </c:pt>
                <c:pt idx="25">
                  <c:v>2</c:v>
                </c:pt>
                <c:pt idx="26">
                  <c:v>1</c:v>
                </c:pt>
                <c:pt idx="27">
                  <c:v>3</c:v>
                </c:pt>
                <c:pt idx="28">
                  <c:v>140</c:v>
                </c:pt>
                <c:pt idx="29">
                  <c:v>86</c:v>
                </c:pt>
                <c:pt idx="30">
                  <c:v>178</c:v>
                </c:pt>
                <c:pt idx="31">
                  <c:v>145</c:v>
                </c:pt>
                <c:pt idx="32">
                  <c:v>52</c:v>
                </c:pt>
                <c:pt idx="33">
                  <c:v>79</c:v>
                </c:pt>
                <c:pt idx="34">
                  <c:v>453</c:v>
                </c:pt>
                <c:pt idx="35" formatCode="#,##0">
                  <c:v>28</c:v>
                </c:pt>
                <c:pt idx="36" formatCode="#,##0">
                  <c:v>33</c:v>
                </c:pt>
              </c:numCache>
            </c:numRef>
          </c:val>
          <c:extLst>
            <c:ext xmlns:c16="http://schemas.microsoft.com/office/drawing/2014/chart" uri="{C3380CC4-5D6E-409C-BE32-E72D297353CC}">
              <c16:uniqueId val="{00000000-80D7-4B4E-9814-E122FCC11B7B}"/>
            </c:ext>
          </c:extLst>
        </c:ser>
        <c:ser>
          <c:idx val="1"/>
          <c:order val="1"/>
          <c:tx>
            <c:v>Hatchery return to Sawtooth Valley</c:v>
          </c:tx>
          <c:spPr>
            <a:solidFill>
              <a:schemeClr val="accent5">
                <a:lumMod val="40000"/>
                <a:lumOff val="60000"/>
              </a:schemeClr>
            </a:solidFill>
            <a:ln>
              <a:solidFill>
                <a:schemeClr val="tx1"/>
              </a:solidFill>
            </a:ln>
            <a:effectLst/>
          </c:spPr>
          <c:invertIfNegative val="0"/>
          <c:cat>
            <c:numRef>
              <c:f>Run!$B$23:$B$59</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Run!$V$23:$V$59</c:f>
              <c:numCache>
                <c:formatCode>General</c:formatCode>
                <c:ptCount val="37"/>
                <c:pt idx="19">
                  <c:v>7</c:v>
                </c:pt>
                <c:pt idx="20">
                  <c:v>233</c:v>
                </c:pt>
                <c:pt idx="21">
                  <c:v>19</c:v>
                </c:pt>
                <c:pt idx="22">
                  <c:v>9</c:v>
                </c:pt>
                <c:pt idx="23">
                  <c:v>2</c:v>
                </c:pt>
                <c:pt idx="24">
                  <c:v>20</c:v>
                </c:pt>
                <c:pt idx="25">
                  <c:v>4</c:v>
                </c:pt>
                <c:pt idx="26">
                  <c:v>2</c:v>
                </c:pt>
                <c:pt idx="27">
                  <c:v>1</c:v>
                </c:pt>
                <c:pt idx="28">
                  <c:v>456</c:v>
                </c:pt>
                <c:pt idx="29">
                  <c:v>730</c:v>
                </c:pt>
                <c:pt idx="30" formatCode="#,##0">
                  <c:v>1144</c:v>
                </c:pt>
                <c:pt idx="31">
                  <c:v>954</c:v>
                </c:pt>
                <c:pt idx="32">
                  <c:v>190</c:v>
                </c:pt>
                <c:pt idx="33">
                  <c:v>191</c:v>
                </c:pt>
                <c:pt idx="34" formatCode="#,##0">
                  <c:v>1062</c:v>
                </c:pt>
                <c:pt idx="35" formatCode="#,##0">
                  <c:v>63</c:v>
                </c:pt>
                <c:pt idx="36" formatCode="#,##0">
                  <c:v>539</c:v>
                </c:pt>
              </c:numCache>
            </c:numRef>
          </c:val>
          <c:extLst>
            <c:ext xmlns:c16="http://schemas.microsoft.com/office/drawing/2014/chart" uri="{C3380CC4-5D6E-409C-BE32-E72D297353CC}">
              <c16:uniqueId val="{00000001-80D7-4B4E-9814-E122FCC11B7B}"/>
            </c:ext>
          </c:extLst>
        </c:ser>
        <c:ser>
          <c:idx val="2"/>
          <c:order val="2"/>
          <c:tx>
            <c:v>Lower Granite return</c:v>
          </c:tx>
          <c:spPr>
            <a:solidFill>
              <a:srgbClr val="800000"/>
            </a:solidFill>
            <a:ln>
              <a:solidFill>
                <a:schemeClr val="tx1">
                  <a:lumMod val="95000"/>
                  <a:lumOff val="5000"/>
                </a:schemeClr>
              </a:solidFill>
            </a:ln>
            <a:effectLst/>
          </c:spPr>
          <c:invertIfNegative val="0"/>
          <c:val>
            <c:numRef>
              <c:f>Run!$AD$23:$AD$59</c:f>
              <c:numCache>
                <c:formatCode>General</c:formatCode>
                <c:ptCount val="37"/>
                <c:pt idx="0">
                  <c:v>96</c:v>
                </c:pt>
                <c:pt idx="1">
                  <c:v>218</c:v>
                </c:pt>
                <c:pt idx="2">
                  <c:v>211</c:v>
                </c:pt>
                <c:pt idx="3">
                  <c:v>216</c:v>
                </c:pt>
                <c:pt idx="4">
                  <c:v>105</c:v>
                </c:pt>
                <c:pt idx="5">
                  <c:v>21</c:v>
                </c:pt>
                <c:pt idx="6">
                  <c:v>-9</c:v>
                </c:pt>
                <c:pt idx="7">
                  <c:v>13</c:v>
                </c:pt>
                <c:pt idx="8">
                  <c:v>22</c:v>
                </c:pt>
                <c:pt idx="9">
                  <c:v>3</c:v>
                </c:pt>
                <c:pt idx="10">
                  <c:v>1</c:v>
                </c:pt>
                <c:pt idx="11">
                  <c:v>5</c:v>
                </c:pt>
                <c:pt idx="12">
                  <c:v>1</c:v>
                </c:pt>
                <c:pt idx="13">
                  <c:v>9</c:v>
                </c:pt>
                <c:pt idx="14">
                  <c:v>2</c:v>
                </c:pt>
                <c:pt idx="15">
                  <c:v>5</c:v>
                </c:pt>
                <c:pt idx="16">
                  <c:v>2</c:v>
                </c:pt>
                <c:pt idx="17">
                  <c:v>17</c:v>
                </c:pt>
                <c:pt idx="18">
                  <c:v>2</c:v>
                </c:pt>
                <c:pt idx="19">
                  <c:v>11</c:v>
                </c:pt>
                <c:pt idx="20">
                  <c:v>80</c:v>
                </c:pt>
                <c:pt idx="21">
                  <c:v>19</c:v>
                </c:pt>
                <c:pt idx="22">
                  <c:v>50</c:v>
                </c:pt>
                <c:pt idx="23">
                  <c:v>23</c:v>
                </c:pt>
                <c:pt idx="24">
                  <c:v>86</c:v>
                </c:pt>
                <c:pt idx="25">
                  <c:v>13</c:v>
                </c:pt>
                <c:pt idx="26">
                  <c:v>13</c:v>
                </c:pt>
                <c:pt idx="27">
                  <c:v>51</c:v>
                </c:pt>
                <c:pt idx="28">
                  <c:v>260</c:v>
                </c:pt>
                <c:pt idx="29">
                  <c:v>572</c:v>
                </c:pt>
                <c:pt idx="30">
                  <c:v>1037</c:v>
                </c:pt>
                <c:pt idx="31">
                  <c:v>383</c:v>
                </c:pt>
                <c:pt idx="32">
                  <c:v>189</c:v>
                </c:pt>
                <c:pt idx="33">
                  <c:v>485</c:v>
                </c:pt>
                <c:pt idx="34">
                  <c:v>1208</c:v>
                </c:pt>
                <c:pt idx="35">
                  <c:v>349</c:v>
                </c:pt>
                <c:pt idx="36">
                  <c:v>220</c:v>
                </c:pt>
              </c:numCache>
            </c:numRef>
          </c:val>
          <c:extLst>
            <c:ext xmlns:c16="http://schemas.microsoft.com/office/drawing/2014/chart" uri="{C3380CC4-5D6E-409C-BE32-E72D297353CC}">
              <c16:uniqueId val="{00000002-80D7-4B4E-9814-E122FCC11B7B}"/>
            </c:ext>
          </c:extLst>
        </c:ser>
        <c:ser>
          <c:idx val="3"/>
          <c:order val="3"/>
          <c:tx>
            <c:v>Columbia River return</c:v>
          </c:tx>
          <c:spPr>
            <a:solidFill>
              <a:srgbClr val="FF0000"/>
            </a:solidFill>
            <a:ln>
              <a:solidFill>
                <a:schemeClr val="tx1"/>
              </a:solidFill>
            </a:ln>
            <a:effectLst/>
          </c:spPr>
          <c:invertIfNegative val="0"/>
          <c:val>
            <c:numRef>
              <c:f>Run!$AE$23:$AE$59</c:f>
              <c:numCache>
                <c:formatCode>General</c:formatCode>
                <c:ptCount val="37"/>
                <c:pt idx="0">
                  <c:v>11</c:v>
                </c:pt>
                <c:pt idx="1">
                  <c:v>18</c:v>
                </c:pt>
                <c:pt idx="2">
                  <c:v>46</c:v>
                </c:pt>
                <c:pt idx="3">
                  <c:v>25</c:v>
                </c:pt>
                <c:pt idx="4">
                  <c:v>43</c:v>
                </c:pt>
                <c:pt idx="5">
                  <c:v>24</c:v>
                </c:pt>
                <c:pt idx="6">
                  <c:v>4</c:v>
                </c:pt>
                <c:pt idx="7">
                  <c:v>26</c:v>
                </c:pt>
                <c:pt idx="8">
                  <c:v>22</c:v>
                </c:pt>
                <c:pt idx="9">
                  <c:v>0</c:v>
                </c:pt>
                <c:pt idx="10">
                  <c:v>0</c:v>
                </c:pt>
                <c:pt idx="11">
                  <c:v>1</c:v>
                </c:pt>
                <c:pt idx="12">
                  <c:v>0</c:v>
                </c:pt>
                <c:pt idx="13">
                  <c:v>1</c:v>
                </c:pt>
                <c:pt idx="14">
                  <c:v>0</c:v>
                </c:pt>
                <c:pt idx="15">
                  <c:v>0</c:v>
                </c:pt>
                <c:pt idx="16">
                  <c:v>0</c:v>
                </c:pt>
                <c:pt idx="17">
                  <c:v>1</c:v>
                </c:pt>
                <c:pt idx="18">
                  <c:v>1</c:v>
                </c:pt>
                <c:pt idx="19">
                  <c:v>1</c:v>
                </c:pt>
                <c:pt idx="20">
                  <c:v>15</c:v>
                </c:pt>
                <c:pt idx="21">
                  <c:v>4</c:v>
                </c:pt>
                <c:pt idx="22">
                  <c:v>4</c:v>
                </c:pt>
                <c:pt idx="23">
                  <c:v>2</c:v>
                </c:pt>
                <c:pt idx="24">
                  <c:v>4</c:v>
                </c:pt>
                <c:pt idx="25">
                  <c:v>1</c:v>
                </c:pt>
                <c:pt idx="26">
                  <c:v>44</c:v>
                </c:pt>
                <c:pt idx="27">
                  <c:v>3</c:v>
                </c:pt>
                <c:pt idx="28">
                  <c:v>71</c:v>
                </c:pt>
                <c:pt idx="29">
                  <c:v>91</c:v>
                </c:pt>
                <c:pt idx="30">
                  <c:v>175</c:v>
                </c:pt>
                <c:pt idx="31">
                  <c:v>298</c:v>
                </c:pt>
                <c:pt idx="32">
                  <c:v>66</c:v>
                </c:pt>
                <c:pt idx="33">
                  <c:v>380</c:v>
                </c:pt>
                <c:pt idx="34">
                  <c:v>151</c:v>
                </c:pt>
                <c:pt idx="35">
                  <c:v>1303</c:v>
                </c:pt>
                <c:pt idx="36">
                  <c:v>131</c:v>
                </c:pt>
              </c:numCache>
            </c:numRef>
          </c:val>
          <c:extLst>
            <c:ext xmlns:c16="http://schemas.microsoft.com/office/drawing/2014/chart" uri="{C3380CC4-5D6E-409C-BE32-E72D297353CC}">
              <c16:uniqueId val="{00000003-80D7-4B4E-9814-E122FCC11B7B}"/>
            </c:ext>
          </c:extLst>
        </c:ser>
        <c:dLbls>
          <c:showLegendKey val="0"/>
          <c:showVal val="0"/>
          <c:showCatName val="0"/>
          <c:showSerName val="0"/>
          <c:showPercent val="0"/>
          <c:showBubbleSize val="0"/>
        </c:dLbls>
        <c:gapWidth val="10"/>
        <c:overlap val="100"/>
        <c:axId val="235992848"/>
        <c:axId val="235993240"/>
      </c:barChart>
      <c:catAx>
        <c:axId val="23599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235993240"/>
        <c:crosses val="autoZero"/>
        <c:auto val="1"/>
        <c:lblAlgn val="ctr"/>
        <c:lblOffset val="100"/>
        <c:noMultiLvlLbl val="0"/>
      </c:catAx>
      <c:valAx>
        <c:axId val="23599324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Abundance</a:t>
                </a:r>
              </a:p>
            </c:rich>
          </c:tx>
          <c:layout>
            <c:manualLayout>
              <c:xMode val="edge"/>
              <c:yMode val="edge"/>
              <c:x val="1.0541557305336832E-2"/>
              <c:y val="0.2038928988043161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235992848"/>
        <c:crosses val="autoZero"/>
        <c:crossBetween val="between"/>
      </c:valAx>
      <c:spPr>
        <a:noFill/>
        <a:ln>
          <a:noFill/>
        </a:ln>
        <a:effectLst/>
      </c:spPr>
    </c:plotArea>
    <c:legend>
      <c:legendPos val="r"/>
      <c:layout>
        <c:manualLayout>
          <c:xMode val="edge"/>
          <c:yMode val="edge"/>
          <c:x val="0.1560455092942149"/>
          <c:y val="8.8541119860017503E-2"/>
          <c:w val="0.50074695286376869"/>
          <c:h val="0.25694663167104109"/>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Harvest Distribution</a:t>
            </a:r>
          </a:p>
          <a:p>
            <a:pPr>
              <a:defRPr b="1">
                <a:solidFill>
                  <a:schemeClr val="tx1"/>
                </a:solidFill>
              </a:defRPr>
            </a:pPr>
            <a:r>
              <a:rPr lang="en-US" b="1">
                <a:solidFill>
                  <a:schemeClr val="tx1"/>
                </a:solidFill>
              </a:rPr>
              <a:t>2007-2016</a:t>
            </a:r>
            <a:r>
              <a:rPr lang="en-US" b="1" baseline="0">
                <a:solidFill>
                  <a:schemeClr val="tx1"/>
                </a:solidFill>
              </a:rPr>
              <a:t> avg.</a:t>
            </a:r>
            <a:endParaRPr lang="en-US" b="1">
              <a:solidFill>
                <a:schemeClr val="tx1"/>
              </a:solidFill>
            </a:endParaRPr>
          </a:p>
        </c:rich>
      </c:tx>
      <c:layout>
        <c:manualLayout>
          <c:xMode val="edge"/>
          <c:yMode val="edge"/>
          <c:x val="3.4465223097112863E-2"/>
          <c:y val="5.092592592592592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34608333333333335"/>
          <c:y val="9.3425925925925926E-2"/>
          <c:w val="0.50227777777777782"/>
          <c:h val="0.83712962962962967"/>
        </c:manualLayout>
      </c:layout>
      <c:pieChart>
        <c:varyColors val="1"/>
        <c:ser>
          <c:idx val="0"/>
          <c:order val="0"/>
          <c:spPr>
            <a:ln w="9525">
              <a:solidFill>
                <a:schemeClr val="tx1"/>
              </a:solidFill>
            </a:ln>
          </c:spPr>
          <c:dPt>
            <c:idx val="0"/>
            <c:bubble3D val="0"/>
            <c:spPr>
              <a:solidFill>
                <a:schemeClr val="accent1"/>
              </a:solidFill>
              <a:ln w="9525">
                <a:solidFill>
                  <a:schemeClr val="tx1"/>
                </a:solidFill>
              </a:ln>
              <a:effectLst/>
            </c:spPr>
            <c:extLst>
              <c:ext xmlns:c16="http://schemas.microsoft.com/office/drawing/2014/chart" uri="{C3380CC4-5D6E-409C-BE32-E72D297353CC}">
                <c16:uniqueId val="{00000002-175D-4F56-8D6C-B36BF4CFC3E0}"/>
              </c:ext>
            </c:extLst>
          </c:dPt>
          <c:dPt>
            <c:idx val="1"/>
            <c:bubble3D val="0"/>
            <c:spPr>
              <a:solidFill>
                <a:schemeClr val="accent6">
                  <a:lumMod val="60000"/>
                  <a:lumOff val="40000"/>
                </a:schemeClr>
              </a:solidFill>
              <a:ln w="9525">
                <a:solidFill>
                  <a:schemeClr val="tx1"/>
                </a:solidFill>
              </a:ln>
              <a:effectLst/>
            </c:spPr>
            <c:extLst>
              <c:ext xmlns:c16="http://schemas.microsoft.com/office/drawing/2014/chart" uri="{C3380CC4-5D6E-409C-BE32-E72D297353CC}">
                <c16:uniqueId val="{00000001-175D-4F56-8D6C-B36BF4CFC3E0}"/>
              </c:ext>
            </c:extLst>
          </c:dPt>
          <c:dLbls>
            <c:dLbl>
              <c:idx val="0"/>
              <c:layout>
                <c:manualLayout>
                  <c:x val="2.5281824146981626E-2"/>
                  <c:y val="-7.6734470691163598E-2"/>
                </c:manualLayout>
              </c:layout>
              <c:tx>
                <c:rich>
                  <a:bodyPr/>
                  <a:lstStyle/>
                  <a:p>
                    <a:fld id="{00243067-6A1F-48EC-8F08-6700B42DFD4A}" type="CELLRANGE">
                      <a:rPr lang="en-US" baseline="0"/>
                      <a:pPr/>
                      <a:t>[CELLRANGE]</a:t>
                    </a:fld>
                    <a:r>
                      <a:rPr lang="en-US" baseline="0"/>
                      <a:t>, </a:t>
                    </a:r>
                    <a:fld id="{FC8F13F3-0131-4067-BE70-954E7BAC9B8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75D-4F56-8D6C-B36BF4CFC3E0}"/>
                </c:ext>
              </c:extLst>
            </c:dLbl>
            <c:dLbl>
              <c:idx val="1"/>
              <c:layout>
                <c:manualLayout>
                  <c:x val="-2.2043744531933508E-2"/>
                  <c:y val="7.4172134733158354E-2"/>
                </c:manualLayout>
              </c:layout>
              <c:tx>
                <c:rich>
                  <a:bodyPr/>
                  <a:lstStyle/>
                  <a:p>
                    <a:fld id="{C76526A7-6B0C-4FD0-86BD-629F7F41E365}" type="CELLRANGE">
                      <a:rPr lang="en-US" baseline="0"/>
                      <a:pPr/>
                      <a:t>[CELLRANGE]</a:t>
                    </a:fld>
                    <a:r>
                      <a:rPr lang="en-US" baseline="0"/>
                      <a:t>, </a:t>
                    </a:r>
                    <a:fld id="{31671604-70CD-4ADB-97E1-F3555580F6A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75D-4F56-8D6C-B36BF4CFC3E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val>
            <c:numRef>
              <c:f>Run!$P$63:$Q$63</c:f>
              <c:numCache>
                <c:formatCode>0.0%</c:formatCode>
                <c:ptCount val="2"/>
                <c:pt idx="0">
                  <c:v>5.762341938616082E-4</c:v>
                </c:pt>
                <c:pt idx="1">
                  <c:v>5.5317054595707883E-2</c:v>
                </c:pt>
              </c:numCache>
            </c:numRef>
          </c:val>
          <c:extLst>
            <c:ext xmlns:c15="http://schemas.microsoft.com/office/drawing/2012/chart" uri="{02D57815-91ED-43cb-92C2-25804820EDAC}">
              <c15:datalabelsRange>
                <c15:f>Run!$P$3:$Q$3</c15:f>
                <c15:dlblRangeCache>
                  <c:ptCount val="2"/>
                  <c:pt idx="0">
                    <c:v>Columbia R Nontreaty</c:v>
                  </c:pt>
                  <c:pt idx="1">
                    <c:v>Columbia R Treaty</c:v>
                  </c:pt>
                </c15:dlblRangeCache>
              </c15:datalabelsRange>
            </c:ext>
            <c:ext xmlns:c16="http://schemas.microsoft.com/office/drawing/2014/chart" uri="{C3380CC4-5D6E-409C-BE32-E72D297353CC}">
              <c16:uniqueId val="{00000000-175D-4F56-8D6C-B36BF4CFC3E0}"/>
            </c:ext>
          </c:extLst>
        </c:ser>
        <c:dLbls>
          <c:showLegendKey val="0"/>
          <c:showVal val="0"/>
          <c:showCatName val="0"/>
          <c:showSerName val="0"/>
          <c:showPercent val="0"/>
          <c:showBubbleSize val="0"/>
          <c:showLeaderLines val="1"/>
        </c:dLbls>
        <c:firstSliceAng val="42"/>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g"/><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png"/><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60490</xdr:colOff>
      <xdr:row>1</xdr:row>
      <xdr:rowOff>54263</xdr:rowOff>
    </xdr:from>
    <xdr:to>
      <xdr:col>6</xdr:col>
      <xdr:colOff>555308</xdr:colOff>
      <xdr:row>20</xdr:row>
      <xdr:rowOff>119062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0490" y="316201"/>
          <a:ext cx="3578537" cy="3458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spcAft>
              <a:spcPts val="300"/>
            </a:spcAft>
            <a:buFont typeface="Arial" panose="020B0604020202020204" pitchFamily="34" charset="0"/>
            <a:buChar char="•"/>
          </a:pPr>
          <a:r>
            <a:rPr lang="en-US" sz="1600" i="0" baseline="0"/>
            <a:t>At listing, only one populations remained (Redfish Lake in the Sawtooth Valley).</a:t>
          </a:r>
        </a:p>
        <a:p>
          <a:pPr marL="171450" indent="-171450">
            <a:spcAft>
              <a:spcPts val="300"/>
            </a:spcAft>
            <a:buFont typeface="Arial" panose="020B0604020202020204" pitchFamily="34" charset="0"/>
            <a:buChar char="•"/>
          </a:pPr>
          <a:r>
            <a:rPr lang="en-US" sz="1600" i="0" baseline="0"/>
            <a:t>Returns dwindled to zero to 10 fish/year. </a:t>
          </a:r>
        </a:p>
        <a:p>
          <a:pPr marL="171450" indent="-171450">
            <a:spcAft>
              <a:spcPts val="300"/>
            </a:spcAft>
            <a:buFont typeface="Arial" panose="020B0604020202020204" pitchFamily="34" charset="0"/>
            <a:buChar char="•"/>
          </a:pPr>
          <a:r>
            <a:rPr lang="en-US" sz="1600" i="0" baseline="0"/>
            <a:t>Extirpated from five other Stanley Basin Lakes, the Payette system upstream from Hells Canyon, and Wallowa Lake in the upper Grande Ronde.</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An intensive conservation aquaculture program with captive broodstock began in 1991.</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Hatchery fish are currently being released into Redfish, Petit, and Alturus Lakes.</a:t>
          </a:r>
          <a:endParaRPr lang="en-US" sz="1600" i="0">
            <a:effectLst/>
          </a:endParaRPr>
        </a:p>
      </xdr:txBody>
    </xdr:sp>
    <xdr:clientData/>
  </xdr:twoCellAnchor>
  <xdr:twoCellAnchor editAs="oneCell">
    <xdr:from>
      <xdr:col>7</xdr:col>
      <xdr:colOff>85249</xdr:colOff>
      <xdr:row>1</xdr:row>
      <xdr:rowOff>55360</xdr:rowOff>
    </xdr:from>
    <xdr:to>
      <xdr:col>16</xdr:col>
      <xdr:colOff>2594</xdr:colOff>
      <xdr:row>31</xdr:row>
      <xdr:rowOff>60007</xdr:rowOff>
    </xdr:to>
    <xdr:pic>
      <xdr:nvPicPr>
        <xdr:cNvPr id="6" name="Picture">
          <a:extLst>
            <a:ext uri="{FF2B5EF4-FFF2-40B4-BE49-F238E27FC236}">
              <a16:creationId xmlns:a16="http://schemas.microsoft.com/office/drawing/2014/main" id="{00000000-0008-0000-0000-000006000000}"/>
            </a:ext>
          </a:extLst>
        </xdr:cNvPr>
        <xdr:cNvPicPr/>
      </xdr:nvPicPr>
      <xdr:blipFill rotWithShape="1">
        <a:blip xmlns:r="http://schemas.openxmlformats.org/officeDocument/2006/relationships" r:embed="rId1"/>
        <a:srcRect r="24445"/>
        <a:stretch/>
      </xdr:blipFill>
      <xdr:spPr>
        <a:xfrm>
          <a:off x="3764280" y="317298"/>
          <a:ext cx="5275158" cy="5373889"/>
        </a:xfrm>
        <a:prstGeom prst="rect">
          <a:avLst/>
        </a:prstGeom>
      </xdr:spPr>
    </xdr:pic>
    <xdr:clientData/>
  </xdr:twoCellAnchor>
  <xdr:twoCellAnchor>
    <xdr:from>
      <xdr:col>1</xdr:col>
      <xdr:colOff>19526</xdr:colOff>
      <xdr:row>31</xdr:row>
      <xdr:rowOff>55721</xdr:rowOff>
    </xdr:from>
    <xdr:to>
      <xdr:col>16</xdr:col>
      <xdr:colOff>95250</xdr:colOff>
      <xdr:row>50</xdr:row>
      <xdr:rowOff>95250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264583</xdr:colOff>
      <xdr:row>50</xdr:row>
      <xdr:rowOff>18205</xdr:rowOff>
    </xdr:from>
    <xdr:to>
      <xdr:col>8</xdr:col>
      <xdr:colOff>246380</xdr:colOff>
      <xdr:row>66</xdr:row>
      <xdr:rowOff>154780</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71438</xdr:colOff>
      <xdr:row>20</xdr:row>
      <xdr:rowOff>9525</xdr:rowOff>
    </xdr:from>
    <xdr:to>
      <xdr:col>7</xdr:col>
      <xdr:colOff>48165</xdr:colOff>
      <xdr:row>31</xdr:row>
      <xdr:rowOff>110965</xdr:rowOff>
    </xdr:to>
    <xdr:graphicFrame macro="">
      <xdr:nvGraphicFramePr>
        <xdr:cNvPr id="3" name="Chart 2">
          <a:extLst>
            <a:ext uri="{FF2B5EF4-FFF2-40B4-BE49-F238E27FC236}">
              <a16:creationId xmlns:a16="http://schemas.microsoft.com/office/drawing/2014/main" id="{353C5C3F-1FC0-4D73-9240-1772B8B73D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49</xdr:row>
      <xdr:rowOff>178593</xdr:rowOff>
    </xdr:from>
    <xdr:to>
      <xdr:col>15</xdr:col>
      <xdr:colOff>588857</xdr:colOff>
      <xdr:row>66</xdr:row>
      <xdr:rowOff>130968</xdr:rowOff>
    </xdr:to>
    <xdr:graphicFrame macro="">
      <xdr:nvGraphicFramePr>
        <xdr:cNvPr id="8" name="Chart 7">
          <a:extLst>
            <a:ext uri="{FF2B5EF4-FFF2-40B4-BE49-F238E27FC236}">
              <a16:creationId xmlns:a16="http://schemas.microsoft.com/office/drawing/2014/main" id="{29209E82-A119-42AB-B503-1770C72EA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7</xdr:col>
      <xdr:colOff>358774</xdr:colOff>
      <xdr:row>11</xdr:row>
      <xdr:rowOff>51910</xdr:rowOff>
    </xdr:from>
    <xdr:ext cx="862965" cy="172879"/>
    <xdr:sp macro="" textlink="">
      <xdr:nvSpPr>
        <xdr:cNvPr id="4" name="TextBox 3">
          <a:extLst>
            <a:ext uri="{FF2B5EF4-FFF2-40B4-BE49-F238E27FC236}">
              <a16:creationId xmlns:a16="http://schemas.microsoft.com/office/drawing/2014/main" id="{C33EE3DF-50F7-46CF-BA69-2CD7B390C90F}"/>
            </a:ext>
          </a:extLst>
        </xdr:cNvPr>
        <xdr:cNvSpPr txBox="1"/>
      </xdr:nvSpPr>
      <xdr:spPr>
        <a:xfrm>
          <a:off x="4086224" y="2153760"/>
          <a:ext cx="862965" cy="172879"/>
        </a:xfrm>
        <a:prstGeom prst="rect">
          <a:avLst/>
        </a:prstGeom>
        <a:solidFill>
          <a:schemeClr val="bg1">
            <a:lumMod val="95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l"/>
          <a:r>
            <a:rPr lang="en-US" sz="800" b="1">
              <a:solidFill>
                <a:schemeClr val="tx1">
                  <a:lumMod val="75000"/>
                  <a:lumOff val="25000"/>
                </a:schemeClr>
              </a:solidFill>
            </a:rPr>
            <a:t>a. Warm Lake</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57150</xdr:colOff>
      <xdr:row>3</xdr:row>
      <xdr:rowOff>95250</xdr:rowOff>
    </xdr:from>
    <xdr:to>
      <xdr:col>16</xdr:col>
      <xdr:colOff>476250</xdr:colOff>
      <xdr:row>25</xdr:row>
      <xdr:rowOff>28575</xdr:rowOff>
    </xdr:to>
    <xdr:pic>
      <xdr:nvPicPr>
        <xdr:cNvPr id="2" name="Picture 1">
          <a:extLst>
            <a:ext uri="{FF2B5EF4-FFF2-40B4-BE49-F238E27FC236}">
              <a16:creationId xmlns:a16="http://schemas.microsoft.com/office/drawing/2014/main" id="{0F967EE3-0FE2-4C7F-86E2-B5CFD936B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638175"/>
          <a:ext cx="5295900" cy="391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209550</xdr:colOff>
      <xdr:row>24</xdr:row>
      <xdr:rowOff>0</xdr:rowOff>
    </xdr:from>
    <xdr:to>
      <xdr:col>34</xdr:col>
      <xdr:colOff>190500</xdr:colOff>
      <xdr:row>39</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529590</xdr:colOff>
      <xdr:row>40</xdr:row>
      <xdr:rowOff>184785</xdr:rowOff>
    </xdr:from>
    <xdr:to>
      <xdr:col>41</xdr:col>
      <xdr:colOff>205740</xdr:colOff>
      <xdr:row>55</xdr:row>
      <xdr:rowOff>165735</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369570</xdr:colOff>
      <xdr:row>23</xdr:row>
      <xdr:rowOff>68580</xdr:rowOff>
    </xdr:from>
    <xdr:to>
      <xdr:col>20</xdr:col>
      <xdr:colOff>514350</xdr:colOff>
      <xdr:row>38</xdr:row>
      <xdr:rowOff>15240</xdr:rowOff>
    </xdr:to>
    <xdr:pic>
      <xdr:nvPicPr>
        <xdr:cNvPr id="2" name="Picture 1">
          <a:extLst>
            <a:ext uri="{FF2B5EF4-FFF2-40B4-BE49-F238E27FC236}">
              <a16:creationId xmlns:a16="http://schemas.microsoft.com/office/drawing/2014/main" id="{EE9A3B73-7B43-428D-BC6C-DE0B1CB000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5170" y="4231005"/>
          <a:ext cx="5621655"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1</xdr:row>
      <xdr:rowOff>53341</xdr:rowOff>
    </xdr:from>
    <xdr:to>
      <xdr:col>8</xdr:col>
      <xdr:colOff>443865</xdr:colOff>
      <xdr:row>19</xdr:row>
      <xdr:rowOff>68580</xdr:rowOff>
    </xdr:to>
    <xdr:sp macro="" textlink="">
      <xdr:nvSpPr>
        <xdr:cNvPr id="3" name="TextBox 2">
          <a:extLst>
            <a:ext uri="{FF2B5EF4-FFF2-40B4-BE49-F238E27FC236}">
              <a16:creationId xmlns:a16="http://schemas.microsoft.com/office/drawing/2014/main" id="{58BBC0D0-1035-41B8-9EC4-B0E6ED633122}"/>
            </a:ext>
          </a:extLst>
        </xdr:cNvPr>
        <xdr:cNvSpPr txBox="1"/>
      </xdr:nvSpPr>
      <xdr:spPr>
        <a:xfrm>
          <a:off x="704850" y="236221"/>
          <a:ext cx="4615815" cy="33070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Blocked area</a:t>
          </a:r>
        </a:p>
        <a:p>
          <a:r>
            <a:rPr lang="en-US" sz="1100"/>
            <a:t>CBP Phase I goals included</a:t>
          </a:r>
          <a:r>
            <a:rPr lang="en-US" sz="1100" baseline="0"/>
            <a:t> estimates of historical population sizes in accessible and blocked areas.</a:t>
          </a:r>
        </a:p>
        <a:p>
          <a:endParaRPr lang="en-US" sz="1100" baseline="0"/>
        </a:p>
        <a:p>
          <a:r>
            <a:rPr lang="en-US" sz="1100" baseline="0"/>
            <a:t>IDFG reported pre development numbers of 25,000 to Sawtooth Valley and 35,000 to Payette. (blocked)</a:t>
          </a:r>
        </a:p>
        <a:p>
          <a:endParaRPr lang="en-US" sz="1100" baseline="0"/>
        </a:p>
        <a:p>
          <a:r>
            <a:rPr lang="en-US" sz="1100" baseline="0"/>
            <a:t>Another 24,000 were estimated by Witty &amp; Cramer in Wallowa Lake (currently blocked).</a:t>
          </a:r>
        </a:p>
        <a:p>
          <a:endParaRPr lang="en-US" sz="1100" baseline="0"/>
        </a:p>
        <a:p>
          <a:r>
            <a:rPr lang="en-US" sz="1100" baseline="0"/>
            <a:t>These were the numbers used in CBP Phase 1.</a:t>
          </a:r>
        </a:p>
        <a:p>
          <a:endParaRPr lang="en-US" sz="1100" baseline="0"/>
        </a:p>
        <a:p>
          <a:r>
            <a:rPr lang="en-US" sz="1100" baseline="0"/>
            <a:t>IPC estimate 14,400 - 57,400 sockeye above HCC (midpoint 35,900). This is consistent with IDFG Payette estimate.</a:t>
          </a:r>
        </a:p>
        <a:p>
          <a:endParaRPr lang="en-US" sz="1100" baseline="0"/>
        </a:p>
        <a:p>
          <a:r>
            <a:rPr lang="en-US" sz="1100" baseline="0"/>
            <a:t>2 of 3 historical production areas are blocked (67%)</a:t>
          </a:r>
        </a:p>
        <a:p>
          <a:endParaRPr lang="en-US" sz="1100" baseline="0"/>
        </a:p>
        <a:p>
          <a:r>
            <a:rPr lang="en-US" sz="1100" baseline="0"/>
            <a:t>Therefore, impact based on phase I population numbers (=70%).</a:t>
          </a:r>
          <a:endParaRPr lang="en-US" sz="1100"/>
        </a:p>
      </xdr:txBody>
    </xdr:sp>
    <xdr:clientData/>
  </xdr:twoCellAnchor>
  <xdr:twoCellAnchor editAs="oneCell">
    <xdr:from>
      <xdr:col>11</xdr:col>
      <xdr:colOff>198121</xdr:colOff>
      <xdr:row>0</xdr:row>
      <xdr:rowOff>136492</xdr:rowOff>
    </xdr:from>
    <xdr:to>
      <xdr:col>21</xdr:col>
      <xdr:colOff>325756</xdr:colOff>
      <xdr:row>21</xdr:row>
      <xdr:rowOff>97156</xdr:rowOff>
    </xdr:to>
    <xdr:pic>
      <xdr:nvPicPr>
        <xdr:cNvPr id="4" name="Picture 3">
          <a:extLst>
            <a:ext uri="{FF2B5EF4-FFF2-40B4-BE49-F238E27FC236}">
              <a16:creationId xmlns:a16="http://schemas.microsoft.com/office/drawing/2014/main" id="{C3256D98-CF0F-483A-B1BD-0310499A7650}"/>
            </a:ext>
          </a:extLst>
        </xdr:cNvPr>
        <xdr:cNvPicPr>
          <a:picLocks noChangeAspect="1"/>
        </xdr:cNvPicPr>
      </xdr:nvPicPr>
      <xdr:blipFill rotWithShape="1">
        <a:blip xmlns:r="http://schemas.openxmlformats.org/officeDocument/2006/relationships" r:embed="rId2"/>
        <a:srcRect l="55093" r="18350" b="42920"/>
        <a:stretch/>
      </xdr:blipFill>
      <xdr:spPr>
        <a:xfrm>
          <a:off x="6903721" y="136492"/>
          <a:ext cx="6219825" cy="3764949"/>
        </a:xfrm>
        <a:prstGeom prst="rect">
          <a:avLst/>
        </a:prstGeom>
      </xdr:spPr>
    </xdr:pic>
    <xdr:clientData/>
  </xdr:twoCellAnchor>
  <xdr:twoCellAnchor editAs="oneCell">
    <xdr:from>
      <xdr:col>22</xdr:col>
      <xdr:colOff>285750</xdr:colOff>
      <xdr:row>1</xdr:row>
      <xdr:rowOff>28575</xdr:rowOff>
    </xdr:from>
    <xdr:to>
      <xdr:col>29</xdr:col>
      <xdr:colOff>342900</xdr:colOff>
      <xdr:row>10</xdr:row>
      <xdr:rowOff>76200</xdr:rowOff>
    </xdr:to>
    <xdr:pic>
      <xdr:nvPicPr>
        <xdr:cNvPr id="5" name="Picture 4">
          <a:extLst>
            <a:ext uri="{FF2B5EF4-FFF2-40B4-BE49-F238E27FC236}">
              <a16:creationId xmlns:a16="http://schemas.microsoft.com/office/drawing/2014/main" id="{CCC462C5-10E0-4B82-B19B-4B34C7041C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96950" y="209550"/>
          <a:ext cx="432435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s://www.cbfish.org/Document.mvc/Viewer/A30423-1.pdf" TargetMode="External"/><Relationship Id="rId1" Type="http://schemas.openxmlformats.org/officeDocument/2006/relationships/hyperlink" Target="https://idfg.idaho.gov/conservation/sockeye"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75"/>
  <sheetViews>
    <sheetView tabSelected="1" topLeftCell="A23" zoomScale="90" zoomScaleNormal="90" workbookViewId="0">
      <selection activeCell="U33" sqref="U33"/>
    </sheetView>
  </sheetViews>
  <sheetFormatPr defaultRowHeight="14.4" x14ac:dyDescent="0.3"/>
  <cols>
    <col min="1" max="1" width="1.5546875" style="2" customWidth="1"/>
    <col min="2" max="13" width="8.77734375" style="9" customWidth="1"/>
    <col min="14" max="16" width="8.77734375" customWidth="1"/>
    <col min="17" max="17" width="2.44140625" customWidth="1"/>
    <col min="18" max="18" width="2.6640625" style="2" customWidth="1"/>
    <col min="19" max="19" width="11.6640625" customWidth="1"/>
    <col min="20" max="20" width="20.88671875" customWidth="1"/>
    <col min="21" max="21" width="13.6640625" customWidth="1"/>
    <col min="22" max="22" width="11.6640625" customWidth="1"/>
    <col min="23" max="23" width="12.109375" customWidth="1"/>
    <col min="24" max="24" width="11.109375" customWidth="1"/>
    <col min="25" max="25" width="13" customWidth="1"/>
    <col min="26" max="26" width="1.44140625" style="2" customWidth="1"/>
    <col min="27" max="27" width="1.77734375" customWidth="1"/>
  </cols>
  <sheetData>
    <row r="1" spans="1:34" s="41" customFormat="1" ht="21" customHeight="1" x14ac:dyDescent="0.35">
      <c r="A1" s="157"/>
      <c r="B1" s="158" t="s">
        <v>22</v>
      </c>
      <c r="C1" s="157"/>
      <c r="D1" s="157"/>
      <c r="E1" s="158"/>
      <c r="F1" s="159"/>
      <c r="G1" s="160"/>
      <c r="H1" s="161" t="s">
        <v>29</v>
      </c>
      <c r="I1" s="158"/>
      <c r="J1" s="162"/>
      <c r="K1" s="159"/>
      <c r="L1" s="158" t="s">
        <v>23</v>
      </c>
      <c r="M1" s="162"/>
      <c r="N1" s="158"/>
      <c r="O1" s="163"/>
      <c r="P1" s="163"/>
      <c r="Q1" s="163"/>
      <c r="R1" s="75"/>
      <c r="S1" s="75"/>
      <c r="T1" s="75"/>
      <c r="U1" s="75"/>
      <c r="V1" s="75"/>
      <c r="W1" s="75"/>
      <c r="X1" s="75"/>
      <c r="Y1" s="75"/>
      <c r="Z1" s="75"/>
    </row>
    <row r="2" spans="1:34" s="2" customFormat="1" ht="15" customHeight="1" x14ac:dyDescent="0.3">
      <c r="B2" s="3"/>
      <c r="C2" s="4"/>
      <c r="D2" s="4"/>
      <c r="E2" s="5"/>
      <c r="F2" s="6"/>
      <c r="G2" s="6"/>
      <c r="H2" s="6"/>
      <c r="I2" s="6"/>
      <c r="J2" s="6"/>
      <c r="K2" s="6"/>
      <c r="L2" s="6"/>
      <c r="M2" s="6"/>
      <c r="S2" s="164" t="s">
        <v>15</v>
      </c>
      <c r="T2" s="165"/>
      <c r="U2" s="166" t="s">
        <v>136</v>
      </c>
      <c r="V2" s="167"/>
      <c r="W2" s="168" t="s">
        <v>12</v>
      </c>
      <c r="X2" s="169"/>
      <c r="Y2" s="170"/>
      <c r="Z2" s="6"/>
    </row>
    <row r="3" spans="1:34" x14ac:dyDescent="0.3">
      <c r="B3" s="6"/>
      <c r="C3" s="6"/>
      <c r="D3" s="6"/>
      <c r="E3" s="6"/>
      <c r="F3" s="6"/>
      <c r="G3" s="6"/>
      <c r="H3" s="6"/>
      <c r="I3" s="6"/>
      <c r="J3" s="6"/>
      <c r="K3" s="6"/>
      <c r="L3" s="2"/>
      <c r="M3" s="2"/>
      <c r="N3" s="2"/>
      <c r="O3" s="2"/>
      <c r="P3" s="2"/>
      <c r="Q3" s="2"/>
      <c r="S3" s="174" t="s">
        <v>127</v>
      </c>
      <c r="T3" s="175" t="s">
        <v>0</v>
      </c>
      <c r="U3" s="186" t="s">
        <v>18</v>
      </c>
      <c r="V3" s="171" t="s">
        <v>2</v>
      </c>
      <c r="W3" s="172" t="s">
        <v>4</v>
      </c>
      <c r="X3" s="172" t="s">
        <v>5</v>
      </c>
      <c r="Y3" s="173" t="s">
        <v>6</v>
      </c>
      <c r="Z3" s="6"/>
    </row>
    <row r="4" spans="1:34" x14ac:dyDescent="0.3">
      <c r="B4" s="6"/>
      <c r="C4" s="6"/>
      <c r="D4" s="6"/>
      <c r="E4" s="6"/>
      <c r="F4" s="6"/>
      <c r="G4" s="6"/>
      <c r="H4" s="6"/>
      <c r="I4" s="6"/>
      <c r="J4" s="6"/>
      <c r="K4" s="6"/>
      <c r="L4" s="2"/>
      <c r="M4" s="2"/>
      <c r="N4" s="2"/>
      <c r="O4" s="2"/>
      <c r="P4" s="2"/>
      <c r="Q4" s="2"/>
      <c r="S4" s="223" t="s">
        <v>24</v>
      </c>
      <c r="T4" s="10" t="s">
        <v>25</v>
      </c>
      <c r="U4" s="187">
        <f>ROUND(Run!AA65,-1)</f>
        <v>100</v>
      </c>
      <c r="V4" s="222">
        <v>25000</v>
      </c>
      <c r="W4" s="21">
        <v>1000</v>
      </c>
      <c r="X4" s="214">
        <v>5750</v>
      </c>
      <c r="Y4" s="216">
        <v>9000</v>
      </c>
      <c r="Z4" s="6"/>
      <c r="AA4" s="96"/>
    </row>
    <row r="5" spans="1:34" ht="13.95" customHeight="1" x14ac:dyDescent="0.3">
      <c r="B5" s="6"/>
      <c r="C5" s="6"/>
      <c r="D5" s="6"/>
      <c r="E5" s="6"/>
      <c r="F5" s="6"/>
      <c r="G5" s="6"/>
      <c r="H5" s="6"/>
      <c r="I5" s="6"/>
      <c r="J5" s="6"/>
      <c r="K5" s="6"/>
      <c r="L5" s="2"/>
      <c r="M5" s="2"/>
      <c r="N5" s="2"/>
      <c r="O5" s="2"/>
      <c r="P5" s="2"/>
      <c r="Q5" s="2"/>
      <c r="S5" s="210"/>
      <c r="T5" s="15" t="s">
        <v>26</v>
      </c>
      <c r="U5" s="188">
        <v>0</v>
      </c>
      <c r="V5" s="217"/>
      <c r="W5" s="22">
        <v>1000</v>
      </c>
      <c r="X5" s="213"/>
      <c r="Y5" s="217"/>
      <c r="Z5" s="6"/>
    </row>
    <row r="6" spans="1:34" x14ac:dyDescent="0.3">
      <c r="B6" s="6"/>
      <c r="C6" s="6"/>
      <c r="D6" s="6"/>
      <c r="E6" s="6"/>
      <c r="F6" s="6"/>
      <c r="G6" s="6"/>
      <c r="H6" s="6"/>
      <c r="I6" s="6"/>
      <c r="J6" s="6"/>
      <c r="K6" s="6"/>
      <c r="L6" s="2"/>
      <c r="M6" s="2"/>
      <c r="N6" s="2"/>
      <c r="O6" s="2"/>
      <c r="P6" s="2"/>
      <c r="Q6" s="2"/>
      <c r="S6" s="210"/>
      <c r="T6" t="s">
        <v>27</v>
      </c>
      <c r="U6" s="188">
        <v>0</v>
      </c>
      <c r="V6" s="217"/>
      <c r="W6" s="19" t="s">
        <v>8</v>
      </c>
      <c r="X6" s="213"/>
      <c r="Y6" s="217"/>
      <c r="Z6" s="6"/>
    </row>
    <row r="7" spans="1:34" x14ac:dyDescent="0.3">
      <c r="B7" s="6"/>
      <c r="C7" s="6"/>
      <c r="D7" s="6"/>
      <c r="E7" s="6"/>
      <c r="F7" s="6"/>
      <c r="G7" s="6"/>
      <c r="H7" s="6"/>
      <c r="I7" s="6"/>
      <c r="J7" s="6"/>
      <c r="K7" s="6"/>
      <c r="L7" s="2"/>
      <c r="M7" s="2"/>
      <c r="N7" s="2"/>
      <c r="O7" s="2"/>
      <c r="P7" s="2"/>
      <c r="Q7" s="2"/>
      <c r="S7" s="210"/>
      <c r="T7" t="s">
        <v>31</v>
      </c>
      <c r="U7" s="188">
        <v>0</v>
      </c>
      <c r="V7" s="217"/>
      <c r="W7" s="19" t="s">
        <v>8</v>
      </c>
      <c r="X7" s="213"/>
      <c r="Y7" s="217"/>
      <c r="Z7" s="6"/>
    </row>
    <row r="8" spans="1:34" x14ac:dyDescent="0.3">
      <c r="B8" s="6"/>
      <c r="C8" s="6"/>
      <c r="D8" s="6"/>
      <c r="E8" s="6"/>
      <c r="F8" s="6"/>
      <c r="G8" s="6"/>
      <c r="H8" s="6"/>
      <c r="I8" s="6"/>
      <c r="J8" s="6"/>
      <c r="K8" s="6"/>
      <c r="L8" s="2"/>
      <c r="M8" s="2"/>
      <c r="N8" s="2"/>
      <c r="O8" s="2"/>
      <c r="P8" s="2"/>
      <c r="Q8" s="2"/>
      <c r="S8" s="210"/>
      <c r="T8" t="s">
        <v>180</v>
      </c>
      <c r="U8" s="188">
        <v>0</v>
      </c>
      <c r="V8" s="217"/>
      <c r="W8" s="22">
        <v>500</v>
      </c>
      <c r="X8" s="213"/>
      <c r="Y8" s="217"/>
      <c r="Z8" s="6"/>
    </row>
    <row r="9" spans="1:34" x14ac:dyDescent="0.3">
      <c r="B9" s="6"/>
      <c r="C9" s="6"/>
      <c r="D9" s="6"/>
      <c r="E9" s="6"/>
      <c r="F9" s="6"/>
      <c r="G9" s="6"/>
      <c r="H9" s="6"/>
      <c r="I9" s="6"/>
      <c r="J9" s="6"/>
      <c r="K9" s="6"/>
      <c r="L9" s="2"/>
      <c r="M9" s="2"/>
      <c r="N9" s="2"/>
      <c r="O9" s="2"/>
      <c r="P9" s="2"/>
      <c r="Q9" s="2"/>
      <c r="S9" s="211"/>
      <c r="T9" s="7" t="s">
        <v>30</v>
      </c>
      <c r="U9" s="189">
        <v>0</v>
      </c>
      <c r="V9" s="218"/>
      <c r="W9" s="17" t="s">
        <v>8</v>
      </c>
      <c r="X9" s="215"/>
      <c r="Y9" s="218"/>
      <c r="Z9" s="6"/>
    </row>
    <row r="10" spans="1:34" x14ac:dyDescent="0.3">
      <c r="B10" s="6"/>
      <c r="C10" s="6"/>
      <c r="D10" s="6"/>
      <c r="E10" s="6"/>
      <c r="F10" s="6"/>
      <c r="G10" s="6"/>
      <c r="H10" s="6"/>
      <c r="I10" s="6"/>
      <c r="J10" s="6"/>
      <c r="K10" s="6"/>
      <c r="L10" s="2"/>
      <c r="M10" s="2"/>
      <c r="N10" s="2"/>
      <c r="O10" s="2"/>
      <c r="P10" s="2"/>
      <c r="Q10" s="2"/>
      <c r="S10" s="148" t="s">
        <v>137</v>
      </c>
      <c r="T10" s="197" t="s">
        <v>186</v>
      </c>
      <c r="U10" s="189">
        <v>0</v>
      </c>
      <c r="V10" s="147"/>
      <c r="W10" s="198">
        <v>500</v>
      </c>
      <c r="X10" s="199">
        <v>1250</v>
      </c>
      <c r="Y10" s="200">
        <v>2000</v>
      </c>
      <c r="Z10" s="6"/>
      <c r="AC10" t="s">
        <v>177</v>
      </c>
    </row>
    <row r="11" spans="1:34" x14ac:dyDescent="0.3">
      <c r="B11" s="6"/>
      <c r="C11" s="6"/>
      <c r="D11" s="6"/>
      <c r="E11" s="6"/>
      <c r="F11" s="6"/>
      <c r="G11" s="6"/>
      <c r="H11" s="6"/>
      <c r="I11" s="6"/>
      <c r="J11" s="6"/>
      <c r="K11" s="6"/>
      <c r="L11" s="6"/>
      <c r="M11" s="6"/>
      <c r="N11" s="2"/>
      <c r="O11" s="2"/>
      <c r="P11" s="2"/>
      <c r="Q11" s="2"/>
      <c r="S11" s="111" t="s">
        <v>33</v>
      </c>
      <c r="T11" s="8" t="s">
        <v>32</v>
      </c>
      <c r="U11" s="190">
        <v>0</v>
      </c>
      <c r="V11" s="98">
        <v>35000</v>
      </c>
      <c r="W11" s="198">
        <v>1500</v>
      </c>
      <c r="X11" s="199">
        <v>5250</v>
      </c>
      <c r="Y11" s="200">
        <v>9000</v>
      </c>
      <c r="Z11" s="6"/>
    </row>
    <row r="12" spans="1:34" x14ac:dyDescent="0.3">
      <c r="B12" s="6"/>
      <c r="C12" s="6"/>
      <c r="D12" s="6"/>
      <c r="E12" s="6"/>
      <c r="F12" s="6"/>
      <c r="G12" s="6"/>
      <c r="H12" s="6"/>
      <c r="I12" s="6"/>
      <c r="J12" s="6"/>
      <c r="K12" s="6"/>
      <c r="L12" s="6"/>
      <c r="M12" s="6"/>
      <c r="N12" s="2"/>
      <c r="O12" s="2"/>
      <c r="P12" s="2"/>
      <c r="Q12" s="2"/>
      <c r="S12" s="73" t="s">
        <v>34</v>
      </c>
      <c r="T12" s="40" t="s">
        <v>86</v>
      </c>
      <c r="U12" s="21">
        <v>0</v>
      </c>
      <c r="V12" s="191">
        <v>24000</v>
      </c>
      <c r="W12" s="201">
        <v>1000</v>
      </c>
      <c r="X12" s="202">
        <v>3500</v>
      </c>
      <c r="Y12" s="203">
        <v>6000</v>
      </c>
      <c r="Z12" s="6"/>
      <c r="AC12" t="s">
        <v>184</v>
      </c>
      <c r="AF12" s="19">
        <v>500</v>
      </c>
      <c r="AG12" s="18">
        <v>1000</v>
      </c>
      <c r="AH12" s="20">
        <v>2500</v>
      </c>
    </row>
    <row r="13" spans="1:34" x14ac:dyDescent="0.3">
      <c r="B13" s="6"/>
      <c r="C13" s="6"/>
      <c r="D13" s="6"/>
      <c r="E13" s="6"/>
      <c r="F13" s="6"/>
      <c r="G13" s="6"/>
      <c r="H13" s="6"/>
      <c r="I13" s="6"/>
      <c r="J13" s="6"/>
      <c r="K13" s="6"/>
      <c r="L13" s="6"/>
      <c r="M13" s="6"/>
      <c r="N13" s="2"/>
      <c r="O13" s="2"/>
      <c r="P13" s="2"/>
      <c r="Q13" s="2"/>
      <c r="S13" s="176" t="s">
        <v>3</v>
      </c>
      <c r="T13" s="177"/>
      <c r="U13" s="178">
        <f>SUM(U4:U12)</f>
        <v>100</v>
      </c>
      <c r="V13" s="178">
        <f>SUM(V4:V12)</f>
        <v>84000</v>
      </c>
      <c r="W13" s="178">
        <f>SUM(W4:W12)</f>
        <v>5500</v>
      </c>
      <c r="X13" s="178">
        <f t="shared" ref="X13:Y13" si="0">SUM(X4:X12)</f>
        <v>15750</v>
      </c>
      <c r="Y13" s="179">
        <f t="shared" si="0"/>
        <v>26000</v>
      </c>
      <c r="Z13" s="6"/>
      <c r="AA13" s="69"/>
      <c r="AB13" s="69"/>
      <c r="AC13" t="s">
        <v>185</v>
      </c>
      <c r="AF13" s="194">
        <v>1000</v>
      </c>
      <c r="AG13" s="195">
        <v>3500</v>
      </c>
      <c r="AH13" s="196">
        <v>6000</v>
      </c>
    </row>
    <row r="14" spans="1:34" x14ac:dyDescent="0.3">
      <c r="B14" s="6"/>
      <c r="C14" s="6"/>
      <c r="D14" s="6"/>
      <c r="E14" s="6"/>
      <c r="F14" s="6"/>
      <c r="G14" s="6"/>
      <c r="H14" s="6"/>
      <c r="I14" s="6"/>
      <c r="J14" s="6"/>
      <c r="K14" s="6"/>
      <c r="L14" s="6"/>
      <c r="M14" s="6"/>
      <c r="N14" s="2"/>
      <c r="O14" s="2"/>
      <c r="P14" s="2"/>
      <c r="Q14" s="2"/>
      <c r="S14" s="6"/>
      <c r="T14" s="6"/>
      <c r="U14" s="6"/>
      <c r="V14" s="6"/>
      <c r="W14" s="6"/>
      <c r="X14" s="6"/>
      <c r="Y14" s="6"/>
      <c r="Z14" s="6"/>
    </row>
    <row r="15" spans="1:34" x14ac:dyDescent="0.3">
      <c r="B15" s="6"/>
      <c r="C15" s="6"/>
      <c r="D15" s="6"/>
      <c r="E15" s="6"/>
      <c r="F15" s="6"/>
      <c r="G15" s="2"/>
      <c r="H15" s="2"/>
      <c r="I15" s="2"/>
      <c r="J15" s="2"/>
      <c r="K15" s="2"/>
      <c r="L15" s="2"/>
      <c r="M15" s="2"/>
      <c r="N15" s="2"/>
      <c r="O15" s="2"/>
      <c r="P15" s="2"/>
      <c r="Q15" s="2"/>
      <c r="S15" s="51" t="s">
        <v>85</v>
      </c>
      <c r="T15" s="52"/>
      <c r="U15" s="53" t="s">
        <v>70</v>
      </c>
      <c r="V15" s="54"/>
      <c r="W15" s="54"/>
      <c r="X15" s="76" t="s">
        <v>9</v>
      </c>
      <c r="Y15" s="55" t="s">
        <v>88</v>
      </c>
    </row>
    <row r="16" spans="1:34" ht="14.4" customHeight="1" x14ac:dyDescent="0.3">
      <c r="B16" s="6"/>
      <c r="C16" s="6"/>
      <c r="D16" s="6"/>
      <c r="E16" s="6"/>
      <c r="F16" s="6"/>
      <c r="G16" s="6"/>
      <c r="H16" s="6"/>
      <c r="I16" s="6"/>
      <c r="J16" s="6"/>
      <c r="K16" s="6"/>
      <c r="L16" s="6"/>
      <c r="M16" s="6"/>
      <c r="N16" s="2"/>
      <c r="O16" s="2"/>
      <c r="P16" s="2"/>
      <c r="Q16" s="2"/>
      <c r="S16" s="59" t="s">
        <v>13</v>
      </c>
      <c r="T16" s="60"/>
      <c r="U16" s="61" t="s">
        <v>14</v>
      </c>
      <c r="V16" s="61" t="s">
        <v>71</v>
      </c>
      <c r="W16" s="61" t="s">
        <v>72</v>
      </c>
      <c r="X16" s="61" t="s">
        <v>80</v>
      </c>
      <c r="Y16" s="192" t="s">
        <v>73</v>
      </c>
    </row>
    <row r="17" spans="2:28" x14ac:dyDescent="0.3">
      <c r="B17" s="6"/>
      <c r="C17" s="6"/>
      <c r="D17" s="6"/>
      <c r="E17" s="6"/>
      <c r="F17" s="6"/>
      <c r="G17" s="6"/>
      <c r="H17" s="6"/>
      <c r="I17" s="6"/>
      <c r="J17" s="6"/>
      <c r="K17" s="6"/>
      <c r="L17" s="6"/>
      <c r="M17" s="6"/>
      <c r="N17" s="2"/>
      <c r="O17" s="2"/>
      <c r="P17" s="2"/>
      <c r="Q17" s="2"/>
      <c r="S17" s="79" t="s">
        <v>82</v>
      </c>
      <c r="T17" s="80"/>
      <c r="U17" s="81"/>
      <c r="V17" s="82">
        <v>900000</v>
      </c>
      <c r="W17" s="83"/>
      <c r="X17" s="83">
        <v>10000</v>
      </c>
      <c r="Y17" s="84">
        <v>1000000</v>
      </c>
    </row>
    <row r="18" spans="2:28" x14ac:dyDescent="0.3">
      <c r="B18" s="6"/>
      <c r="C18" s="6"/>
      <c r="D18" s="6"/>
      <c r="E18" s="6"/>
      <c r="F18" s="6"/>
      <c r="G18" s="6"/>
      <c r="H18" s="6"/>
      <c r="I18" s="6"/>
      <c r="J18" s="6"/>
      <c r="K18" s="6"/>
      <c r="L18" s="6"/>
      <c r="M18" s="6"/>
      <c r="N18" s="2"/>
      <c r="O18" s="2"/>
      <c r="P18" s="2"/>
      <c r="Q18" s="2"/>
      <c r="S18" s="56" t="s">
        <v>3</v>
      </c>
      <c r="T18" s="57"/>
      <c r="U18" s="58"/>
      <c r="V18" s="58">
        <f>V17</f>
        <v>900000</v>
      </c>
      <c r="W18" s="146"/>
      <c r="X18" s="146">
        <f>X17</f>
        <v>10000</v>
      </c>
      <c r="Y18" s="77">
        <f>Y17</f>
        <v>1000000</v>
      </c>
    </row>
    <row r="19" spans="2:28" x14ac:dyDescent="0.3">
      <c r="B19" s="6"/>
      <c r="C19" s="6"/>
      <c r="D19" s="6"/>
      <c r="E19" s="6"/>
      <c r="F19" s="6"/>
      <c r="G19" s="6"/>
      <c r="H19" s="6"/>
      <c r="I19" s="6"/>
      <c r="J19" s="6"/>
      <c r="K19" s="6"/>
      <c r="L19" s="6"/>
      <c r="M19" s="6"/>
      <c r="N19" s="2"/>
      <c r="O19" s="2"/>
      <c r="P19" s="2"/>
      <c r="Q19" s="2"/>
      <c r="S19" s="2"/>
      <c r="T19" s="2"/>
      <c r="U19" s="2"/>
      <c r="V19" s="2"/>
      <c r="W19" s="2"/>
      <c r="X19" s="2"/>
      <c r="Y19" s="2"/>
    </row>
    <row r="20" spans="2:28" x14ac:dyDescent="0.3">
      <c r="B20" s="6"/>
      <c r="C20" s="6"/>
      <c r="D20" s="6"/>
      <c r="E20" s="6"/>
      <c r="F20" s="6"/>
      <c r="G20" s="6"/>
      <c r="H20" s="6"/>
      <c r="I20" s="6"/>
      <c r="J20" s="6"/>
      <c r="K20" s="6"/>
      <c r="L20" s="6"/>
      <c r="M20" s="6"/>
      <c r="N20" s="2"/>
      <c r="O20" s="2"/>
      <c r="P20" s="2"/>
      <c r="Q20" s="2"/>
      <c r="S20" s="11" t="s">
        <v>17</v>
      </c>
      <c r="T20" s="87"/>
      <c r="U20" s="85" t="s">
        <v>66</v>
      </c>
      <c r="V20" s="47"/>
      <c r="W20" s="88"/>
      <c r="X20" s="85" t="s">
        <v>65</v>
      </c>
      <c r="Y20" s="46"/>
    </row>
    <row r="21" spans="2:28" x14ac:dyDescent="0.3">
      <c r="B21" s="6"/>
      <c r="C21" s="6"/>
      <c r="D21" s="6"/>
      <c r="E21" s="6"/>
      <c r="F21" s="6"/>
      <c r="G21" s="6"/>
      <c r="H21" s="6"/>
      <c r="I21" s="6"/>
      <c r="J21" s="6"/>
      <c r="K21" s="6"/>
      <c r="L21" s="6"/>
      <c r="M21" s="6"/>
      <c r="N21" s="2"/>
      <c r="O21" s="2"/>
      <c r="P21" s="2"/>
      <c r="Q21" s="2"/>
      <c r="S21" s="12"/>
      <c r="T21" s="45" t="s">
        <v>11</v>
      </c>
      <c r="U21" s="89" t="s">
        <v>64</v>
      </c>
      <c r="V21" s="72" t="s">
        <v>81</v>
      </c>
      <c r="W21" s="44" t="s">
        <v>89</v>
      </c>
      <c r="X21" s="12" t="s">
        <v>76</v>
      </c>
      <c r="Y21" s="44" t="s">
        <v>89</v>
      </c>
    </row>
    <row r="22" spans="2:28" x14ac:dyDescent="0.3">
      <c r="B22" s="6"/>
      <c r="C22" s="6"/>
      <c r="D22" s="6"/>
      <c r="E22" s="6"/>
      <c r="F22" s="6"/>
      <c r="G22" s="6"/>
      <c r="H22" s="6"/>
      <c r="I22" s="6"/>
      <c r="J22" s="6"/>
      <c r="K22" s="6"/>
      <c r="L22" s="6"/>
      <c r="M22" s="6"/>
      <c r="N22" s="2"/>
      <c r="O22" s="2"/>
      <c r="P22" s="2"/>
      <c r="Q22" s="2"/>
      <c r="S22" s="210" t="s">
        <v>178</v>
      </c>
      <c r="T22" s="8" t="s">
        <v>19</v>
      </c>
      <c r="U22" s="90">
        <v>0</v>
      </c>
      <c r="V22" s="13" t="s">
        <v>8</v>
      </c>
      <c r="W22" s="14" t="s">
        <v>8</v>
      </c>
      <c r="X22" s="86" t="s">
        <v>8</v>
      </c>
      <c r="Y22" s="14" t="s">
        <v>8</v>
      </c>
    </row>
    <row r="23" spans="2:28" x14ac:dyDescent="0.3">
      <c r="B23" s="6"/>
      <c r="C23" s="6"/>
      <c r="D23" s="6"/>
      <c r="E23" s="6"/>
      <c r="F23" s="6"/>
      <c r="G23" s="6"/>
      <c r="H23" s="6"/>
      <c r="I23" s="6"/>
      <c r="J23" s="6"/>
      <c r="K23" s="6"/>
      <c r="L23" s="6"/>
      <c r="M23" s="6"/>
      <c r="N23" s="2"/>
      <c r="O23" s="2"/>
      <c r="P23" s="2"/>
      <c r="Q23" s="2"/>
      <c r="S23" s="210"/>
      <c r="T23" s="8" t="s">
        <v>74</v>
      </c>
      <c r="U23" s="149">
        <f>Run!P63</f>
        <v>5.762341938616082E-4</v>
      </c>
      <c r="V23" s="212" t="s">
        <v>54</v>
      </c>
      <c r="W23" s="219" t="str">
        <f>W26</f>
        <v>10-40%</v>
      </c>
      <c r="X23" s="150">
        <f>Run!D63</f>
        <v>0.9</v>
      </c>
      <c r="Y23" s="221">
        <f>Y26</f>
        <v>23700</v>
      </c>
    </row>
    <row r="24" spans="2:28" x14ac:dyDescent="0.3">
      <c r="B24" s="6"/>
      <c r="C24" s="6"/>
      <c r="D24" s="6" t="s">
        <v>1</v>
      </c>
      <c r="E24" s="74">
        <f>U13</f>
        <v>100</v>
      </c>
      <c r="F24" s="6"/>
      <c r="G24" s="6"/>
      <c r="H24" s="6"/>
      <c r="I24" s="6"/>
      <c r="J24" s="6"/>
      <c r="K24" s="6"/>
      <c r="L24" s="6"/>
      <c r="M24" s="6"/>
      <c r="N24" s="2"/>
      <c r="O24" s="2"/>
      <c r="P24" s="2"/>
      <c r="Q24" s="2"/>
      <c r="S24" s="210"/>
      <c r="T24" s="8" t="s">
        <v>63</v>
      </c>
      <c r="U24" s="149">
        <f>Run!Q63</f>
        <v>5.5317054595707883E-2</v>
      </c>
      <c r="V24" s="213"/>
      <c r="W24" s="217"/>
      <c r="X24" s="150">
        <f>Run!E63</f>
        <v>80.7</v>
      </c>
      <c r="Y24" s="217"/>
    </row>
    <row r="25" spans="2:28" x14ac:dyDescent="0.3">
      <c r="B25" s="6"/>
      <c r="C25" s="6"/>
      <c r="D25" s="6" t="s">
        <v>77</v>
      </c>
      <c r="E25" s="74">
        <f>W13</f>
        <v>5500</v>
      </c>
      <c r="F25" s="6"/>
      <c r="G25" s="6"/>
      <c r="H25" s="6"/>
      <c r="I25" s="6"/>
      <c r="J25" s="6"/>
      <c r="K25" s="6"/>
      <c r="L25" s="6"/>
      <c r="M25" s="6"/>
      <c r="N25" s="2"/>
      <c r="O25" s="2"/>
      <c r="P25" s="2"/>
      <c r="Q25" s="2"/>
      <c r="S25" s="210"/>
      <c r="T25" s="8" t="s">
        <v>16</v>
      </c>
      <c r="U25" s="90">
        <v>0</v>
      </c>
      <c r="V25" s="13" t="s">
        <v>8</v>
      </c>
      <c r="W25" s="220"/>
      <c r="X25" s="86" t="s">
        <v>8</v>
      </c>
      <c r="Y25" s="218"/>
    </row>
    <row r="26" spans="2:28" ht="13.2" customHeight="1" x14ac:dyDescent="0.3">
      <c r="B26" s="6"/>
      <c r="C26" s="6"/>
      <c r="D26" s="6" t="s">
        <v>78</v>
      </c>
      <c r="E26" s="74">
        <f>X13</f>
        <v>15750</v>
      </c>
      <c r="F26" s="6"/>
      <c r="G26" s="6"/>
      <c r="H26" s="6"/>
      <c r="I26" s="6"/>
      <c r="J26" s="6"/>
      <c r="K26" s="6"/>
      <c r="L26" s="6"/>
      <c r="M26" s="6"/>
      <c r="N26" s="2"/>
      <c r="O26" s="2"/>
      <c r="P26" s="2"/>
      <c r="Q26" s="2"/>
      <c r="S26" s="211"/>
      <c r="T26" s="43" t="s">
        <v>7</v>
      </c>
      <c r="U26" s="91">
        <f>SUM(U22:U25)</f>
        <v>5.5893288789569492E-2</v>
      </c>
      <c r="V26" s="42" t="str">
        <f>V23</f>
        <v>5-7%</v>
      </c>
      <c r="W26" s="71" t="s">
        <v>83</v>
      </c>
      <c r="X26" s="107">
        <f>X23+X24</f>
        <v>81.600000000000009</v>
      </c>
      <c r="Y26" s="145">
        <f>X46</f>
        <v>23700</v>
      </c>
    </row>
    <row r="27" spans="2:28" x14ac:dyDescent="0.3">
      <c r="B27" s="6"/>
      <c r="C27" s="6"/>
      <c r="D27" s="6" t="s">
        <v>79</v>
      </c>
      <c r="E27" s="74">
        <f>Y13</f>
        <v>26000</v>
      </c>
      <c r="F27" s="6"/>
      <c r="G27" s="6"/>
      <c r="H27" s="6"/>
      <c r="I27" s="6"/>
      <c r="J27" s="6"/>
      <c r="K27" s="6"/>
      <c r="L27" s="6"/>
      <c r="M27" s="6"/>
      <c r="N27" s="2"/>
      <c r="O27" s="2"/>
      <c r="P27" s="2"/>
      <c r="Q27" s="2"/>
      <c r="S27" s="6"/>
      <c r="T27" s="6"/>
      <c r="U27" s="6"/>
      <c r="V27" s="2"/>
      <c r="W27" s="2"/>
      <c r="X27" s="2"/>
      <c r="Y27" s="2"/>
    </row>
    <row r="28" spans="2:28" x14ac:dyDescent="0.3">
      <c r="B28" s="6"/>
      <c r="C28" s="6"/>
      <c r="D28" s="6" t="s">
        <v>2</v>
      </c>
      <c r="E28" s="78">
        <f>V13</f>
        <v>84000</v>
      </c>
      <c r="F28" s="6"/>
      <c r="G28" s="6"/>
      <c r="H28" s="6"/>
      <c r="I28" s="6"/>
      <c r="J28" s="6"/>
      <c r="K28" s="6"/>
      <c r="L28" s="6"/>
      <c r="M28" s="6"/>
      <c r="N28" s="2"/>
      <c r="O28" s="2"/>
      <c r="P28" s="70"/>
      <c r="Q28" s="2"/>
      <c r="S28" s="206" t="s">
        <v>36</v>
      </c>
      <c r="T28" s="207"/>
      <c r="U28" s="180" t="s">
        <v>170</v>
      </c>
      <c r="V28" s="181" t="s">
        <v>67</v>
      </c>
      <c r="W28" s="182"/>
      <c r="X28" s="183"/>
      <c r="Y28" s="2"/>
    </row>
    <row r="29" spans="2:28" ht="15" customHeight="1" x14ac:dyDescent="0.3">
      <c r="B29" s="6"/>
      <c r="C29" s="6"/>
      <c r="D29" s="6"/>
      <c r="E29" s="6"/>
      <c r="F29" s="6"/>
      <c r="G29" s="6"/>
      <c r="H29" s="6"/>
      <c r="I29" s="6"/>
      <c r="J29" s="6"/>
      <c r="K29" s="6"/>
      <c r="L29" s="6"/>
      <c r="M29" s="6"/>
      <c r="N29" s="2"/>
      <c r="O29" s="2"/>
      <c r="P29" s="2"/>
      <c r="Q29" s="2"/>
      <c r="S29" s="208"/>
      <c r="T29" s="209"/>
      <c r="U29" s="184" t="s">
        <v>171</v>
      </c>
      <c r="V29" s="185" t="s">
        <v>4</v>
      </c>
      <c r="W29" s="185" t="s">
        <v>5</v>
      </c>
      <c r="X29" s="16" t="s">
        <v>6</v>
      </c>
      <c r="Y29" s="2"/>
    </row>
    <row r="30" spans="2:28" x14ac:dyDescent="0.3">
      <c r="B30" s="6"/>
      <c r="C30" s="6"/>
      <c r="D30" s="6"/>
      <c r="E30" s="6"/>
      <c r="F30" s="6"/>
      <c r="G30" s="6"/>
      <c r="H30" s="6"/>
      <c r="I30" s="6"/>
      <c r="J30" s="6"/>
      <c r="K30" s="6"/>
      <c r="L30" s="6"/>
      <c r="M30" s="6"/>
      <c r="N30" s="2"/>
      <c r="O30" s="2"/>
      <c r="P30" s="2"/>
      <c r="Q30" s="2"/>
      <c r="S30" s="62" t="s">
        <v>20</v>
      </c>
      <c r="T30" s="50"/>
      <c r="U30" s="151">
        <f>ROUND(Run!C63,-1)</f>
        <v>1460</v>
      </c>
      <c r="V30" s="151">
        <f>V31+V32</f>
        <v>36700</v>
      </c>
      <c r="W30" s="151">
        <f t="shared" ref="W30:X30" si="1">W31+W32</f>
        <v>50700</v>
      </c>
      <c r="X30" s="152">
        <f t="shared" si="1"/>
        <v>94900</v>
      </c>
      <c r="Y30" s="2"/>
    </row>
    <row r="31" spans="2:28" x14ac:dyDescent="0.3">
      <c r="B31" s="6"/>
      <c r="C31" s="6"/>
      <c r="D31" s="6"/>
      <c r="E31" s="6"/>
      <c r="F31" s="6"/>
      <c r="G31" s="6"/>
      <c r="H31" s="6"/>
      <c r="I31" s="6"/>
      <c r="J31" s="6"/>
      <c r="K31" s="6"/>
      <c r="L31" s="6"/>
      <c r="M31" s="6"/>
      <c r="N31" s="2"/>
      <c r="O31" s="2"/>
      <c r="P31" s="2"/>
      <c r="Q31" s="2"/>
      <c r="S31" s="8"/>
      <c r="T31" t="s">
        <v>179</v>
      </c>
      <c r="U31" s="94">
        <f>U30-U32</f>
        <v>290</v>
      </c>
      <c r="V31" s="94">
        <f>ROUND(Conv!P16,-2)</f>
        <v>16000</v>
      </c>
      <c r="W31" s="94">
        <f>ROUND(Conv!T16,-2)</f>
        <v>50700</v>
      </c>
      <c r="X31" s="153">
        <f>ROUND(Conv!X16,-2)</f>
        <v>94900</v>
      </c>
      <c r="Y31" s="2"/>
    </row>
    <row r="32" spans="2:28" x14ac:dyDescent="0.3">
      <c r="B32" s="6"/>
      <c r="C32" s="6"/>
      <c r="D32" s="6"/>
      <c r="E32" s="6"/>
      <c r="F32" s="6"/>
      <c r="G32" s="6"/>
      <c r="H32" s="6"/>
      <c r="I32" s="6"/>
      <c r="J32" s="6"/>
      <c r="K32" s="6"/>
      <c r="L32" s="6"/>
      <c r="M32" s="6"/>
      <c r="N32" s="2"/>
      <c r="O32" s="2"/>
      <c r="P32" s="2"/>
      <c r="Q32" s="2"/>
      <c r="S32" s="8"/>
      <c r="T32" t="s">
        <v>10</v>
      </c>
      <c r="U32" s="94">
        <f>ROUND(U30*U33,-1)</f>
        <v>1170</v>
      </c>
      <c r="V32" s="94">
        <f>ROUND(Conv!P39,-2)</f>
        <v>20700</v>
      </c>
      <c r="W32" s="94">
        <v>0</v>
      </c>
      <c r="X32" s="153">
        <v>0</v>
      </c>
      <c r="Y32" s="2"/>
      <c r="AB32" s="9"/>
    </row>
    <row r="33" spans="2:25" x14ac:dyDescent="0.3">
      <c r="B33" s="6"/>
      <c r="C33" s="6"/>
      <c r="D33" s="6"/>
      <c r="E33" s="6"/>
      <c r="F33" s="6"/>
      <c r="G33" s="6"/>
      <c r="H33" s="6"/>
      <c r="I33" s="6"/>
      <c r="J33" s="6"/>
      <c r="K33" s="6"/>
      <c r="L33" s="6"/>
      <c r="M33" s="6"/>
      <c r="N33" s="2"/>
      <c r="O33" s="2"/>
      <c r="P33" s="2"/>
      <c r="Q33" s="2"/>
      <c r="S33" s="48"/>
      <c r="T33" s="7" t="s">
        <v>68</v>
      </c>
      <c r="U33" s="154">
        <f>ROUND(Run!$L$63,1)</f>
        <v>0.8</v>
      </c>
      <c r="V33" s="155">
        <f>V32/V30</f>
        <v>0.56403269754768393</v>
      </c>
      <c r="W33" s="155">
        <f t="shared" ref="W33:X33" si="2">W32/W30</f>
        <v>0</v>
      </c>
      <c r="X33" s="156">
        <f t="shared" si="2"/>
        <v>0</v>
      </c>
      <c r="Y33" s="2"/>
    </row>
    <row r="34" spans="2:25" ht="15" customHeight="1" x14ac:dyDescent="0.3">
      <c r="B34" s="6"/>
      <c r="C34" s="6"/>
      <c r="D34" s="6"/>
      <c r="E34" s="6"/>
      <c r="F34" s="6"/>
      <c r="G34" s="6"/>
      <c r="H34" s="6"/>
      <c r="I34" s="6"/>
      <c r="J34" s="6"/>
      <c r="K34" s="6"/>
      <c r="L34" s="6"/>
      <c r="M34" s="6"/>
      <c r="N34" s="2"/>
      <c r="O34" s="2"/>
      <c r="P34" s="2"/>
      <c r="Q34" s="2"/>
      <c r="S34" s="143" t="s">
        <v>175</v>
      </c>
      <c r="T34" s="50"/>
      <c r="U34" s="151">
        <f>ROUND(Run!G63,-1)</f>
        <v>1460</v>
      </c>
      <c r="V34" s="151">
        <f t="shared" ref="V34:X34" si="3">V35+V36</f>
        <v>36600</v>
      </c>
      <c r="W34" s="151">
        <f t="shared" si="3"/>
        <v>50600</v>
      </c>
      <c r="X34" s="152">
        <f t="shared" si="3"/>
        <v>94500</v>
      </c>
      <c r="Y34" s="2"/>
    </row>
    <row r="35" spans="2:25" x14ac:dyDescent="0.3">
      <c r="B35" s="6"/>
      <c r="C35" s="6"/>
      <c r="D35" s="6"/>
      <c r="E35" s="6"/>
      <c r="F35" s="6"/>
      <c r="G35" s="6"/>
      <c r="H35" s="6"/>
      <c r="I35" s="6"/>
      <c r="J35" s="6"/>
      <c r="K35" s="6"/>
      <c r="L35" s="6"/>
      <c r="M35" s="6"/>
      <c r="N35" s="2"/>
      <c r="O35" s="2"/>
      <c r="P35" s="2"/>
      <c r="Q35" s="2"/>
      <c r="S35" s="8"/>
      <c r="T35" t="s">
        <v>179</v>
      </c>
      <c r="U35" s="94">
        <f>U34-U36</f>
        <v>290</v>
      </c>
      <c r="V35" s="94">
        <f>ROUND(Conv!P13,-2)</f>
        <v>15900</v>
      </c>
      <c r="W35" s="94">
        <f>ROUND(Conv!T13,-2)</f>
        <v>50600</v>
      </c>
      <c r="X35" s="153">
        <f>ROUND(Conv!X13,-2)</f>
        <v>94500</v>
      </c>
      <c r="Y35" s="2"/>
    </row>
    <row r="36" spans="2:25" x14ac:dyDescent="0.3">
      <c r="B36" s="6"/>
      <c r="C36" s="6"/>
      <c r="D36" s="6"/>
      <c r="E36" s="6"/>
      <c r="F36" s="6"/>
      <c r="G36" s="6"/>
      <c r="H36" s="6"/>
      <c r="I36" s="6"/>
      <c r="J36" s="6"/>
      <c r="K36" s="6"/>
      <c r="L36" s="6"/>
      <c r="M36" s="6"/>
      <c r="N36" s="2"/>
      <c r="O36" s="2"/>
      <c r="P36" s="2"/>
      <c r="Q36" s="2"/>
      <c r="S36" s="8"/>
      <c r="T36" t="s">
        <v>10</v>
      </c>
      <c r="U36" s="94">
        <f>ROUND(U34*U37,-1)</f>
        <v>1170</v>
      </c>
      <c r="V36" s="94">
        <f>ROUND(Conv!P36,-2)</f>
        <v>20700</v>
      </c>
      <c r="W36" s="94">
        <v>0</v>
      </c>
      <c r="X36" s="153">
        <v>0</v>
      </c>
      <c r="Y36" s="2"/>
    </row>
    <row r="37" spans="2:25" x14ac:dyDescent="0.3">
      <c r="B37" s="6"/>
      <c r="C37" s="6"/>
      <c r="D37" s="6"/>
      <c r="E37" s="6"/>
      <c r="F37" s="6"/>
      <c r="G37" s="6"/>
      <c r="H37" s="6"/>
      <c r="I37" s="6"/>
      <c r="J37" s="6"/>
      <c r="K37" s="6"/>
      <c r="L37" s="6"/>
      <c r="M37" s="6"/>
      <c r="N37" s="2"/>
      <c r="O37" s="2"/>
      <c r="P37" s="2"/>
      <c r="Q37" s="2"/>
      <c r="S37" s="48"/>
      <c r="T37" s="7" t="s">
        <v>68</v>
      </c>
      <c r="U37" s="154">
        <f>U33</f>
        <v>0.8</v>
      </c>
      <c r="V37" s="155">
        <f t="shared" ref="V37:X37" si="4">V36/V34</f>
        <v>0.56557377049180324</v>
      </c>
      <c r="W37" s="155">
        <f t="shared" si="4"/>
        <v>0</v>
      </c>
      <c r="X37" s="156">
        <f t="shared" si="4"/>
        <v>0</v>
      </c>
      <c r="Y37" s="2"/>
    </row>
    <row r="38" spans="2:25" x14ac:dyDescent="0.3">
      <c r="B38" s="6"/>
      <c r="C38" s="6"/>
      <c r="D38" s="6"/>
      <c r="E38" s="6"/>
      <c r="F38" s="6"/>
      <c r="G38" s="6"/>
      <c r="H38" s="6"/>
      <c r="I38" s="6"/>
      <c r="J38" s="6"/>
      <c r="K38" s="6"/>
      <c r="L38" s="6"/>
      <c r="M38" s="6"/>
      <c r="N38" s="2"/>
      <c r="O38" s="2"/>
      <c r="P38" s="2"/>
      <c r="Q38" s="2"/>
      <c r="S38" s="49" t="s">
        <v>69</v>
      </c>
      <c r="T38" s="50"/>
      <c r="U38" s="151">
        <f>U39+U40</f>
        <v>1130</v>
      </c>
      <c r="V38" s="151">
        <f t="shared" ref="V38:X38" si="5">V39+V40</f>
        <v>26500</v>
      </c>
      <c r="W38" s="151">
        <f t="shared" si="5"/>
        <v>33100</v>
      </c>
      <c r="X38" s="152">
        <f t="shared" si="5"/>
        <v>54600</v>
      </c>
      <c r="Y38" s="2"/>
    </row>
    <row r="39" spans="2:25" x14ac:dyDescent="0.3">
      <c r="B39" s="6"/>
      <c r="C39" s="6"/>
      <c r="D39" s="6"/>
      <c r="E39" s="6"/>
      <c r="F39" s="6"/>
      <c r="G39" s="6"/>
      <c r="H39" s="6"/>
      <c r="I39" s="6"/>
      <c r="J39" s="6"/>
      <c r="K39" s="6"/>
      <c r="L39" s="6"/>
      <c r="M39" s="6"/>
      <c r="N39" s="2"/>
      <c r="O39" s="2"/>
      <c r="P39" s="2"/>
      <c r="Q39" s="2"/>
      <c r="S39" s="8"/>
      <c r="T39" t="s">
        <v>179</v>
      </c>
      <c r="U39" s="94">
        <f>ROUND(Run!J63,-1)</f>
        <v>210</v>
      </c>
      <c r="V39" s="94">
        <f>ROUND(Conv!P8,-2)</f>
        <v>11500</v>
      </c>
      <c r="W39" s="94">
        <f>ROUND(Conv!T8,-2)</f>
        <v>33100</v>
      </c>
      <c r="X39" s="153">
        <f>ROUND(Conv!X8,-2)</f>
        <v>54600</v>
      </c>
      <c r="Y39" s="2"/>
    </row>
    <row r="40" spans="2:25" x14ac:dyDescent="0.3">
      <c r="B40" s="6"/>
      <c r="C40" s="6"/>
      <c r="D40" s="6"/>
      <c r="E40" s="6"/>
      <c r="F40" s="6"/>
      <c r="G40" s="6"/>
      <c r="H40" s="6"/>
      <c r="I40" s="6"/>
      <c r="J40" s="6"/>
      <c r="K40" s="6"/>
      <c r="L40" s="6"/>
      <c r="M40" s="6"/>
      <c r="N40" s="2"/>
      <c r="O40" s="2"/>
      <c r="P40" s="2"/>
      <c r="Q40" s="2"/>
      <c r="S40" s="8"/>
      <c r="T40" t="s">
        <v>10</v>
      </c>
      <c r="U40" s="94">
        <f>ROUND(Run!K63,-1)</f>
        <v>920</v>
      </c>
      <c r="V40" s="205">
        <f>ROUND(Conv!P31,-2)</f>
        <v>15000</v>
      </c>
      <c r="W40" s="94">
        <v>0</v>
      </c>
      <c r="X40" s="153">
        <v>0</v>
      </c>
      <c r="Y40" s="2"/>
    </row>
    <row r="41" spans="2:25" x14ac:dyDescent="0.3">
      <c r="B41" s="6"/>
      <c r="C41" s="6"/>
      <c r="D41" s="6"/>
      <c r="E41" s="6"/>
      <c r="F41" s="6"/>
      <c r="G41" s="6"/>
      <c r="H41" s="6"/>
      <c r="I41" s="6"/>
      <c r="J41" s="6"/>
      <c r="K41" s="6"/>
      <c r="L41" s="6"/>
      <c r="M41" s="6"/>
      <c r="N41" s="2"/>
      <c r="O41" s="2"/>
      <c r="P41" s="2"/>
      <c r="Q41" s="2"/>
      <c r="S41" s="48"/>
      <c r="T41" s="7" t="s">
        <v>68</v>
      </c>
      <c r="U41" s="154">
        <f>ROUND(Run!$L$63,1)</f>
        <v>0.8</v>
      </c>
      <c r="V41" s="155">
        <f t="shared" ref="V41:X41" si="6">V40/V38</f>
        <v>0.56603773584905659</v>
      </c>
      <c r="W41" s="155">
        <f t="shared" si="6"/>
        <v>0</v>
      </c>
      <c r="X41" s="156">
        <f t="shared" si="6"/>
        <v>0</v>
      </c>
      <c r="Y41" s="2"/>
    </row>
    <row r="42" spans="2:25" x14ac:dyDescent="0.3">
      <c r="B42" s="6"/>
      <c r="C42" s="6"/>
      <c r="D42" s="6"/>
      <c r="E42" s="6"/>
      <c r="F42" s="6"/>
      <c r="G42" s="6"/>
      <c r="H42" s="6"/>
      <c r="I42" s="6"/>
      <c r="J42" s="6"/>
      <c r="K42" s="6"/>
      <c r="L42" s="6"/>
      <c r="M42" s="6"/>
      <c r="N42" s="2"/>
      <c r="O42" s="2"/>
      <c r="P42" s="2"/>
      <c r="Q42" s="2"/>
      <c r="S42" s="49" t="s">
        <v>87</v>
      </c>
      <c r="T42" s="50"/>
      <c r="U42" s="151">
        <f>U43+U44</f>
        <v>751.93650793650772</v>
      </c>
      <c r="V42" s="151">
        <f t="shared" ref="V42:X42" si="7">V43+V44</f>
        <v>17600</v>
      </c>
      <c r="W42" s="151">
        <f t="shared" si="7"/>
        <v>21700</v>
      </c>
      <c r="X42" s="152">
        <f t="shared" si="7"/>
        <v>35900</v>
      </c>
      <c r="Y42" s="2"/>
    </row>
    <row r="43" spans="2:25" x14ac:dyDescent="0.3">
      <c r="B43" s="6"/>
      <c r="C43" s="6"/>
      <c r="D43" s="6"/>
      <c r="E43" s="6"/>
      <c r="F43" s="6"/>
      <c r="G43" s="6"/>
      <c r="H43" s="6"/>
      <c r="I43" s="6"/>
      <c r="J43" s="6"/>
      <c r="K43" s="6"/>
      <c r="L43" s="6"/>
      <c r="M43" s="6"/>
      <c r="N43" s="2"/>
      <c r="O43" s="2"/>
      <c r="P43" s="2"/>
      <c r="Q43" s="2"/>
      <c r="S43" s="8"/>
      <c r="T43" t="s">
        <v>179</v>
      </c>
      <c r="U43" s="94">
        <f>Run!U63+Run!X66</f>
        <v>138.07163856445123</v>
      </c>
      <c r="V43" s="94">
        <f>ROUND(Conv!P5,-2)</f>
        <v>7600</v>
      </c>
      <c r="W43" s="94">
        <f>ROUND(Conv!T5,-2)</f>
        <v>21700</v>
      </c>
      <c r="X43" s="153">
        <f>ROUND(Conv!X5,-2)</f>
        <v>35900</v>
      </c>
      <c r="Y43" s="2"/>
    </row>
    <row r="44" spans="2:25" x14ac:dyDescent="0.3">
      <c r="B44" s="6"/>
      <c r="C44" s="6"/>
      <c r="D44" s="6"/>
      <c r="E44" s="6"/>
      <c r="F44" s="6"/>
      <c r="G44" s="6"/>
      <c r="H44" s="6"/>
      <c r="I44" s="6"/>
      <c r="J44" s="6"/>
      <c r="K44" s="6"/>
      <c r="L44" s="6"/>
      <c r="M44" s="6"/>
      <c r="N44" s="2"/>
      <c r="O44" s="2"/>
      <c r="P44" s="2"/>
      <c r="Q44" s="2"/>
      <c r="S44" s="8"/>
      <c r="T44" t="s">
        <v>10</v>
      </c>
      <c r="U44" s="94">
        <f>Run!V63+Run!W63+Run!X65</f>
        <v>613.86486937205655</v>
      </c>
      <c r="V44" s="94">
        <f>Conv!P28</f>
        <v>10000</v>
      </c>
      <c r="W44" s="94">
        <v>0</v>
      </c>
      <c r="X44" s="153">
        <v>0</v>
      </c>
      <c r="Y44" s="2"/>
    </row>
    <row r="45" spans="2:25" ht="15" customHeight="1" x14ac:dyDescent="0.3">
      <c r="B45" s="6"/>
      <c r="C45" s="6"/>
      <c r="D45" s="6"/>
      <c r="E45" s="6"/>
      <c r="F45" s="6"/>
      <c r="G45" s="6"/>
      <c r="H45" s="6"/>
      <c r="I45" s="6"/>
      <c r="J45" s="6"/>
      <c r="K45" s="6"/>
      <c r="L45" s="6"/>
      <c r="M45" s="6"/>
      <c r="N45" s="2"/>
      <c r="O45" s="2"/>
      <c r="P45" s="2"/>
      <c r="Q45" s="2"/>
      <c r="S45" s="48"/>
      <c r="T45" s="7" t="s">
        <v>68</v>
      </c>
      <c r="U45" s="154">
        <f>ROUND(Run!AC63,1)</f>
        <v>0.8</v>
      </c>
      <c r="V45" s="155">
        <f t="shared" ref="V45:X45" si="8">V44/V42</f>
        <v>0.56818181818181823</v>
      </c>
      <c r="W45" s="155">
        <f t="shared" si="8"/>
        <v>0</v>
      </c>
      <c r="X45" s="156">
        <f t="shared" si="8"/>
        <v>0</v>
      </c>
      <c r="Y45" s="2"/>
    </row>
    <row r="46" spans="2:25" x14ac:dyDescent="0.3">
      <c r="B46" s="6"/>
      <c r="C46" s="6"/>
      <c r="D46" s="6"/>
      <c r="E46" s="6"/>
      <c r="F46" s="6"/>
      <c r="G46" s="6"/>
      <c r="H46" s="6"/>
      <c r="I46" s="6"/>
      <c r="J46" s="6"/>
      <c r="K46" s="6"/>
      <c r="L46" s="6"/>
      <c r="M46" s="6"/>
      <c r="N46" s="2"/>
      <c r="O46" s="2"/>
      <c r="P46" s="2"/>
      <c r="Q46" s="2"/>
      <c r="S46" s="49" t="s">
        <v>62</v>
      </c>
      <c r="T46" s="50"/>
      <c r="U46" s="151">
        <f>Run!F63</f>
        <v>81.599999999999994</v>
      </c>
      <c r="V46" s="151">
        <f t="shared" ref="V46:X46" si="9">V47+V48</f>
        <v>2100</v>
      </c>
      <c r="W46" s="151">
        <f t="shared" si="9"/>
        <v>7600</v>
      </c>
      <c r="X46" s="152">
        <f t="shared" si="9"/>
        <v>23700</v>
      </c>
    </row>
    <row r="47" spans="2:25" x14ac:dyDescent="0.3">
      <c r="B47" s="6"/>
      <c r="C47" s="6"/>
      <c r="D47" s="6"/>
      <c r="E47" s="6"/>
      <c r="F47" s="6"/>
      <c r="G47" s="6"/>
      <c r="H47" s="6"/>
      <c r="I47" s="6"/>
      <c r="J47" s="6"/>
      <c r="K47" s="6"/>
      <c r="L47" s="6"/>
      <c r="M47" s="6"/>
      <c r="N47" s="2"/>
      <c r="O47" s="2"/>
      <c r="P47" s="2"/>
      <c r="Q47" s="2"/>
      <c r="S47" s="8"/>
      <c r="T47" t="s">
        <v>179</v>
      </c>
      <c r="U47" s="94">
        <f>U46-U48</f>
        <v>11.599999999999994</v>
      </c>
      <c r="V47" s="94">
        <f>ROUND(Conv!Q18,-2)</f>
        <v>900</v>
      </c>
      <c r="W47" s="94">
        <f>ROUND(Conv!U18,-2)</f>
        <v>7600</v>
      </c>
      <c r="X47" s="153">
        <f>ROUND(Conv!Y18,-2)</f>
        <v>23700</v>
      </c>
      <c r="Y47" s="2"/>
    </row>
    <row r="48" spans="2:25" ht="15" customHeight="1" x14ac:dyDescent="0.3">
      <c r="B48" s="6"/>
      <c r="C48" s="6"/>
      <c r="D48" s="6"/>
      <c r="E48" s="6"/>
      <c r="F48" s="6"/>
      <c r="G48" s="6"/>
      <c r="H48" s="6"/>
      <c r="I48" s="6"/>
      <c r="J48" s="6"/>
      <c r="K48" s="6"/>
      <c r="L48" s="6"/>
      <c r="M48" s="6"/>
      <c r="N48" s="2"/>
      <c r="O48" s="2"/>
      <c r="P48" s="2"/>
      <c r="Q48" s="2"/>
      <c r="S48" s="8"/>
      <c r="T48" t="s">
        <v>10</v>
      </c>
      <c r="U48" s="94">
        <f>ROUND(U46*U49,-1)</f>
        <v>70</v>
      </c>
      <c r="V48" s="94">
        <f>ROUND(Conv!Q41,-2)</f>
        <v>1200</v>
      </c>
      <c r="W48" s="94">
        <v>0</v>
      </c>
      <c r="X48" s="153">
        <v>0</v>
      </c>
      <c r="Y48" s="2"/>
    </row>
    <row r="49" spans="2:25" x14ac:dyDescent="0.3">
      <c r="B49" s="6"/>
      <c r="C49" s="6"/>
      <c r="D49" s="6"/>
      <c r="E49" s="6"/>
      <c r="F49" s="6"/>
      <c r="G49" s="6"/>
      <c r="H49" s="6"/>
      <c r="I49" s="6"/>
      <c r="J49" s="6"/>
      <c r="K49" s="6"/>
      <c r="L49" s="6"/>
      <c r="M49" s="6"/>
      <c r="N49" s="2"/>
      <c r="O49" s="2"/>
      <c r="P49" s="2"/>
      <c r="Q49" s="2"/>
      <c r="S49" s="48"/>
      <c r="T49" s="7" t="s">
        <v>68</v>
      </c>
      <c r="U49" s="154">
        <f>ROUND(Run!$L$63,1)</f>
        <v>0.8</v>
      </c>
      <c r="V49" s="155">
        <f t="shared" ref="V49:X49" si="10">V48/V46</f>
        <v>0.5714285714285714</v>
      </c>
      <c r="W49" s="155">
        <f t="shared" si="10"/>
        <v>0</v>
      </c>
      <c r="X49" s="156">
        <f t="shared" si="10"/>
        <v>0</v>
      </c>
      <c r="Y49" s="2"/>
    </row>
    <row r="50" spans="2:25" x14ac:dyDescent="0.3">
      <c r="B50" s="6"/>
      <c r="C50" s="6"/>
      <c r="D50" s="6"/>
      <c r="E50" s="6"/>
      <c r="F50" s="6"/>
      <c r="G50" s="6"/>
      <c r="H50" s="6"/>
      <c r="I50" s="6"/>
      <c r="J50" s="6"/>
      <c r="K50" s="6"/>
      <c r="L50" s="6"/>
      <c r="M50" s="6"/>
      <c r="N50" s="2"/>
      <c r="O50" s="2"/>
      <c r="P50" s="2"/>
      <c r="Q50" s="2"/>
      <c r="S50" s="2"/>
      <c r="T50" s="2"/>
      <c r="U50" s="2"/>
      <c r="V50" s="2"/>
      <c r="W50" s="2"/>
      <c r="X50" s="2"/>
      <c r="Y50" s="2"/>
    </row>
    <row r="51" spans="2:25" x14ac:dyDescent="0.3">
      <c r="B51" s="6"/>
      <c r="C51" s="6"/>
      <c r="D51" s="6"/>
      <c r="E51" s="6"/>
      <c r="F51" s="6"/>
      <c r="G51" s="6"/>
      <c r="H51" s="6"/>
      <c r="I51" s="6"/>
      <c r="J51" s="6"/>
      <c r="K51" s="6"/>
      <c r="L51" s="6"/>
      <c r="M51" s="6"/>
      <c r="N51" s="2"/>
      <c r="O51" s="2"/>
      <c r="P51" s="2"/>
      <c r="Q51" s="2"/>
      <c r="U51" s="69"/>
    </row>
    <row r="52" spans="2:25" x14ac:dyDescent="0.3">
      <c r="B52" s="6"/>
      <c r="C52" s="6"/>
      <c r="D52" s="6"/>
      <c r="E52" s="6"/>
      <c r="F52" s="6"/>
      <c r="G52" s="6"/>
      <c r="H52" s="6"/>
      <c r="I52" s="6"/>
      <c r="J52" s="6"/>
      <c r="K52" s="6"/>
      <c r="L52" s="6"/>
      <c r="M52" s="6"/>
      <c r="N52" s="2"/>
      <c r="O52" s="2"/>
      <c r="P52" s="2"/>
      <c r="Q52" s="2"/>
    </row>
    <row r="53" spans="2:25" x14ac:dyDescent="0.3">
      <c r="B53" s="6"/>
      <c r="C53" s="6"/>
      <c r="D53" s="6"/>
      <c r="E53" s="6"/>
      <c r="F53" s="6"/>
      <c r="G53" s="6"/>
      <c r="H53" s="6"/>
      <c r="I53" s="6"/>
      <c r="J53" s="6"/>
      <c r="K53" s="6"/>
      <c r="L53" s="6"/>
      <c r="M53" s="6"/>
      <c r="N53" s="2"/>
      <c r="O53" s="2"/>
      <c r="P53" s="2"/>
      <c r="Q53" s="2"/>
    </row>
    <row r="54" spans="2:25" x14ac:dyDescent="0.3">
      <c r="B54" s="6"/>
      <c r="C54" s="6"/>
      <c r="D54" s="6"/>
      <c r="E54" s="6"/>
      <c r="F54" s="6"/>
      <c r="G54" s="6"/>
      <c r="H54" s="6"/>
      <c r="I54" s="6"/>
      <c r="J54" s="6"/>
      <c r="K54" s="6"/>
      <c r="L54" s="6"/>
      <c r="M54" s="6"/>
      <c r="N54" s="2"/>
      <c r="O54" s="2"/>
      <c r="P54" s="2"/>
      <c r="Q54" s="2"/>
    </row>
    <row r="55" spans="2:25" x14ac:dyDescent="0.3">
      <c r="B55" s="6"/>
      <c r="C55" s="6"/>
      <c r="D55" s="6"/>
      <c r="E55" s="6"/>
      <c r="F55" s="6"/>
      <c r="G55" s="6"/>
      <c r="H55" s="6"/>
      <c r="I55" s="6"/>
      <c r="J55" s="6"/>
      <c r="K55" s="6"/>
      <c r="L55" s="6"/>
      <c r="M55" s="6"/>
      <c r="N55" s="2"/>
      <c r="O55" s="2"/>
      <c r="P55" s="2"/>
      <c r="Q55" s="2"/>
    </row>
    <row r="56" spans="2:25" x14ac:dyDescent="0.3">
      <c r="B56" s="6"/>
      <c r="C56" s="6"/>
      <c r="D56" s="6"/>
      <c r="E56" s="6"/>
      <c r="F56" s="6"/>
      <c r="G56" s="6"/>
      <c r="H56" s="6"/>
      <c r="I56" s="6"/>
      <c r="J56" s="6"/>
      <c r="K56" s="6"/>
      <c r="L56" s="6"/>
      <c r="M56" s="6"/>
      <c r="N56" s="2"/>
      <c r="O56" s="2"/>
      <c r="P56" s="2"/>
      <c r="Q56" s="2"/>
    </row>
    <row r="57" spans="2:25" x14ac:dyDescent="0.3">
      <c r="B57" s="6"/>
      <c r="C57" s="6"/>
      <c r="D57" s="6"/>
      <c r="E57" s="6"/>
      <c r="F57" s="6"/>
      <c r="G57" s="6"/>
      <c r="H57" s="6"/>
      <c r="I57" s="6"/>
      <c r="J57" s="6"/>
      <c r="K57" s="6"/>
      <c r="L57" s="6"/>
      <c r="M57" s="6"/>
      <c r="N57" s="2"/>
      <c r="O57" s="2"/>
      <c r="P57" s="2"/>
      <c r="Q57" s="2"/>
    </row>
    <row r="58" spans="2:25" x14ac:dyDescent="0.3">
      <c r="B58" s="2"/>
      <c r="C58" s="2"/>
      <c r="D58" s="63"/>
      <c r="E58" s="63"/>
      <c r="F58" s="63"/>
      <c r="G58" s="63"/>
      <c r="H58" s="64"/>
      <c r="I58" s="64"/>
      <c r="J58" s="6"/>
      <c r="K58" s="6"/>
      <c r="L58" s="6"/>
      <c r="M58" s="6"/>
      <c r="N58" s="2"/>
      <c r="O58" s="2"/>
      <c r="P58" s="2"/>
      <c r="Q58" s="2"/>
    </row>
    <row r="59" spans="2:25" x14ac:dyDescent="0.3">
      <c r="B59" s="2"/>
      <c r="C59" s="2"/>
      <c r="D59" s="63"/>
      <c r="E59" s="63"/>
      <c r="F59" s="63"/>
      <c r="G59" s="63"/>
      <c r="H59" s="64"/>
      <c r="I59" s="64"/>
      <c r="J59" s="6"/>
      <c r="K59" s="6"/>
      <c r="L59" s="6"/>
      <c r="M59" s="6"/>
      <c r="N59" s="2"/>
      <c r="O59" s="2"/>
      <c r="P59" s="2"/>
      <c r="Q59" s="2"/>
    </row>
    <row r="60" spans="2:25" x14ac:dyDescent="0.3">
      <c r="B60" s="2"/>
      <c r="C60" s="2"/>
      <c r="D60" s="63"/>
      <c r="E60" s="63"/>
      <c r="F60" s="63"/>
      <c r="G60" s="63"/>
      <c r="H60" s="64"/>
      <c r="I60" s="64"/>
      <c r="J60" s="6"/>
      <c r="K60" s="6"/>
      <c r="L60" s="6"/>
      <c r="M60" s="6"/>
      <c r="N60" s="2"/>
      <c r="O60" s="2"/>
      <c r="P60" s="2"/>
      <c r="Q60" s="2"/>
    </row>
    <row r="61" spans="2:25" x14ac:dyDescent="0.3">
      <c r="B61" s="2"/>
      <c r="C61" s="2"/>
      <c r="D61" s="63"/>
      <c r="E61" s="63"/>
      <c r="F61" s="63"/>
      <c r="G61" s="63"/>
      <c r="H61" s="64"/>
      <c r="I61" s="64"/>
      <c r="J61" s="6"/>
      <c r="K61" s="6"/>
      <c r="L61" s="6"/>
      <c r="M61" s="6"/>
      <c r="N61" s="2"/>
      <c r="O61" s="2"/>
      <c r="P61" s="2"/>
      <c r="Q61" s="2"/>
    </row>
    <row r="62" spans="2:25" x14ac:dyDescent="0.3">
      <c r="B62" s="2"/>
      <c r="C62" s="2"/>
      <c r="D62" s="63"/>
      <c r="E62" s="63"/>
      <c r="F62" s="63"/>
      <c r="G62" s="63"/>
      <c r="H62" s="64"/>
      <c r="I62" s="64"/>
      <c r="J62" s="6"/>
      <c r="K62" s="6"/>
      <c r="L62" s="6"/>
      <c r="M62" s="6"/>
      <c r="N62" s="2"/>
      <c r="O62" s="2"/>
      <c r="P62" s="2"/>
      <c r="Q62" s="2"/>
    </row>
    <row r="63" spans="2:25" x14ac:dyDescent="0.3">
      <c r="B63" s="2"/>
      <c r="C63" s="2"/>
      <c r="D63" s="2"/>
      <c r="E63" s="63"/>
      <c r="F63" s="63"/>
      <c r="G63" s="2"/>
      <c r="H63" s="64"/>
      <c r="I63" s="64"/>
      <c r="J63" s="6"/>
      <c r="K63" s="6"/>
      <c r="L63" s="6"/>
      <c r="M63" s="6"/>
      <c r="N63" s="2"/>
      <c r="O63" s="2"/>
      <c r="P63" s="2"/>
      <c r="Q63" s="2"/>
    </row>
    <row r="64" spans="2:25" x14ac:dyDescent="0.3">
      <c r="B64" s="6"/>
      <c r="C64" s="6"/>
      <c r="D64" s="6"/>
      <c r="E64" s="6"/>
      <c r="F64" s="6"/>
      <c r="G64" s="6"/>
      <c r="H64" s="6"/>
      <c r="I64" s="6"/>
      <c r="J64" s="6"/>
      <c r="K64" s="6"/>
      <c r="L64" s="6"/>
      <c r="M64" s="6"/>
      <c r="N64" s="2"/>
      <c r="O64" s="2"/>
      <c r="P64" s="2"/>
      <c r="Q64" s="2"/>
    </row>
    <row r="65" spans="2:17" x14ac:dyDescent="0.3">
      <c r="B65" s="6"/>
      <c r="C65" s="6"/>
      <c r="D65" s="6"/>
      <c r="E65" s="6"/>
      <c r="F65" s="6"/>
      <c r="G65" s="6"/>
      <c r="H65" s="6"/>
      <c r="I65" s="6"/>
      <c r="J65" s="6"/>
      <c r="K65" s="6"/>
      <c r="L65" s="6"/>
      <c r="M65" s="6"/>
      <c r="N65" s="2"/>
      <c r="O65" s="2"/>
      <c r="P65" s="2"/>
      <c r="Q65" s="2"/>
    </row>
    <row r="66" spans="2:17" x14ac:dyDescent="0.3">
      <c r="B66" s="6"/>
      <c r="C66" s="6"/>
      <c r="D66" s="6"/>
      <c r="E66" s="6"/>
      <c r="F66" s="6"/>
      <c r="G66" s="6"/>
      <c r="H66" s="6"/>
      <c r="I66" s="6"/>
      <c r="J66" s="6"/>
      <c r="K66" s="6"/>
      <c r="L66" s="6"/>
      <c r="M66" s="6"/>
      <c r="N66" s="2"/>
      <c r="O66" s="2"/>
      <c r="P66" s="2"/>
      <c r="Q66" s="2"/>
    </row>
    <row r="67" spans="2:17" x14ac:dyDescent="0.3">
      <c r="B67" s="6"/>
      <c r="C67" s="6"/>
      <c r="D67" s="6"/>
      <c r="E67" s="6"/>
      <c r="F67" s="6"/>
      <c r="G67" s="6"/>
      <c r="H67" s="6"/>
      <c r="I67" s="6"/>
      <c r="J67" s="6"/>
      <c r="K67" s="6"/>
      <c r="L67" s="6"/>
      <c r="M67" s="6"/>
      <c r="N67" s="2"/>
      <c r="O67" s="2"/>
      <c r="P67" s="2"/>
      <c r="Q67" s="2"/>
    </row>
    <row r="68" spans="2:17" x14ac:dyDescent="0.3">
      <c r="B68" s="6"/>
      <c r="C68" s="6"/>
      <c r="D68" s="6"/>
      <c r="E68" s="65" t="s">
        <v>3</v>
      </c>
      <c r="F68" s="67">
        <f>U26</f>
        <v>5.5893288789569492E-2</v>
      </c>
      <c r="G68" s="6"/>
      <c r="H68" s="6"/>
      <c r="I68" s="6"/>
      <c r="J68" s="6"/>
      <c r="K68" s="6"/>
      <c r="L68" s="6"/>
      <c r="M68" s="65" t="s">
        <v>71</v>
      </c>
      <c r="N68" s="68">
        <f>V18</f>
        <v>900000</v>
      </c>
      <c r="O68" s="2"/>
      <c r="P68" s="2"/>
      <c r="Q68" s="2"/>
    </row>
    <row r="69" spans="2:17" x14ac:dyDescent="0.3">
      <c r="B69" s="6"/>
      <c r="C69" s="6"/>
      <c r="D69" s="6"/>
      <c r="E69" s="6"/>
      <c r="F69" s="6"/>
      <c r="G69" s="6"/>
      <c r="H69" s="6"/>
      <c r="I69" s="6"/>
      <c r="J69" s="6"/>
      <c r="K69" s="6"/>
      <c r="L69" s="6"/>
      <c r="M69" s="6"/>
      <c r="N69" s="2"/>
      <c r="O69" s="2"/>
      <c r="P69" s="2"/>
      <c r="Q69" s="2"/>
    </row>
    <row r="70" spans="2:17" x14ac:dyDescent="0.3">
      <c r="B70" s="6"/>
      <c r="C70" s="6"/>
      <c r="D70" s="6"/>
      <c r="E70" s="6"/>
      <c r="F70" s="6"/>
      <c r="G70" s="6"/>
      <c r="H70" s="6"/>
      <c r="I70" s="6"/>
      <c r="J70" s="6"/>
      <c r="K70" s="6"/>
      <c r="L70" s="6"/>
      <c r="M70" s="6"/>
      <c r="N70" s="2"/>
      <c r="O70" s="2"/>
      <c r="P70" s="2"/>
      <c r="Q70" s="2"/>
    </row>
    <row r="71" spans="2:17" x14ac:dyDescent="0.3">
      <c r="Q71" s="2"/>
    </row>
    <row r="72" spans="2:17" x14ac:dyDescent="0.3">
      <c r="Q72" s="2"/>
    </row>
    <row r="73" spans="2:17" x14ac:dyDescent="0.3">
      <c r="Q73" s="2"/>
    </row>
    <row r="75" spans="2:17" x14ac:dyDescent="0.3">
      <c r="F75" s="6"/>
      <c r="G75" s="2"/>
      <c r="H75" s="2"/>
      <c r="I75" s="2"/>
    </row>
  </sheetData>
  <mergeCells count="9">
    <mergeCell ref="S28:T29"/>
    <mergeCell ref="S22:S26"/>
    <mergeCell ref="V23:V24"/>
    <mergeCell ref="X4:X9"/>
    <mergeCell ref="Y4:Y9"/>
    <mergeCell ref="W23:W25"/>
    <mergeCell ref="Y23:Y25"/>
    <mergeCell ref="V4:V9"/>
    <mergeCell ref="S4:S9"/>
  </mergeCells>
  <printOptions horizontalCentered="1"/>
  <pageMargins left="0.5" right="0.5" top="0.5" bottom="0.5" header="0.3" footer="0.3"/>
  <pageSetup scale="68" orientation="portrait" r:id="rId1"/>
  <headerFooter>
    <oddHeader>&amp;R&amp;D</oddHeader>
    <oddFooter>&amp;L&amp;F</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8FDE-8072-4C3B-9AF2-C8F64879E799}">
  <dimension ref="B1:O248"/>
  <sheetViews>
    <sheetView topLeftCell="D1" workbookViewId="0">
      <pane ySplit="1" topLeftCell="A2" activePane="bottomLeft" state="frozen"/>
      <selection pane="bottomLeft" activeCell="H38" sqref="H38"/>
    </sheetView>
  </sheetViews>
  <sheetFormatPr defaultRowHeight="14.4" x14ac:dyDescent="0.3"/>
  <cols>
    <col min="1" max="1" width="3.33203125" customWidth="1"/>
    <col min="2" max="3" width="25.44140625" customWidth="1"/>
    <col min="4" max="4" width="28.88671875" customWidth="1"/>
    <col min="5" max="5" width="17.88671875" customWidth="1"/>
    <col min="6" max="6" width="11.6640625" style="1" customWidth="1"/>
    <col min="7" max="7" width="20" customWidth="1"/>
    <col min="8" max="8" width="17" customWidth="1"/>
    <col min="9" max="9" width="22.88671875" customWidth="1"/>
    <col min="10" max="10" width="13.6640625" style="1" customWidth="1"/>
    <col min="11" max="11" width="22.109375" style="1" customWidth="1"/>
    <col min="12" max="12" width="25.6640625" customWidth="1"/>
    <col min="13" max="13" width="28.44140625" customWidth="1"/>
    <col min="14" max="14" width="48.33203125" customWidth="1"/>
  </cols>
  <sheetData>
    <row r="1" spans="2:15" s="92" customFormat="1" x14ac:dyDescent="0.3">
      <c r="B1" s="92" t="s">
        <v>90</v>
      </c>
      <c r="C1" s="92" t="s">
        <v>91</v>
      </c>
      <c r="D1" s="92" t="s">
        <v>92</v>
      </c>
      <c r="E1" s="92" t="s">
        <v>93</v>
      </c>
      <c r="F1" s="93" t="s">
        <v>94</v>
      </c>
      <c r="G1" s="93" t="s">
        <v>95</v>
      </c>
      <c r="H1" s="93" t="s">
        <v>96</v>
      </c>
      <c r="I1" s="92" t="s">
        <v>97</v>
      </c>
      <c r="J1" s="93" t="s">
        <v>98</v>
      </c>
      <c r="K1" s="93" t="s">
        <v>99</v>
      </c>
      <c r="L1" s="92" t="s">
        <v>100</v>
      </c>
      <c r="M1" s="92" t="s">
        <v>101</v>
      </c>
      <c r="N1" s="92" t="s">
        <v>102</v>
      </c>
    </row>
    <row r="2" spans="2:15" x14ac:dyDescent="0.3">
      <c r="B2" t="s">
        <v>22</v>
      </c>
      <c r="C2" t="s">
        <v>15</v>
      </c>
      <c r="D2" s="15" t="s">
        <v>25</v>
      </c>
      <c r="E2" t="s">
        <v>18</v>
      </c>
      <c r="F2" s="94">
        <f>Summary!U4</f>
        <v>100</v>
      </c>
      <c r="G2" t="s">
        <v>128</v>
      </c>
      <c r="H2" t="s">
        <v>103</v>
      </c>
      <c r="I2" t="s">
        <v>125</v>
      </c>
      <c r="J2" s="1" t="s">
        <v>105</v>
      </c>
      <c r="K2" s="1" t="s">
        <v>104</v>
      </c>
      <c r="L2" t="s">
        <v>126</v>
      </c>
      <c r="M2" s="95" t="s">
        <v>122</v>
      </c>
    </row>
    <row r="3" spans="2:15" x14ac:dyDescent="0.3">
      <c r="B3" t="s">
        <v>22</v>
      </c>
      <c r="C3" t="s">
        <v>15</v>
      </c>
      <c r="D3" t="s">
        <v>26</v>
      </c>
      <c r="E3" t="s">
        <v>18</v>
      </c>
      <c r="F3" s="94">
        <f>Summary!U5</f>
        <v>0</v>
      </c>
      <c r="G3" t="s">
        <v>128</v>
      </c>
      <c r="H3" t="s">
        <v>103</v>
      </c>
      <c r="I3" t="s">
        <v>125</v>
      </c>
      <c r="J3" s="1" t="s">
        <v>105</v>
      </c>
      <c r="K3" s="1" t="s">
        <v>104</v>
      </c>
      <c r="L3" t="s">
        <v>126</v>
      </c>
      <c r="M3" s="95" t="s">
        <v>122</v>
      </c>
      <c r="N3" t="s">
        <v>107</v>
      </c>
    </row>
    <row r="4" spans="2:15" x14ac:dyDescent="0.3">
      <c r="B4" t="s">
        <v>22</v>
      </c>
      <c r="C4" t="s">
        <v>15</v>
      </c>
      <c r="D4" t="s">
        <v>27</v>
      </c>
      <c r="E4" t="s">
        <v>18</v>
      </c>
      <c r="F4" s="94">
        <f>Summary!U6</f>
        <v>0</v>
      </c>
      <c r="G4" t="s">
        <v>128</v>
      </c>
      <c r="H4" s="9"/>
      <c r="K4" s="1" t="s">
        <v>104</v>
      </c>
    </row>
    <row r="5" spans="2:15" x14ac:dyDescent="0.3">
      <c r="B5" t="s">
        <v>22</v>
      </c>
      <c r="C5" t="s">
        <v>15</v>
      </c>
      <c r="D5" t="s">
        <v>31</v>
      </c>
      <c r="E5" t="s">
        <v>18</v>
      </c>
      <c r="F5" s="94">
        <f>Summary!U7</f>
        <v>0</v>
      </c>
      <c r="G5" t="s">
        <v>128</v>
      </c>
      <c r="H5" s="9"/>
      <c r="K5" s="1" t="s">
        <v>104</v>
      </c>
    </row>
    <row r="6" spans="2:15" x14ac:dyDescent="0.3">
      <c r="B6" t="s">
        <v>22</v>
      </c>
      <c r="C6" t="s">
        <v>15</v>
      </c>
      <c r="D6" t="s">
        <v>28</v>
      </c>
      <c r="E6" t="s">
        <v>18</v>
      </c>
      <c r="F6" s="94">
        <f>Summary!U8</f>
        <v>0</v>
      </c>
      <c r="G6" t="s">
        <v>128</v>
      </c>
      <c r="H6" s="9"/>
      <c r="K6" s="1" t="s">
        <v>104</v>
      </c>
    </row>
    <row r="7" spans="2:15" x14ac:dyDescent="0.3">
      <c r="B7" t="s">
        <v>22</v>
      </c>
      <c r="C7" t="s">
        <v>15</v>
      </c>
      <c r="D7" t="s">
        <v>30</v>
      </c>
      <c r="E7" t="s">
        <v>18</v>
      </c>
      <c r="F7" s="94">
        <f>Summary!U9</f>
        <v>0</v>
      </c>
      <c r="G7" t="s">
        <v>128</v>
      </c>
      <c r="H7" s="9"/>
      <c r="K7" s="1" t="s">
        <v>104</v>
      </c>
    </row>
    <row r="8" spans="2:15" x14ac:dyDescent="0.3">
      <c r="B8" t="s">
        <v>22</v>
      </c>
      <c r="C8" t="s">
        <v>15</v>
      </c>
      <c r="D8" t="s">
        <v>138</v>
      </c>
      <c r="E8" t="s">
        <v>18</v>
      </c>
      <c r="F8" s="94">
        <f>Summary!U10</f>
        <v>0</v>
      </c>
      <c r="G8" t="s">
        <v>128</v>
      </c>
      <c r="H8" s="9"/>
      <c r="K8" s="1" t="s">
        <v>104</v>
      </c>
    </row>
    <row r="9" spans="2:15" x14ac:dyDescent="0.3">
      <c r="B9" t="s">
        <v>22</v>
      </c>
      <c r="C9" t="s">
        <v>15</v>
      </c>
      <c r="D9" t="s">
        <v>32</v>
      </c>
      <c r="E9" t="s">
        <v>18</v>
      </c>
      <c r="F9" s="94">
        <f>Summary!U11</f>
        <v>0</v>
      </c>
      <c r="G9" t="s">
        <v>128</v>
      </c>
      <c r="H9" s="9"/>
      <c r="K9" s="1" t="s">
        <v>104</v>
      </c>
    </row>
    <row r="10" spans="2:15" s="7" customFormat="1" x14ac:dyDescent="0.3">
      <c r="B10" s="7" t="s">
        <v>22</v>
      </c>
      <c r="C10" s="7" t="s">
        <v>15</v>
      </c>
      <c r="D10" s="7" t="s">
        <v>86</v>
      </c>
      <c r="E10" s="7" t="s">
        <v>18</v>
      </c>
      <c r="F10" s="98">
        <f>Summary!U12</f>
        <v>0</v>
      </c>
      <c r="G10" s="7" t="s">
        <v>128</v>
      </c>
      <c r="H10" s="113"/>
      <c r="J10" s="99"/>
      <c r="K10" s="99" t="s">
        <v>104</v>
      </c>
    </row>
    <row r="11" spans="2:15" x14ac:dyDescent="0.3">
      <c r="B11" t="s">
        <v>22</v>
      </c>
      <c r="C11" t="s">
        <v>15</v>
      </c>
      <c r="D11" s="15" t="s">
        <v>24</v>
      </c>
      <c r="E11" t="s">
        <v>108</v>
      </c>
      <c r="F11" s="94">
        <f>Summary!V4</f>
        <v>25000</v>
      </c>
      <c r="G11" t="s">
        <v>128</v>
      </c>
      <c r="H11" s="9"/>
      <c r="J11" s="1" t="s">
        <v>111</v>
      </c>
      <c r="K11" s="1" t="s">
        <v>104</v>
      </c>
      <c r="L11" t="s">
        <v>115</v>
      </c>
      <c r="M11" s="100" t="s">
        <v>112</v>
      </c>
      <c r="N11" s="96"/>
      <c r="O11" s="96"/>
    </row>
    <row r="12" spans="2:15" x14ac:dyDescent="0.3">
      <c r="B12" t="s">
        <v>22</v>
      </c>
      <c r="C12" t="s">
        <v>15</v>
      </c>
      <c r="D12" t="s">
        <v>32</v>
      </c>
      <c r="E12" t="s">
        <v>108</v>
      </c>
      <c r="F12" s="94">
        <f>Summary!V11</f>
        <v>35000</v>
      </c>
      <c r="G12" t="s">
        <v>128</v>
      </c>
      <c r="J12" s="1" t="s">
        <v>111</v>
      </c>
      <c r="K12" s="1" t="s">
        <v>104</v>
      </c>
      <c r="L12" t="s">
        <v>115</v>
      </c>
      <c r="M12" s="95" t="s">
        <v>112</v>
      </c>
    </row>
    <row r="13" spans="2:15" s="7" customFormat="1" x14ac:dyDescent="0.3">
      <c r="B13" s="7" t="s">
        <v>22</v>
      </c>
      <c r="C13" s="7" t="s">
        <v>15</v>
      </c>
      <c r="D13" s="7" t="s">
        <v>86</v>
      </c>
      <c r="E13" s="7" t="s">
        <v>108</v>
      </c>
      <c r="F13" s="98">
        <f>Summary!V12</f>
        <v>24000</v>
      </c>
      <c r="G13" s="7" t="s">
        <v>128</v>
      </c>
      <c r="J13" s="99" t="s">
        <v>111</v>
      </c>
      <c r="K13" s="99" t="s">
        <v>104</v>
      </c>
      <c r="L13" s="7" t="s">
        <v>116</v>
      </c>
      <c r="M13" s="112" t="s">
        <v>113</v>
      </c>
    </row>
    <row r="14" spans="2:15" x14ac:dyDescent="0.3">
      <c r="B14" t="s">
        <v>22</v>
      </c>
      <c r="C14" t="s">
        <v>15</v>
      </c>
      <c r="D14" s="15" t="s">
        <v>25</v>
      </c>
      <c r="E14" t="s">
        <v>77</v>
      </c>
      <c r="F14" s="94">
        <f>Summary!W4</f>
        <v>1000</v>
      </c>
      <c r="G14" t="s">
        <v>128</v>
      </c>
      <c r="H14" t="s">
        <v>103</v>
      </c>
      <c r="J14" s="1" t="s">
        <v>104</v>
      </c>
      <c r="K14" s="1" t="s">
        <v>117</v>
      </c>
      <c r="L14" t="s">
        <v>119</v>
      </c>
      <c r="M14" s="95" t="s">
        <v>118</v>
      </c>
    </row>
    <row r="15" spans="2:15" x14ac:dyDescent="0.3">
      <c r="B15" t="s">
        <v>22</v>
      </c>
      <c r="C15" t="s">
        <v>15</v>
      </c>
      <c r="D15" t="s">
        <v>26</v>
      </c>
      <c r="E15" t="s">
        <v>77</v>
      </c>
      <c r="F15" s="94">
        <f>Summary!W5</f>
        <v>1000</v>
      </c>
      <c r="G15" t="s">
        <v>128</v>
      </c>
      <c r="H15" t="s">
        <v>103</v>
      </c>
      <c r="J15" s="1" t="s">
        <v>104</v>
      </c>
      <c r="K15" s="1" t="s">
        <v>117</v>
      </c>
      <c r="L15" t="s">
        <v>119</v>
      </c>
      <c r="M15" s="95" t="s">
        <v>118</v>
      </c>
    </row>
    <row r="16" spans="2:15" x14ac:dyDescent="0.3">
      <c r="B16" t="s">
        <v>22</v>
      </c>
      <c r="C16" t="s">
        <v>15</v>
      </c>
      <c r="D16" t="s">
        <v>27</v>
      </c>
      <c r="E16" t="s">
        <v>77</v>
      </c>
      <c r="F16" s="94" t="str">
        <f>Summary!W6</f>
        <v>--</v>
      </c>
      <c r="G16" t="s">
        <v>128</v>
      </c>
      <c r="J16" s="1" t="s">
        <v>104</v>
      </c>
      <c r="K16" s="1" t="s">
        <v>117</v>
      </c>
      <c r="L16" t="s">
        <v>119</v>
      </c>
      <c r="M16" s="95" t="s">
        <v>118</v>
      </c>
    </row>
    <row r="17" spans="2:14" x14ac:dyDescent="0.3">
      <c r="B17" t="s">
        <v>22</v>
      </c>
      <c r="C17" t="s">
        <v>15</v>
      </c>
      <c r="D17" t="s">
        <v>31</v>
      </c>
      <c r="E17" t="s">
        <v>77</v>
      </c>
      <c r="F17" s="94" t="str">
        <f>Summary!W7</f>
        <v>--</v>
      </c>
      <c r="G17" t="s">
        <v>128</v>
      </c>
      <c r="J17" s="1" t="s">
        <v>104</v>
      </c>
      <c r="K17" s="1" t="s">
        <v>117</v>
      </c>
      <c r="L17" t="s">
        <v>119</v>
      </c>
      <c r="M17" s="95" t="s">
        <v>118</v>
      </c>
    </row>
    <row r="18" spans="2:14" x14ac:dyDescent="0.3">
      <c r="B18" t="s">
        <v>22</v>
      </c>
      <c r="C18" t="s">
        <v>15</v>
      </c>
      <c r="D18" t="s">
        <v>28</v>
      </c>
      <c r="E18" t="s">
        <v>77</v>
      </c>
      <c r="F18" s="94">
        <f>Summary!W8</f>
        <v>500</v>
      </c>
      <c r="G18" t="s">
        <v>128</v>
      </c>
      <c r="H18" t="s">
        <v>103</v>
      </c>
      <c r="J18" s="1" t="s">
        <v>104</v>
      </c>
      <c r="K18" s="1" t="s">
        <v>117</v>
      </c>
      <c r="L18" t="s">
        <v>119</v>
      </c>
      <c r="M18" s="95" t="s">
        <v>118</v>
      </c>
    </row>
    <row r="19" spans="2:14" x14ac:dyDescent="0.3">
      <c r="B19" t="s">
        <v>22</v>
      </c>
      <c r="C19" t="s">
        <v>15</v>
      </c>
      <c r="D19" t="s">
        <v>30</v>
      </c>
      <c r="E19" t="s">
        <v>77</v>
      </c>
      <c r="F19" s="94" t="str">
        <f>Summary!W9</f>
        <v>--</v>
      </c>
      <c r="G19" t="s">
        <v>128</v>
      </c>
      <c r="J19" s="1" t="s">
        <v>104</v>
      </c>
      <c r="K19" s="1" t="s">
        <v>117</v>
      </c>
      <c r="L19" t="s">
        <v>119</v>
      </c>
      <c r="M19" s="95" t="s">
        <v>118</v>
      </c>
    </row>
    <row r="20" spans="2:14" x14ac:dyDescent="0.3">
      <c r="B20" t="s">
        <v>22</v>
      </c>
      <c r="C20" t="s">
        <v>15</v>
      </c>
      <c r="D20" t="s">
        <v>138</v>
      </c>
      <c r="E20" t="s">
        <v>77</v>
      </c>
      <c r="F20" s="94">
        <f>Summary!W10</f>
        <v>500</v>
      </c>
      <c r="G20" t="s">
        <v>128</v>
      </c>
      <c r="J20" s="1" t="s">
        <v>104</v>
      </c>
      <c r="K20" s="1" t="s">
        <v>117</v>
      </c>
      <c r="L20" t="s">
        <v>119</v>
      </c>
      <c r="M20" s="95" t="s">
        <v>118</v>
      </c>
    </row>
    <row r="21" spans="2:14" x14ac:dyDescent="0.3">
      <c r="B21" t="s">
        <v>22</v>
      </c>
      <c r="C21" t="s">
        <v>15</v>
      </c>
      <c r="D21" t="s">
        <v>32</v>
      </c>
      <c r="E21" t="s">
        <v>77</v>
      </c>
      <c r="F21" s="94">
        <f>Summary!W11</f>
        <v>1500</v>
      </c>
      <c r="G21" t="s">
        <v>128</v>
      </c>
      <c r="J21" s="1" t="s">
        <v>104</v>
      </c>
      <c r="K21" s="1" t="s">
        <v>117</v>
      </c>
      <c r="M21" s="95"/>
    </row>
    <row r="22" spans="2:14" s="7" customFormat="1" x14ac:dyDescent="0.3">
      <c r="B22" s="7" t="s">
        <v>22</v>
      </c>
      <c r="C22" s="7" t="s">
        <v>15</v>
      </c>
      <c r="D22" s="7" t="s">
        <v>86</v>
      </c>
      <c r="E22" s="7" t="s">
        <v>77</v>
      </c>
      <c r="F22" s="98">
        <f>Summary!W12</f>
        <v>1000</v>
      </c>
      <c r="G22" s="7" t="s">
        <v>128</v>
      </c>
      <c r="J22" s="99" t="s">
        <v>104</v>
      </c>
      <c r="K22" s="1" t="s">
        <v>117</v>
      </c>
      <c r="M22" s="112"/>
      <c r="N22" s="7" t="s">
        <v>114</v>
      </c>
    </row>
    <row r="23" spans="2:14" x14ac:dyDescent="0.3">
      <c r="B23" t="s">
        <v>22</v>
      </c>
      <c r="C23" t="s">
        <v>15</v>
      </c>
      <c r="D23" s="15" t="s">
        <v>24</v>
      </c>
      <c r="E23" t="s">
        <v>78</v>
      </c>
      <c r="F23" s="94">
        <f>Summary!X4</f>
        <v>5750</v>
      </c>
      <c r="G23" t="s">
        <v>128</v>
      </c>
      <c r="H23" t="s">
        <v>103</v>
      </c>
      <c r="I23" t="s">
        <v>109</v>
      </c>
      <c r="J23" s="1" t="s">
        <v>104</v>
      </c>
      <c r="K23" s="1" t="s">
        <v>110</v>
      </c>
      <c r="L23" t="s">
        <v>106</v>
      </c>
    </row>
    <row r="24" spans="2:14" x14ac:dyDescent="0.3">
      <c r="B24" t="s">
        <v>22</v>
      </c>
      <c r="C24" t="s">
        <v>15</v>
      </c>
      <c r="D24" t="s">
        <v>138</v>
      </c>
      <c r="E24" t="s">
        <v>78</v>
      </c>
      <c r="F24" s="94">
        <f>Summary!X10</f>
        <v>1250</v>
      </c>
      <c r="G24" t="s">
        <v>128</v>
      </c>
      <c r="J24" s="1" t="s">
        <v>104</v>
      </c>
      <c r="K24" s="1" t="s">
        <v>110</v>
      </c>
    </row>
    <row r="25" spans="2:14" x14ac:dyDescent="0.3">
      <c r="B25" t="s">
        <v>22</v>
      </c>
      <c r="C25" t="s">
        <v>15</v>
      </c>
      <c r="D25" t="s">
        <v>32</v>
      </c>
      <c r="E25" t="s">
        <v>78</v>
      </c>
      <c r="F25" s="94">
        <f>Summary!X11</f>
        <v>5250</v>
      </c>
      <c r="G25" t="s">
        <v>128</v>
      </c>
      <c r="J25" s="1" t="s">
        <v>104</v>
      </c>
      <c r="K25" s="1" t="s">
        <v>110</v>
      </c>
      <c r="M25" s="95"/>
    </row>
    <row r="26" spans="2:14" s="7" customFormat="1" x14ac:dyDescent="0.3">
      <c r="B26" s="7" t="s">
        <v>22</v>
      </c>
      <c r="C26" s="7" t="s">
        <v>15</v>
      </c>
      <c r="D26" s="7" t="s">
        <v>86</v>
      </c>
      <c r="E26" s="7" t="s">
        <v>78</v>
      </c>
      <c r="F26" s="98">
        <f>Summary!X12</f>
        <v>3500</v>
      </c>
      <c r="G26" s="7" t="s">
        <v>128</v>
      </c>
      <c r="J26" s="99" t="s">
        <v>104</v>
      </c>
      <c r="K26" s="99" t="s">
        <v>110</v>
      </c>
      <c r="M26" s="112"/>
    </row>
    <row r="27" spans="2:14" x14ac:dyDescent="0.3">
      <c r="B27" t="s">
        <v>22</v>
      </c>
      <c r="C27" t="s">
        <v>15</v>
      </c>
      <c r="D27" s="15" t="s">
        <v>24</v>
      </c>
      <c r="E27" t="s">
        <v>79</v>
      </c>
      <c r="F27" s="94">
        <f>Summary!Y4</f>
        <v>9000</v>
      </c>
      <c r="G27" t="s">
        <v>128</v>
      </c>
      <c r="H27" t="s">
        <v>103</v>
      </c>
      <c r="J27" s="1" t="s">
        <v>104</v>
      </c>
      <c r="K27" s="1" t="s">
        <v>121</v>
      </c>
      <c r="L27" t="s">
        <v>106</v>
      </c>
      <c r="M27" s="95"/>
    </row>
    <row r="28" spans="2:14" x14ac:dyDescent="0.3">
      <c r="B28" t="s">
        <v>22</v>
      </c>
      <c r="C28" t="s">
        <v>15</v>
      </c>
      <c r="D28" t="s">
        <v>138</v>
      </c>
      <c r="E28" t="s">
        <v>79</v>
      </c>
      <c r="F28" s="94">
        <f>Summary!Y10</f>
        <v>2000</v>
      </c>
      <c r="G28" t="s">
        <v>128</v>
      </c>
      <c r="J28" s="1" t="s">
        <v>104</v>
      </c>
      <c r="K28" s="1" t="s">
        <v>121</v>
      </c>
      <c r="M28" s="95"/>
    </row>
    <row r="29" spans="2:14" x14ac:dyDescent="0.3">
      <c r="B29" t="s">
        <v>22</v>
      </c>
      <c r="C29" t="s">
        <v>15</v>
      </c>
      <c r="D29" t="s">
        <v>32</v>
      </c>
      <c r="E29" t="s">
        <v>79</v>
      </c>
      <c r="F29" s="94">
        <f>Summary!Y11</f>
        <v>9000</v>
      </c>
      <c r="G29" t="s">
        <v>128</v>
      </c>
      <c r="J29" s="1" t="s">
        <v>104</v>
      </c>
      <c r="K29" s="1" t="s">
        <v>121</v>
      </c>
      <c r="M29" s="95"/>
    </row>
    <row r="30" spans="2:14" x14ac:dyDescent="0.3">
      <c r="B30" t="s">
        <v>22</v>
      </c>
      <c r="C30" t="s">
        <v>15</v>
      </c>
      <c r="D30" t="s">
        <v>86</v>
      </c>
      <c r="E30" t="s">
        <v>79</v>
      </c>
      <c r="F30" s="94">
        <f>Summary!Y12</f>
        <v>6000</v>
      </c>
      <c r="G30" t="s">
        <v>128</v>
      </c>
      <c r="J30" s="1" t="s">
        <v>104</v>
      </c>
      <c r="K30" s="1" t="s">
        <v>121</v>
      </c>
      <c r="M30" s="95"/>
    </row>
    <row r="31" spans="2:14" x14ac:dyDescent="0.3">
      <c r="F31" s="94"/>
      <c r="M31" s="95"/>
    </row>
    <row r="32" spans="2:14" x14ac:dyDescent="0.3">
      <c r="F32" s="94"/>
      <c r="M32" s="95"/>
    </row>
    <row r="33" spans="4:13" x14ac:dyDescent="0.3">
      <c r="F33" s="94"/>
    </row>
    <row r="34" spans="4:13" x14ac:dyDescent="0.3">
      <c r="D34" s="15"/>
      <c r="F34" s="94"/>
      <c r="M34" s="95"/>
    </row>
    <row r="35" spans="4:13" x14ac:dyDescent="0.3">
      <c r="F35" s="94"/>
      <c r="M35" s="95"/>
    </row>
    <row r="36" spans="4:13" x14ac:dyDescent="0.3">
      <c r="F36" s="94"/>
      <c r="M36" s="95"/>
    </row>
    <row r="37" spans="4:13" x14ac:dyDescent="0.3">
      <c r="F37" s="94"/>
      <c r="M37" s="95"/>
    </row>
    <row r="38" spans="4:13" x14ac:dyDescent="0.3">
      <c r="F38" s="94"/>
      <c r="M38" s="95"/>
    </row>
    <row r="39" spans="4:13" x14ac:dyDescent="0.3">
      <c r="F39" s="94"/>
      <c r="M39" s="95"/>
    </row>
    <row r="40" spans="4:13" x14ac:dyDescent="0.3">
      <c r="F40" s="94"/>
      <c r="M40" s="95"/>
    </row>
    <row r="41" spans="4:13" x14ac:dyDescent="0.3">
      <c r="F41" s="94"/>
      <c r="M41" s="95"/>
    </row>
    <row r="42" spans="4:13" x14ac:dyDescent="0.3">
      <c r="F42" s="94"/>
      <c r="M42" s="95"/>
    </row>
    <row r="43" spans="4:13" x14ac:dyDescent="0.3">
      <c r="F43" s="94"/>
      <c r="M43" s="95"/>
    </row>
    <row r="44" spans="4:13" x14ac:dyDescent="0.3">
      <c r="F44" s="94"/>
      <c r="M44" s="95"/>
    </row>
    <row r="45" spans="4:13" x14ac:dyDescent="0.3">
      <c r="F45" s="94"/>
      <c r="M45" s="95"/>
    </row>
    <row r="46" spans="4:13" x14ac:dyDescent="0.3">
      <c r="F46" s="94"/>
      <c r="M46" s="95"/>
    </row>
    <row r="47" spans="4:13" x14ac:dyDescent="0.3">
      <c r="D47" s="97"/>
      <c r="F47" s="94"/>
      <c r="M47" s="95"/>
    </row>
    <row r="48" spans="4:13" x14ac:dyDescent="0.3">
      <c r="D48" s="97"/>
      <c r="F48" s="94"/>
      <c r="M48" s="95"/>
    </row>
    <row r="49" spans="4:13" x14ac:dyDescent="0.3">
      <c r="D49" s="97"/>
      <c r="F49" s="94"/>
      <c r="M49" s="95"/>
    </row>
    <row r="50" spans="4:13" x14ac:dyDescent="0.3">
      <c r="D50" s="97"/>
      <c r="F50" s="94"/>
      <c r="M50" s="95"/>
    </row>
    <row r="51" spans="4:13" x14ac:dyDescent="0.3">
      <c r="D51" s="97"/>
      <c r="F51" s="94"/>
      <c r="M51" s="95"/>
    </row>
    <row r="52" spans="4:13" x14ac:dyDescent="0.3">
      <c r="D52" s="97"/>
      <c r="F52" s="94"/>
      <c r="M52" s="95"/>
    </row>
    <row r="53" spans="4:13" x14ac:dyDescent="0.3">
      <c r="D53" s="97"/>
      <c r="F53" s="94"/>
      <c r="M53" s="95"/>
    </row>
    <row r="54" spans="4:13" x14ac:dyDescent="0.3">
      <c r="D54" s="97"/>
      <c r="F54" s="94"/>
    </row>
    <row r="55" spans="4:13" x14ac:dyDescent="0.3">
      <c r="F55" s="94"/>
      <c r="H55" s="9"/>
      <c r="M55" s="95"/>
    </row>
    <row r="56" spans="4:13" x14ac:dyDescent="0.3">
      <c r="F56" s="94"/>
    </row>
    <row r="57" spans="4:13" x14ac:dyDescent="0.3">
      <c r="F57" s="94"/>
      <c r="M57" s="95"/>
    </row>
    <row r="58" spans="4:13" x14ac:dyDescent="0.3">
      <c r="F58" s="94"/>
    </row>
    <row r="59" spans="4:13" x14ac:dyDescent="0.3">
      <c r="F59" s="94"/>
      <c r="M59" s="95"/>
    </row>
    <row r="60" spans="4:13" x14ac:dyDescent="0.3">
      <c r="F60" s="94"/>
      <c r="M60" s="95"/>
    </row>
    <row r="61" spans="4:13" x14ac:dyDescent="0.3">
      <c r="F61" s="94"/>
      <c r="M61" s="95"/>
    </row>
    <row r="62" spans="4:13" x14ac:dyDescent="0.3">
      <c r="F62" s="94"/>
      <c r="M62" s="95"/>
    </row>
    <row r="63" spans="4:13" x14ac:dyDescent="0.3">
      <c r="F63" s="94"/>
      <c r="M63" s="95"/>
    </row>
    <row r="64" spans="4:13" x14ac:dyDescent="0.3">
      <c r="F64" s="94"/>
      <c r="M64" s="95"/>
    </row>
    <row r="65" spans="4:13" x14ac:dyDescent="0.3">
      <c r="F65" s="94"/>
      <c r="M65" s="95"/>
    </row>
    <row r="66" spans="4:13" x14ac:dyDescent="0.3">
      <c r="F66" s="94"/>
      <c r="M66" s="95"/>
    </row>
    <row r="67" spans="4:13" x14ac:dyDescent="0.3">
      <c r="F67" s="94"/>
      <c r="M67" s="95"/>
    </row>
    <row r="68" spans="4:13" x14ac:dyDescent="0.3">
      <c r="F68" s="94"/>
      <c r="M68" s="95"/>
    </row>
    <row r="69" spans="4:13" x14ac:dyDescent="0.3">
      <c r="F69" s="94"/>
      <c r="M69" s="95"/>
    </row>
    <row r="70" spans="4:13" x14ac:dyDescent="0.3">
      <c r="F70" s="94"/>
      <c r="M70" s="95"/>
    </row>
    <row r="71" spans="4:13" x14ac:dyDescent="0.3">
      <c r="F71" s="94"/>
    </row>
    <row r="72" spans="4:13" x14ac:dyDescent="0.3">
      <c r="F72" s="94"/>
      <c r="M72" s="95"/>
    </row>
    <row r="73" spans="4:13" x14ac:dyDescent="0.3">
      <c r="F73" s="94"/>
      <c r="M73" s="95"/>
    </row>
    <row r="74" spans="4:13" x14ac:dyDescent="0.3">
      <c r="F74" s="94"/>
      <c r="M74" s="95"/>
    </row>
    <row r="75" spans="4:13" x14ac:dyDescent="0.3">
      <c r="F75" s="94"/>
      <c r="M75" s="95"/>
    </row>
    <row r="76" spans="4:13" x14ac:dyDescent="0.3">
      <c r="F76" s="94"/>
      <c r="H76" s="9"/>
    </row>
    <row r="77" spans="4:13" x14ac:dyDescent="0.3">
      <c r="D77" s="15"/>
      <c r="F77" s="94"/>
      <c r="M77" s="95"/>
    </row>
    <row r="78" spans="4:13" x14ac:dyDescent="0.3">
      <c r="F78" s="94"/>
      <c r="M78" s="95"/>
    </row>
    <row r="79" spans="4:13" x14ac:dyDescent="0.3">
      <c r="F79" s="94"/>
      <c r="M79" s="95"/>
    </row>
    <row r="80" spans="4:13" x14ac:dyDescent="0.3">
      <c r="F80" s="94"/>
      <c r="M80" s="95"/>
    </row>
    <row r="81" spans="4:13" x14ac:dyDescent="0.3">
      <c r="F81" s="94"/>
      <c r="M81" s="95"/>
    </row>
    <row r="82" spans="4:13" x14ac:dyDescent="0.3">
      <c r="F82" s="94"/>
      <c r="M82" s="95"/>
    </row>
    <row r="83" spans="4:13" x14ac:dyDescent="0.3">
      <c r="F83" s="94"/>
      <c r="M83" s="95"/>
    </row>
    <row r="84" spans="4:13" x14ac:dyDescent="0.3">
      <c r="F84" s="94"/>
      <c r="M84" s="95"/>
    </row>
    <row r="85" spans="4:13" x14ac:dyDescent="0.3">
      <c r="F85" s="94"/>
      <c r="M85" s="95"/>
    </row>
    <row r="86" spans="4:13" x14ac:dyDescent="0.3">
      <c r="F86" s="94"/>
      <c r="M86" s="95"/>
    </row>
    <row r="87" spans="4:13" x14ac:dyDescent="0.3">
      <c r="F87" s="94"/>
      <c r="M87" s="95"/>
    </row>
    <row r="88" spans="4:13" x14ac:dyDescent="0.3">
      <c r="F88" s="94"/>
      <c r="M88" s="95"/>
    </row>
    <row r="89" spans="4:13" x14ac:dyDescent="0.3">
      <c r="F89" s="94"/>
      <c r="M89" s="95"/>
    </row>
    <row r="90" spans="4:13" x14ac:dyDescent="0.3">
      <c r="D90" s="97"/>
      <c r="F90" s="94"/>
      <c r="M90" s="95"/>
    </row>
    <row r="91" spans="4:13" x14ac:dyDescent="0.3">
      <c r="D91" s="97"/>
      <c r="F91" s="94"/>
      <c r="M91" s="95"/>
    </row>
    <row r="92" spans="4:13" x14ac:dyDescent="0.3">
      <c r="D92" s="97"/>
      <c r="F92" s="94"/>
      <c r="M92" s="95"/>
    </row>
    <row r="93" spans="4:13" x14ac:dyDescent="0.3">
      <c r="D93" s="97"/>
      <c r="F93" s="94"/>
      <c r="M93" s="95"/>
    </row>
    <row r="94" spans="4:13" x14ac:dyDescent="0.3">
      <c r="D94" s="97"/>
      <c r="F94" s="94"/>
      <c r="M94" s="95"/>
    </row>
    <row r="95" spans="4:13" x14ac:dyDescent="0.3">
      <c r="D95" s="97"/>
      <c r="F95" s="94"/>
      <c r="M95" s="95"/>
    </row>
    <row r="96" spans="4:13" x14ac:dyDescent="0.3">
      <c r="D96" s="97"/>
      <c r="F96" s="94"/>
      <c r="M96" s="95"/>
    </row>
    <row r="97" spans="4:13" x14ac:dyDescent="0.3">
      <c r="D97" s="97"/>
      <c r="F97" s="94"/>
      <c r="M97" s="95"/>
    </row>
    <row r="98" spans="4:13" x14ac:dyDescent="0.3">
      <c r="F98" s="94"/>
      <c r="M98" s="95"/>
    </row>
    <row r="99" spans="4:13" x14ac:dyDescent="0.3">
      <c r="F99" s="94"/>
      <c r="M99" s="95"/>
    </row>
    <row r="100" spans="4:13" x14ac:dyDescent="0.3">
      <c r="F100" s="94"/>
      <c r="M100" s="95"/>
    </row>
    <row r="101" spans="4:13" x14ac:dyDescent="0.3">
      <c r="F101" s="94"/>
      <c r="M101" s="95"/>
    </row>
    <row r="102" spans="4:13" x14ac:dyDescent="0.3">
      <c r="F102" s="94"/>
      <c r="M102" s="95"/>
    </row>
    <row r="103" spans="4:13" x14ac:dyDescent="0.3">
      <c r="F103" s="94"/>
      <c r="M103" s="95"/>
    </row>
    <row r="104" spans="4:13" x14ac:dyDescent="0.3">
      <c r="F104" s="94"/>
      <c r="M104" s="95"/>
    </row>
    <row r="105" spans="4:13" x14ac:dyDescent="0.3">
      <c r="F105" s="94"/>
      <c r="M105" s="95"/>
    </row>
    <row r="106" spans="4:13" x14ac:dyDescent="0.3">
      <c r="F106" s="94"/>
      <c r="M106" s="95"/>
    </row>
    <row r="107" spans="4:13" x14ac:dyDescent="0.3">
      <c r="F107" s="94"/>
      <c r="M107" s="95"/>
    </row>
    <row r="108" spans="4:13" x14ac:dyDescent="0.3">
      <c r="F108" s="94"/>
      <c r="M108" s="95"/>
    </row>
    <row r="109" spans="4:13" x14ac:dyDescent="0.3">
      <c r="F109" s="94"/>
      <c r="M109" s="95"/>
    </row>
    <row r="110" spans="4:13" x14ac:dyDescent="0.3">
      <c r="F110" s="94"/>
      <c r="M110" s="95"/>
    </row>
    <row r="111" spans="4:13" x14ac:dyDescent="0.3">
      <c r="F111" s="94"/>
      <c r="M111" s="95"/>
    </row>
    <row r="112" spans="4:13" x14ac:dyDescent="0.3">
      <c r="F112" s="94"/>
      <c r="M112" s="95"/>
    </row>
    <row r="113" spans="4:13" x14ac:dyDescent="0.3">
      <c r="F113" s="94"/>
      <c r="M113" s="95"/>
    </row>
    <row r="114" spans="4:13" x14ac:dyDescent="0.3">
      <c r="F114" s="94"/>
      <c r="M114" s="95"/>
    </row>
    <row r="115" spans="4:13" x14ac:dyDescent="0.3">
      <c r="F115" s="94"/>
      <c r="M115" s="95"/>
    </row>
    <row r="116" spans="4:13" x14ac:dyDescent="0.3">
      <c r="F116" s="94"/>
      <c r="M116" s="95"/>
    </row>
    <row r="117" spans="4:13" x14ac:dyDescent="0.3">
      <c r="F117" s="94"/>
      <c r="M117" s="95"/>
    </row>
    <row r="118" spans="4:13" x14ac:dyDescent="0.3">
      <c r="F118" s="94"/>
      <c r="M118" s="95"/>
    </row>
    <row r="119" spans="4:13" s="7" customFormat="1" x14ac:dyDescent="0.3">
      <c r="F119" s="98"/>
      <c r="J119" s="99"/>
      <c r="K119" s="99"/>
      <c r="M119" s="95"/>
    </row>
    <row r="120" spans="4:13" x14ac:dyDescent="0.3">
      <c r="D120" s="15"/>
      <c r="F120" s="94"/>
      <c r="M120" s="95"/>
    </row>
    <row r="121" spans="4:13" x14ac:dyDescent="0.3">
      <c r="F121" s="94"/>
      <c r="M121" s="95"/>
    </row>
    <row r="122" spans="4:13" x14ac:dyDescent="0.3">
      <c r="F122" s="94"/>
    </row>
    <row r="123" spans="4:13" x14ac:dyDescent="0.3">
      <c r="F123" s="94"/>
    </row>
    <row r="124" spans="4:13" x14ac:dyDescent="0.3">
      <c r="F124" s="94"/>
    </row>
    <row r="125" spans="4:13" x14ac:dyDescent="0.3">
      <c r="F125" s="94"/>
    </row>
    <row r="126" spans="4:13" x14ac:dyDescent="0.3">
      <c r="F126" s="94"/>
    </row>
    <row r="127" spans="4:13" x14ac:dyDescent="0.3">
      <c r="F127" s="94"/>
    </row>
    <row r="128" spans="4:13" x14ac:dyDescent="0.3">
      <c r="F128" s="94"/>
    </row>
    <row r="129" spans="4:13" x14ac:dyDescent="0.3">
      <c r="F129" s="94"/>
    </row>
    <row r="130" spans="4:13" x14ac:dyDescent="0.3">
      <c r="F130" s="94"/>
    </row>
    <row r="131" spans="4:13" x14ac:dyDescent="0.3">
      <c r="F131" s="94"/>
    </row>
    <row r="132" spans="4:13" x14ac:dyDescent="0.3">
      <c r="F132" s="94"/>
    </row>
    <row r="133" spans="4:13" x14ac:dyDescent="0.3">
      <c r="D133" s="97"/>
      <c r="F133" s="94"/>
    </row>
    <row r="134" spans="4:13" x14ac:dyDescent="0.3">
      <c r="D134" s="97"/>
      <c r="F134" s="94"/>
      <c r="M134" s="95"/>
    </row>
    <row r="135" spans="4:13" x14ac:dyDescent="0.3">
      <c r="D135" s="97"/>
      <c r="F135" s="94"/>
      <c r="M135" s="95"/>
    </row>
    <row r="136" spans="4:13" x14ac:dyDescent="0.3">
      <c r="D136" s="97"/>
      <c r="F136" s="94"/>
      <c r="M136" s="95"/>
    </row>
    <row r="137" spans="4:13" x14ac:dyDescent="0.3">
      <c r="D137" s="97"/>
      <c r="F137" s="94"/>
      <c r="M137" s="95"/>
    </row>
    <row r="138" spans="4:13" x14ac:dyDescent="0.3">
      <c r="D138" s="97"/>
      <c r="F138" s="94"/>
      <c r="M138" s="95"/>
    </row>
    <row r="139" spans="4:13" x14ac:dyDescent="0.3">
      <c r="D139" s="97"/>
      <c r="F139" s="94"/>
      <c r="M139" s="95"/>
    </row>
    <row r="140" spans="4:13" x14ac:dyDescent="0.3">
      <c r="D140" s="97"/>
      <c r="F140" s="94"/>
      <c r="M140" s="95"/>
    </row>
    <row r="141" spans="4:13" x14ac:dyDescent="0.3">
      <c r="F141" s="94"/>
      <c r="M141" s="95"/>
    </row>
    <row r="142" spans="4:13" x14ac:dyDescent="0.3">
      <c r="F142" s="94"/>
      <c r="M142" s="95"/>
    </row>
    <row r="143" spans="4:13" x14ac:dyDescent="0.3">
      <c r="F143" s="94"/>
      <c r="M143" s="95"/>
    </row>
    <row r="144" spans="4:13" x14ac:dyDescent="0.3">
      <c r="F144" s="94"/>
      <c r="M144" s="95"/>
    </row>
    <row r="145" spans="6:13" x14ac:dyDescent="0.3">
      <c r="F145" s="94"/>
      <c r="M145" s="95"/>
    </row>
    <row r="146" spans="6:13" x14ac:dyDescent="0.3">
      <c r="F146" s="94"/>
      <c r="M146" s="95"/>
    </row>
    <row r="147" spans="6:13" x14ac:dyDescent="0.3">
      <c r="F147" s="94"/>
      <c r="M147" s="95"/>
    </row>
    <row r="148" spans="6:13" x14ac:dyDescent="0.3">
      <c r="F148" s="94"/>
      <c r="M148" s="95"/>
    </row>
    <row r="149" spans="6:13" x14ac:dyDescent="0.3">
      <c r="F149" s="94"/>
      <c r="M149" s="95"/>
    </row>
    <row r="150" spans="6:13" x14ac:dyDescent="0.3">
      <c r="F150" s="94"/>
      <c r="M150" s="95"/>
    </row>
    <row r="151" spans="6:13" x14ac:dyDescent="0.3">
      <c r="F151" s="94"/>
      <c r="M151" s="95"/>
    </row>
    <row r="152" spans="6:13" x14ac:dyDescent="0.3">
      <c r="F152" s="94"/>
      <c r="M152" s="95"/>
    </row>
    <row r="153" spans="6:13" x14ac:dyDescent="0.3">
      <c r="F153" s="94"/>
      <c r="M153" s="95"/>
    </row>
    <row r="154" spans="6:13" x14ac:dyDescent="0.3">
      <c r="F154" s="94"/>
      <c r="M154" s="95"/>
    </row>
    <row r="155" spans="6:13" x14ac:dyDescent="0.3">
      <c r="F155" s="94"/>
      <c r="M155" s="95"/>
    </row>
    <row r="156" spans="6:13" x14ac:dyDescent="0.3">
      <c r="F156" s="94"/>
      <c r="M156" s="95"/>
    </row>
    <row r="157" spans="6:13" x14ac:dyDescent="0.3">
      <c r="F157" s="94"/>
      <c r="M157" s="95"/>
    </row>
    <row r="158" spans="6:13" x14ac:dyDescent="0.3">
      <c r="F158" s="94"/>
      <c r="M158" s="95"/>
    </row>
    <row r="159" spans="6:13" x14ac:dyDescent="0.3">
      <c r="F159" s="94"/>
      <c r="M159" s="95"/>
    </row>
    <row r="160" spans="6:13" x14ac:dyDescent="0.3">
      <c r="F160" s="94"/>
      <c r="M160" s="95"/>
    </row>
    <row r="161" spans="4:13" x14ac:dyDescent="0.3">
      <c r="F161" s="94"/>
      <c r="M161" s="95"/>
    </row>
    <row r="162" spans="4:13" s="7" customFormat="1" x14ac:dyDescent="0.3">
      <c r="F162" s="98"/>
      <c r="G162"/>
      <c r="H162"/>
      <c r="J162" s="99"/>
      <c r="K162" s="99"/>
      <c r="M162" s="95"/>
    </row>
    <row r="163" spans="4:13" x14ac:dyDescent="0.3">
      <c r="D163" s="15"/>
      <c r="F163" s="94"/>
    </row>
    <row r="164" spans="4:13" x14ac:dyDescent="0.3">
      <c r="F164" s="94"/>
    </row>
    <row r="165" spans="4:13" x14ac:dyDescent="0.3">
      <c r="F165" s="94"/>
    </row>
    <row r="166" spans="4:13" x14ac:dyDescent="0.3">
      <c r="F166" s="94"/>
    </row>
    <row r="167" spans="4:13" x14ac:dyDescent="0.3">
      <c r="F167" s="94"/>
    </row>
    <row r="168" spans="4:13" x14ac:dyDescent="0.3">
      <c r="F168" s="94"/>
    </row>
    <row r="169" spans="4:13" x14ac:dyDescent="0.3">
      <c r="F169" s="94"/>
    </row>
    <row r="170" spans="4:13" x14ac:dyDescent="0.3">
      <c r="F170" s="94"/>
    </row>
    <row r="171" spans="4:13" x14ac:dyDescent="0.3">
      <c r="F171" s="94"/>
    </row>
    <row r="172" spans="4:13" x14ac:dyDescent="0.3">
      <c r="F172" s="94"/>
    </row>
    <row r="173" spans="4:13" x14ac:dyDescent="0.3">
      <c r="F173" s="94"/>
    </row>
    <row r="174" spans="4:13" x14ac:dyDescent="0.3">
      <c r="F174" s="94"/>
    </row>
    <row r="175" spans="4:13" x14ac:dyDescent="0.3">
      <c r="F175" s="94"/>
    </row>
    <row r="176" spans="4:13" x14ac:dyDescent="0.3">
      <c r="D176" s="97"/>
      <c r="F176" s="94"/>
    </row>
    <row r="177" spans="4:6" x14ac:dyDescent="0.3">
      <c r="D177" s="97"/>
      <c r="F177" s="94"/>
    </row>
    <row r="178" spans="4:6" x14ac:dyDescent="0.3">
      <c r="D178" s="97"/>
      <c r="F178" s="94"/>
    </row>
    <row r="179" spans="4:6" x14ac:dyDescent="0.3">
      <c r="D179" s="97"/>
      <c r="F179" s="94"/>
    </row>
    <row r="180" spans="4:6" x14ac:dyDescent="0.3">
      <c r="D180" s="97"/>
      <c r="F180" s="94"/>
    </row>
    <row r="181" spans="4:6" x14ac:dyDescent="0.3">
      <c r="D181" s="97"/>
      <c r="F181" s="94"/>
    </row>
    <row r="182" spans="4:6" x14ac:dyDescent="0.3">
      <c r="D182" s="97"/>
      <c r="F182" s="94"/>
    </row>
    <row r="183" spans="4:6" x14ac:dyDescent="0.3">
      <c r="D183" s="97"/>
      <c r="F183" s="94"/>
    </row>
    <row r="184" spans="4:6" x14ac:dyDescent="0.3">
      <c r="F184" s="94"/>
    </row>
    <row r="185" spans="4:6" x14ac:dyDescent="0.3">
      <c r="F185" s="94"/>
    </row>
    <row r="186" spans="4:6" x14ac:dyDescent="0.3">
      <c r="F186" s="94"/>
    </row>
    <row r="187" spans="4:6" x14ac:dyDescent="0.3">
      <c r="F187" s="94"/>
    </row>
    <row r="188" spans="4:6" x14ac:dyDescent="0.3">
      <c r="F188" s="94"/>
    </row>
    <row r="189" spans="4:6" x14ac:dyDescent="0.3">
      <c r="F189" s="94"/>
    </row>
    <row r="190" spans="4:6" x14ac:dyDescent="0.3">
      <c r="F190" s="94"/>
    </row>
    <row r="191" spans="4:6" x14ac:dyDescent="0.3">
      <c r="F191" s="94"/>
    </row>
    <row r="192" spans="4:6" x14ac:dyDescent="0.3">
      <c r="F192" s="94"/>
    </row>
    <row r="193" spans="4:11" x14ac:dyDescent="0.3">
      <c r="F193" s="94"/>
    </row>
    <row r="194" spans="4:11" x14ac:dyDescent="0.3">
      <c r="F194" s="94"/>
    </row>
    <row r="195" spans="4:11" x14ac:dyDescent="0.3">
      <c r="F195" s="94"/>
    </row>
    <row r="196" spans="4:11" x14ac:dyDescent="0.3">
      <c r="F196" s="94"/>
    </row>
    <row r="197" spans="4:11" x14ac:dyDescent="0.3">
      <c r="F197" s="94"/>
    </row>
    <row r="198" spans="4:11" x14ac:dyDescent="0.3">
      <c r="F198" s="94"/>
    </row>
    <row r="199" spans="4:11" x14ac:dyDescent="0.3">
      <c r="F199" s="94"/>
    </row>
    <row r="200" spans="4:11" x14ac:dyDescent="0.3">
      <c r="F200" s="94"/>
    </row>
    <row r="201" spans="4:11" x14ac:dyDescent="0.3">
      <c r="F201" s="94"/>
    </row>
    <row r="202" spans="4:11" x14ac:dyDescent="0.3">
      <c r="F202" s="94"/>
    </row>
    <row r="203" spans="4:11" x14ac:dyDescent="0.3">
      <c r="F203" s="94"/>
    </row>
    <row r="204" spans="4:11" x14ac:dyDescent="0.3">
      <c r="F204" s="94"/>
    </row>
    <row r="205" spans="4:11" s="7" customFormat="1" x14ac:dyDescent="0.3">
      <c r="F205" s="98"/>
      <c r="G205"/>
      <c r="H205"/>
      <c r="J205" s="99"/>
      <c r="K205" s="99"/>
    </row>
    <row r="206" spans="4:11" x14ac:dyDescent="0.3">
      <c r="D206" s="15"/>
      <c r="F206" s="94"/>
    </row>
    <row r="207" spans="4:11" x14ac:dyDescent="0.3">
      <c r="F207" s="94"/>
    </row>
    <row r="208" spans="4:11" x14ac:dyDescent="0.3">
      <c r="F208" s="94"/>
    </row>
    <row r="209" spans="4:6" x14ac:dyDescent="0.3">
      <c r="F209" s="94"/>
    </row>
    <row r="210" spans="4:6" x14ac:dyDescent="0.3">
      <c r="F210" s="94"/>
    </row>
    <row r="211" spans="4:6" x14ac:dyDescent="0.3">
      <c r="F211" s="94"/>
    </row>
    <row r="212" spans="4:6" x14ac:dyDescent="0.3">
      <c r="F212" s="94"/>
    </row>
    <row r="213" spans="4:6" x14ac:dyDescent="0.3">
      <c r="F213" s="94"/>
    </row>
    <row r="214" spans="4:6" x14ac:dyDescent="0.3">
      <c r="F214" s="94"/>
    </row>
    <row r="215" spans="4:6" x14ac:dyDescent="0.3">
      <c r="F215" s="94"/>
    </row>
    <row r="216" spans="4:6" x14ac:dyDescent="0.3">
      <c r="F216" s="94"/>
    </row>
    <row r="217" spans="4:6" x14ac:dyDescent="0.3">
      <c r="F217" s="94"/>
    </row>
    <row r="218" spans="4:6" x14ac:dyDescent="0.3">
      <c r="F218" s="94"/>
    </row>
    <row r="219" spans="4:6" x14ac:dyDescent="0.3">
      <c r="D219" s="97"/>
      <c r="F219" s="94"/>
    </row>
    <row r="220" spans="4:6" x14ac:dyDescent="0.3">
      <c r="D220" s="97"/>
      <c r="F220" s="94"/>
    </row>
    <row r="221" spans="4:6" x14ac:dyDescent="0.3">
      <c r="D221" s="97"/>
      <c r="F221" s="94"/>
    </row>
    <row r="222" spans="4:6" x14ac:dyDescent="0.3">
      <c r="D222" s="97"/>
      <c r="F222" s="94"/>
    </row>
    <row r="223" spans="4:6" x14ac:dyDescent="0.3">
      <c r="D223" s="97"/>
      <c r="F223" s="94"/>
    </row>
    <row r="224" spans="4:6" x14ac:dyDescent="0.3">
      <c r="D224" s="97"/>
      <c r="F224" s="94"/>
    </row>
    <row r="225" spans="4:6" x14ac:dyDescent="0.3">
      <c r="D225" s="97"/>
      <c r="F225" s="94"/>
    </row>
    <row r="226" spans="4:6" x14ac:dyDescent="0.3">
      <c r="D226" s="97"/>
      <c r="F226" s="94"/>
    </row>
    <row r="227" spans="4:6" x14ac:dyDescent="0.3">
      <c r="F227" s="94"/>
    </row>
    <row r="228" spans="4:6" x14ac:dyDescent="0.3">
      <c r="F228" s="94"/>
    </row>
    <row r="229" spans="4:6" x14ac:dyDescent="0.3">
      <c r="F229" s="94"/>
    </row>
    <row r="230" spans="4:6" x14ac:dyDescent="0.3">
      <c r="F230" s="94"/>
    </row>
    <row r="231" spans="4:6" x14ac:dyDescent="0.3">
      <c r="F231" s="94"/>
    </row>
    <row r="232" spans="4:6" x14ac:dyDescent="0.3">
      <c r="F232" s="94"/>
    </row>
    <row r="233" spans="4:6" x14ac:dyDescent="0.3">
      <c r="F233" s="94"/>
    </row>
    <row r="234" spans="4:6" x14ac:dyDescent="0.3">
      <c r="F234" s="94"/>
    </row>
    <row r="235" spans="4:6" x14ac:dyDescent="0.3">
      <c r="F235" s="94"/>
    </row>
    <row r="236" spans="4:6" x14ac:dyDescent="0.3">
      <c r="F236" s="94"/>
    </row>
    <row r="237" spans="4:6" x14ac:dyDescent="0.3">
      <c r="F237" s="94"/>
    </row>
    <row r="238" spans="4:6" x14ac:dyDescent="0.3">
      <c r="F238" s="94"/>
    </row>
    <row r="239" spans="4:6" x14ac:dyDescent="0.3">
      <c r="F239" s="94"/>
    </row>
    <row r="240" spans="4:6" x14ac:dyDescent="0.3">
      <c r="F240" s="94"/>
    </row>
    <row r="241" spans="6:6" x14ac:dyDescent="0.3">
      <c r="F241" s="94"/>
    </row>
    <row r="242" spans="6:6" x14ac:dyDescent="0.3">
      <c r="F242" s="94"/>
    </row>
    <row r="243" spans="6:6" x14ac:dyDescent="0.3">
      <c r="F243" s="94"/>
    </row>
    <row r="244" spans="6:6" x14ac:dyDescent="0.3">
      <c r="F244" s="94"/>
    </row>
    <row r="245" spans="6:6" x14ac:dyDescent="0.3">
      <c r="F245" s="94"/>
    </row>
    <row r="246" spans="6:6" x14ac:dyDescent="0.3">
      <c r="F246" s="94"/>
    </row>
    <row r="247" spans="6:6" x14ac:dyDescent="0.3">
      <c r="F247" s="94"/>
    </row>
    <row r="248" spans="6:6" x14ac:dyDescent="0.3">
      <c r="F248" s="94"/>
    </row>
  </sheetData>
  <hyperlinks>
    <hyperlink ref="M11" r:id="rId1" xr:uid="{63B381E2-2D65-4E09-BC49-80D05FD81826}"/>
    <hyperlink ref="M13" r:id="rId2" xr:uid="{067BA35D-27B9-489B-9111-4692A38D6FAD}"/>
  </hyperlinks>
  <pageMargins left="0.7" right="0.7" top="0.75" bottom="0.75" header="0.3" footer="0.3"/>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4:F12"/>
  <sheetViews>
    <sheetView workbookViewId="0">
      <selection activeCell="L29" sqref="L29"/>
    </sheetView>
  </sheetViews>
  <sheetFormatPr defaultRowHeight="14.4" x14ac:dyDescent="0.3"/>
  <cols>
    <col min="4" max="4" width="8.88671875" style="69"/>
  </cols>
  <sheetData>
    <row r="4" spans="3:6" x14ac:dyDescent="0.3">
      <c r="C4" t="s">
        <v>82</v>
      </c>
    </row>
    <row r="6" spans="3:6" x14ac:dyDescent="0.3">
      <c r="C6">
        <v>2015</v>
      </c>
      <c r="D6" s="69">
        <v>250000</v>
      </c>
    </row>
    <row r="7" spans="3:6" x14ac:dyDescent="0.3">
      <c r="C7">
        <v>2016</v>
      </c>
      <c r="D7" s="69">
        <v>500000</v>
      </c>
    </row>
    <row r="8" spans="3:6" x14ac:dyDescent="0.3">
      <c r="C8">
        <v>2017</v>
      </c>
      <c r="D8" s="69">
        <v>700000</v>
      </c>
    </row>
    <row r="9" spans="3:6" x14ac:dyDescent="0.3">
      <c r="C9">
        <v>2018</v>
      </c>
      <c r="D9" s="69">
        <v>750000</v>
      </c>
    </row>
    <row r="11" spans="3:6" x14ac:dyDescent="0.3">
      <c r="E11" t="s">
        <v>84</v>
      </c>
    </row>
    <row r="12" spans="3:6" x14ac:dyDescent="0.3">
      <c r="C12" t="s">
        <v>80</v>
      </c>
      <c r="D12" s="69">
        <v>1000000</v>
      </c>
      <c r="E12">
        <v>5.0000000000000001E-3</v>
      </c>
      <c r="F12">
        <f>E12*D12</f>
        <v>5000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workbookViewId="0">
      <pane xSplit="2" ySplit="4" topLeftCell="C37" activePane="bottomRight" state="frozen"/>
      <selection pane="topRight" activeCell="C1" sqref="C1"/>
      <selection pane="bottomLeft" activeCell="A5" sqref="A5"/>
      <selection pane="bottomRight" activeCell="A63" sqref="A63"/>
    </sheetView>
  </sheetViews>
  <sheetFormatPr defaultRowHeight="14.4" x14ac:dyDescent="0.3"/>
  <cols>
    <col min="1" max="1" width="4.33203125" customWidth="1"/>
    <col min="4" max="4" width="12.77734375" customWidth="1"/>
    <col min="9" max="13" width="12.33203125" customWidth="1"/>
    <col min="14" max="14" width="9" customWidth="1"/>
    <col min="15" max="17" width="10" customWidth="1"/>
    <col min="20" max="20" width="8.88671875" style="1"/>
    <col min="25" max="25" width="8.5546875" customWidth="1"/>
    <col min="26" max="26" width="11.109375" bestFit="1" customWidth="1"/>
    <col min="27" max="27" width="9" customWidth="1"/>
    <col min="28" max="28" width="10.109375" customWidth="1"/>
    <col min="32" max="32" width="2.88671875" customWidth="1"/>
  </cols>
  <sheetData>
    <row r="1" spans="1:33" x14ac:dyDescent="0.3">
      <c r="A1" s="106" t="s">
        <v>131</v>
      </c>
      <c r="S1" s="26" t="s">
        <v>120</v>
      </c>
      <c r="T1" s="105"/>
    </row>
    <row r="2" spans="1:33" x14ac:dyDescent="0.3">
      <c r="C2" s="29" t="s">
        <v>42</v>
      </c>
      <c r="D2" s="29" t="s">
        <v>44</v>
      </c>
      <c r="E2" s="29" t="s">
        <v>21</v>
      </c>
      <c r="F2" s="29" t="s">
        <v>56</v>
      </c>
      <c r="G2" s="29"/>
      <c r="H2" s="29"/>
      <c r="I2" s="29"/>
      <c r="J2" s="109" t="s">
        <v>135</v>
      </c>
      <c r="K2" s="109"/>
      <c r="L2" s="29"/>
      <c r="M2" s="29"/>
      <c r="N2" s="29"/>
      <c r="O2" s="29"/>
      <c r="P2" s="29"/>
      <c r="Q2" s="29"/>
      <c r="R2" s="225"/>
      <c r="S2" t="s">
        <v>123</v>
      </c>
      <c r="AD2" s="9" t="s">
        <v>75</v>
      </c>
    </row>
    <row r="3" spans="1:33" ht="43.2" x14ac:dyDescent="0.3">
      <c r="C3" s="29" t="s">
        <v>43</v>
      </c>
      <c r="D3" s="29" t="s">
        <v>45</v>
      </c>
      <c r="E3" s="29" t="s">
        <v>46</v>
      </c>
      <c r="F3" s="29" t="s">
        <v>57</v>
      </c>
      <c r="G3" s="29" t="s">
        <v>129</v>
      </c>
      <c r="H3" s="29" t="s">
        <v>130</v>
      </c>
      <c r="I3" s="29" t="s">
        <v>132</v>
      </c>
      <c r="J3" s="29" t="s">
        <v>132</v>
      </c>
      <c r="K3" s="29" t="s">
        <v>132</v>
      </c>
      <c r="L3" s="29" t="s">
        <v>49</v>
      </c>
      <c r="M3" s="29" t="s">
        <v>50</v>
      </c>
      <c r="N3" s="29"/>
      <c r="O3" s="29" t="s">
        <v>56</v>
      </c>
      <c r="P3" s="29" t="s">
        <v>60</v>
      </c>
      <c r="Q3" s="29" t="s">
        <v>61</v>
      </c>
      <c r="R3" s="225"/>
      <c r="S3" s="224" t="s">
        <v>36</v>
      </c>
      <c r="T3" s="23" t="s">
        <v>124</v>
      </c>
      <c r="U3" s="224" t="s">
        <v>37</v>
      </c>
      <c r="V3" s="224" t="s">
        <v>38</v>
      </c>
      <c r="W3" s="224" t="s">
        <v>39</v>
      </c>
      <c r="X3" s="23" t="s">
        <v>40</v>
      </c>
      <c r="Y3" s="23" t="s">
        <v>173</v>
      </c>
      <c r="Z3" s="23" t="s">
        <v>173</v>
      </c>
      <c r="AA3" s="23" t="s">
        <v>7</v>
      </c>
      <c r="AB3" s="23" t="s">
        <v>7</v>
      </c>
      <c r="AG3" t="s">
        <v>51</v>
      </c>
    </row>
    <row r="4" spans="1:33" x14ac:dyDescent="0.3">
      <c r="C4" s="29" t="s">
        <v>35</v>
      </c>
      <c r="D4" s="28"/>
      <c r="E4" s="28"/>
      <c r="F4" s="28"/>
      <c r="G4" s="28"/>
      <c r="H4" s="28"/>
      <c r="I4" s="29" t="s">
        <v>7</v>
      </c>
      <c r="J4" s="29" t="s">
        <v>133</v>
      </c>
      <c r="K4" s="29" t="s">
        <v>134</v>
      </c>
      <c r="L4" s="29"/>
      <c r="M4" s="29" t="s">
        <v>51</v>
      </c>
      <c r="N4" s="29"/>
      <c r="O4" s="29" t="s">
        <v>55</v>
      </c>
      <c r="P4" s="29"/>
      <c r="Q4" s="29"/>
      <c r="R4" s="27"/>
      <c r="S4" s="224"/>
      <c r="T4" s="23"/>
      <c r="U4" s="224"/>
      <c r="V4" s="224"/>
      <c r="W4" s="224"/>
      <c r="X4" s="23" t="s">
        <v>41</v>
      </c>
      <c r="Y4" s="23" t="s">
        <v>174</v>
      </c>
      <c r="Z4" s="23" t="s">
        <v>172</v>
      </c>
      <c r="AA4" s="23" t="s">
        <v>174</v>
      </c>
      <c r="AB4" s="23" t="s">
        <v>172</v>
      </c>
      <c r="AC4" s="1" t="s">
        <v>49</v>
      </c>
      <c r="AD4" t="s">
        <v>47</v>
      </c>
      <c r="AE4" t="s">
        <v>48</v>
      </c>
      <c r="AG4" t="s">
        <v>53</v>
      </c>
    </row>
    <row r="5" spans="1:33" x14ac:dyDescent="0.3">
      <c r="B5" s="1">
        <f t="shared" ref="B5:B21" si="0">B6-1</f>
        <v>1962</v>
      </c>
      <c r="C5" s="29"/>
      <c r="D5" s="28"/>
      <c r="E5" s="28"/>
      <c r="F5" s="28"/>
      <c r="G5" s="28"/>
      <c r="H5" s="28"/>
      <c r="I5" s="31">
        <f>J5+K5</f>
        <v>38</v>
      </c>
      <c r="J5" s="108">
        <v>38</v>
      </c>
      <c r="K5" s="108"/>
      <c r="L5" s="110">
        <f>K5/I5</f>
        <v>0</v>
      </c>
      <c r="M5" s="29"/>
      <c r="N5" s="29"/>
      <c r="O5" s="29"/>
      <c r="P5" s="29"/>
      <c r="Q5" s="29"/>
      <c r="R5" s="27"/>
      <c r="S5" s="23"/>
      <c r="T5" s="23"/>
      <c r="U5" s="23"/>
      <c r="V5" s="23"/>
      <c r="W5" s="23"/>
      <c r="X5" s="23"/>
      <c r="Y5" s="23"/>
      <c r="Z5" s="23"/>
      <c r="AA5" s="23"/>
      <c r="AB5" s="23"/>
      <c r="AC5" s="1"/>
    </row>
    <row r="6" spans="1:33" x14ac:dyDescent="0.3">
      <c r="B6" s="1">
        <f t="shared" si="0"/>
        <v>1963</v>
      </c>
      <c r="C6" s="29"/>
      <c r="D6" s="28"/>
      <c r="E6" s="28"/>
      <c r="F6" s="28"/>
      <c r="G6" s="28"/>
      <c r="H6" s="28"/>
      <c r="I6" s="31">
        <f t="shared" ref="I6:I22" si="1">J6+K6</f>
        <v>1118</v>
      </c>
      <c r="J6" s="108">
        <v>1118</v>
      </c>
      <c r="K6" s="108"/>
      <c r="L6" s="110">
        <f t="shared" ref="L6:L61" si="2">K6/I6</f>
        <v>0</v>
      </c>
      <c r="M6" s="29"/>
      <c r="N6" s="29"/>
      <c r="O6" s="29"/>
      <c r="P6" s="29"/>
      <c r="Q6" s="29"/>
      <c r="R6" s="27"/>
      <c r="S6" s="23"/>
      <c r="T6" s="23"/>
      <c r="U6" s="23"/>
      <c r="V6" s="23"/>
      <c r="W6" s="23"/>
      <c r="X6" s="23"/>
      <c r="Y6" s="23"/>
      <c r="Z6" s="23"/>
      <c r="AA6" s="23"/>
      <c r="AB6" s="23"/>
      <c r="AC6" s="1"/>
    </row>
    <row r="7" spans="1:33" x14ac:dyDescent="0.3">
      <c r="B7" s="1">
        <f t="shared" si="0"/>
        <v>1964</v>
      </c>
      <c r="C7" s="29"/>
      <c r="D7" s="28"/>
      <c r="E7" s="28"/>
      <c r="F7" s="28"/>
      <c r="G7" s="28"/>
      <c r="H7" s="28"/>
      <c r="I7" s="31">
        <f t="shared" si="1"/>
        <v>1276</v>
      </c>
      <c r="J7" s="108">
        <v>1276</v>
      </c>
      <c r="K7" s="108"/>
      <c r="L7" s="110">
        <f t="shared" si="2"/>
        <v>0</v>
      </c>
      <c r="M7" s="29"/>
      <c r="N7" s="29"/>
      <c r="O7" s="29"/>
      <c r="P7" s="29"/>
      <c r="Q7" s="29"/>
      <c r="R7" s="27"/>
      <c r="S7" s="23"/>
      <c r="T7" s="23"/>
      <c r="U7" s="23"/>
      <c r="V7" s="23"/>
      <c r="W7" s="23"/>
      <c r="X7" s="23"/>
      <c r="Y7" s="23"/>
      <c r="Z7" s="23"/>
      <c r="AA7" s="23"/>
      <c r="AB7" s="23"/>
      <c r="AC7" s="1"/>
    </row>
    <row r="8" spans="1:33" x14ac:dyDescent="0.3">
      <c r="B8" s="1">
        <f t="shared" si="0"/>
        <v>1965</v>
      </c>
      <c r="C8" s="29"/>
      <c r="D8" s="28"/>
      <c r="E8" s="28"/>
      <c r="F8" s="28"/>
      <c r="G8" s="28"/>
      <c r="H8" s="28"/>
      <c r="I8" s="31">
        <f t="shared" si="1"/>
        <v>317</v>
      </c>
      <c r="J8" s="108">
        <v>317</v>
      </c>
      <c r="K8" s="108"/>
      <c r="L8" s="110">
        <f t="shared" si="2"/>
        <v>0</v>
      </c>
      <c r="M8" s="29"/>
      <c r="N8" s="29"/>
      <c r="O8" s="29"/>
      <c r="P8" s="29"/>
      <c r="Q8" s="29"/>
      <c r="R8" s="27"/>
      <c r="S8" s="23"/>
      <c r="T8" s="23"/>
      <c r="U8" s="23"/>
      <c r="V8" s="23"/>
      <c r="W8" s="23"/>
      <c r="X8" s="23"/>
      <c r="Y8" s="23"/>
      <c r="Z8" s="23"/>
      <c r="AA8" s="23"/>
      <c r="AB8" s="23"/>
      <c r="AC8" s="1"/>
    </row>
    <row r="9" spans="1:33" x14ac:dyDescent="0.3">
      <c r="B9" s="1">
        <f t="shared" si="0"/>
        <v>1966</v>
      </c>
      <c r="C9" s="29"/>
      <c r="D9" s="28"/>
      <c r="E9" s="28"/>
      <c r="F9" s="28"/>
      <c r="G9" s="28"/>
      <c r="H9" s="28"/>
      <c r="I9" s="31">
        <f t="shared" si="1"/>
        <v>278</v>
      </c>
      <c r="J9" s="108">
        <v>278</v>
      </c>
      <c r="K9" s="108"/>
      <c r="L9" s="110">
        <f t="shared" si="2"/>
        <v>0</v>
      </c>
      <c r="M9" s="29"/>
      <c r="N9" s="29"/>
      <c r="O9" s="29"/>
      <c r="P9" s="29"/>
      <c r="Q9" s="29"/>
      <c r="R9" s="27"/>
      <c r="S9" s="23"/>
      <c r="T9" s="23"/>
      <c r="U9" s="23"/>
      <c r="V9" s="23"/>
      <c r="W9" s="23"/>
      <c r="X9" s="23"/>
      <c r="Y9" s="23"/>
      <c r="Z9" s="23"/>
      <c r="AA9" s="23"/>
      <c r="AB9" s="23"/>
      <c r="AC9" s="1"/>
    </row>
    <row r="10" spans="1:33" x14ac:dyDescent="0.3">
      <c r="B10" s="1">
        <f t="shared" si="0"/>
        <v>1967</v>
      </c>
      <c r="C10" s="29"/>
      <c r="D10" s="28"/>
      <c r="E10" s="28"/>
      <c r="F10" s="28"/>
      <c r="G10" s="28"/>
      <c r="H10" s="28"/>
      <c r="I10" s="31">
        <f t="shared" si="1"/>
        <v>717</v>
      </c>
      <c r="J10" s="108">
        <v>717</v>
      </c>
      <c r="K10" s="108"/>
      <c r="L10" s="110">
        <f t="shared" si="2"/>
        <v>0</v>
      </c>
      <c r="M10" s="29"/>
      <c r="N10" s="29"/>
      <c r="O10" s="29"/>
      <c r="P10" s="29"/>
      <c r="Q10" s="29"/>
      <c r="R10" s="27"/>
      <c r="S10" s="23"/>
      <c r="T10" s="23"/>
      <c r="U10" s="23"/>
      <c r="V10" s="23"/>
      <c r="W10" s="23"/>
      <c r="X10" s="23"/>
      <c r="Y10" s="23"/>
      <c r="Z10" s="23"/>
      <c r="AA10" s="23"/>
      <c r="AB10" s="23"/>
      <c r="AC10" s="1"/>
    </row>
    <row r="11" spans="1:33" x14ac:dyDescent="0.3">
      <c r="B11" s="1">
        <f t="shared" si="0"/>
        <v>1968</v>
      </c>
      <c r="C11" s="29"/>
      <c r="D11" s="28"/>
      <c r="E11" s="28"/>
      <c r="F11" s="28"/>
      <c r="G11" s="28"/>
      <c r="H11" s="28"/>
      <c r="I11" s="31">
        <f t="shared" si="1"/>
        <v>1165</v>
      </c>
      <c r="J11" s="108">
        <v>1165</v>
      </c>
      <c r="K11" s="108"/>
      <c r="L11" s="110">
        <f t="shared" si="2"/>
        <v>0</v>
      </c>
      <c r="M11" s="29"/>
      <c r="N11" s="29"/>
      <c r="O11" s="29"/>
      <c r="P11" s="29"/>
      <c r="Q11" s="29"/>
      <c r="R11" s="27"/>
      <c r="S11" s="23"/>
      <c r="T11" s="23"/>
      <c r="U11" s="23"/>
      <c r="V11" s="23"/>
      <c r="W11" s="23"/>
      <c r="X11" s="23"/>
      <c r="Y11" s="23"/>
      <c r="Z11" s="23"/>
      <c r="AA11" s="23"/>
      <c r="AB11" s="23"/>
      <c r="AC11" s="1"/>
    </row>
    <row r="12" spans="1:33" x14ac:dyDescent="0.3">
      <c r="B12" s="1">
        <f t="shared" si="0"/>
        <v>1969</v>
      </c>
      <c r="C12" s="29"/>
      <c r="D12" s="28"/>
      <c r="E12" s="28"/>
      <c r="F12" s="28"/>
      <c r="G12" s="28"/>
      <c r="H12" s="28"/>
      <c r="I12" s="31">
        <f t="shared" si="1"/>
        <v>1127</v>
      </c>
      <c r="J12" s="108">
        <v>1127</v>
      </c>
      <c r="K12" s="108"/>
      <c r="L12" s="110">
        <f t="shared" si="2"/>
        <v>0</v>
      </c>
      <c r="M12" s="29"/>
      <c r="N12" s="29"/>
      <c r="O12" s="29"/>
      <c r="P12" s="29"/>
      <c r="Q12" s="29"/>
      <c r="R12" s="27"/>
      <c r="S12" s="23"/>
      <c r="T12" s="23"/>
      <c r="U12" s="23"/>
      <c r="V12" s="23"/>
      <c r="W12" s="23"/>
      <c r="X12" s="23"/>
      <c r="Y12" s="23"/>
      <c r="Z12" s="23"/>
      <c r="AA12" s="23"/>
      <c r="AB12" s="23"/>
      <c r="AC12" s="1"/>
    </row>
    <row r="13" spans="1:33" x14ac:dyDescent="0.3">
      <c r="B13" s="1">
        <f t="shared" si="0"/>
        <v>1970</v>
      </c>
      <c r="C13" s="29"/>
      <c r="D13" s="28"/>
      <c r="E13" s="28"/>
      <c r="F13" s="28"/>
      <c r="G13" s="28"/>
      <c r="H13" s="28"/>
      <c r="I13" s="31">
        <f t="shared" si="1"/>
        <v>163</v>
      </c>
      <c r="J13" s="108">
        <v>163</v>
      </c>
      <c r="K13" s="108"/>
      <c r="L13" s="110">
        <f t="shared" si="2"/>
        <v>0</v>
      </c>
      <c r="M13" s="29"/>
      <c r="N13" s="29"/>
      <c r="O13" s="29"/>
      <c r="P13" s="29"/>
      <c r="Q13" s="29"/>
      <c r="R13" s="27"/>
      <c r="S13" s="23"/>
      <c r="T13" s="23"/>
      <c r="U13" s="23"/>
      <c r="V13" s="23"/>
      <c r="W13" s="23"/>
      <c r="X13" s="23"/>
      <c r="Y13" s="23"/>
      <c r="Z13" s="23"/>
      <c r="AA13" s="23"/>
      <c r="AB13" s="23"/>
      <c r="AC13" s="1"/>
    </row>
    <row r="14" spans="1:33" x14ac:dyDescent="0.3">
      <c r="B14" s="1">
        <f t="shared" si="0"/>
        <v>1971</v>
      </c>
      <c r="C14" s="29"/>
      <c r="D14" s="28"/>
      <c r="E14" s="28"/>
      <c r="F14" s="28"/>
      <c r="G14" s="28"/>
      <c r="H14" s="28"/>
      <c r="I14" s="31">
        <f t="shared" si="1"/>
        <v>891</v>
      </c>
      <c r="J14" s="108">
        <v>891</v>
      </c>
      <c r="K14" s="108"/>
      <c r="L14" s="110">
        <f t="shared" si="2"/>
        <v>0</v>
      </c>
      <c r="M14" s="29"/>
      <c r="N14" s="29"/>
      <c r="O14" s="29"/>
      <c r="P14" s="29"/>
      <c r="Q14" s="29"/>
      <c r="R14" s="27"/>
      <c r="S14" s="23"/>
      <c r="T14" s="23"/>
      <c r="U14" s="23"/>
      <c r="V14" s="23"/>
      <c r="W14" s="23"/>
      <c r="X14" s="23"/>
      <c r="Y14" s="23"/>
      <c r="Z14" s="23"/>
      <c r="AA14" s="23"/>
      <c r="AB14" s="23"/>
      <c r="AC14" s="1"/>
    </row>
    <row r="15" spans="1:33" x14ac:dyDescent="0.3">
      <c r="B15" s="1">
        <f t="shared" si="0"/>
        <v>1972</v>
      </c>
      <c r="C15" s="29"/>
      <c r="D15" s="28"/>
      <c r="E15" s="28"/>
      <c r="F15" s="28"/>
      <c r="G15" s="28"/>
      <c r="H15" s="28"/>
      <c r="I15" s="31">
        <f t="shared" si="1"/>
        <v>408</v>
      </c>
      <c r="J15" s="108">
        <v>408</v>
      </c>
      <c r="K15" s="108"/>
      <c r="L15" s="110">
        <f t="shared" si="2"/>
        <v>0</v>
      </c>
      <c r="M15" s="29"/>
      <c r="N15" s="29"/>
      <c r="O15" s="29"/>
      <c r="P15" s="29"/>
      <c r="Q15" s="29"/>
      <c r="R15" s="27"/>
      <c r="S15" s="23"/>
      <c r="T15" s="23"/>
      <c r="U15" s="23"/>
      <c r="V15" s="23"/>
      <c r="W15" s="23"/>
      <c r="X15" s="23"/>
      <c r="Y15" s="23"/>
      <c r="Z15" s="23"/>
      <c r="AA15" s="23"/>
      <c r="AB15" s="23"/>
      <c r="AC15" s="1"/>
    </row>
    <row r="16" spans="1:33" x14ac:dyDescent="0.3">
      <c r="B16" s="1">
        <f t="shared" si="0"/>
        <v>1973</v>
      </c>
      <c r="C16" s="29"/>
      <c r="D16" s="28"/>
      <c r="E16" s="28"/>
      <c r="F16" s="28"/>
      <c r="G16" s="28"/>
      <c r="H16" s="28"/>
      <c r="I16" s="31">
        <f t="shared" si="1"/>
        <v>192</v>
      </c>
      <c r="J16" s="108">
        <v>192</v>
      </c>
      <c r="K16" s="108"/>
      <c r="L16" s="110">
        <f t="shared" si="2"/>
        <v>0</v>
      </c>
      <c r="M16" s="29"/>
      <c r="N16" s="29"/>
      <c r="O16" s="29"/>
      <c r="P16" s="29"/>
      <c r="Q16" s="29"/>
      <c r="R16" s="27"/>
      <c r="S16" s="23"/>
      <c r="T16" s="23"/>
      <c r="U16" s="23"/>
      <c r="V16" s="23"/>
      <c r="W16" s="23"/>
      <c r="X16" s="23"/>
      <c r="Y16" s="23"/>
      <c r="Z16" s="23"/>
      <c r="AA16" s="23"/>
      <c r="AB16" s="23"/>
      <c r="AC16" s="1"/>
    </row>
    <row r="17" spans="2:31" x14ac:dyDescent="0.3">
      <c r="B17" s="1">
        <f t="shared" si="0"/>
        <v>1974</v>
      </c>
      <c r="C17" s="29"/>
      <c r="D17" s="28"/>
      <c r="E17" s="28"/>
      <c r="F17" s="28"/>
      <c r="G17" s="28"/>
      <c r="H17" s="28"/>
      <c r="I17" s="31">
        <f t="shared" si="1"/>
        <v>124</v>
      </c>
      <c r="J17" s="108">
        <v>124</v>
      </c>
      <c r="K17" s="108"/>
      <c r="L17" s="110">
        <f t="shared" si="2"/>
        <v>0</v>
      </c>
      <c r="M17" s="29"/>
      <c r="N17" s="29"/>
      <c r="O17" s="29"/>
      <c r="P17" s="29"/>
      <c r="Q17" s="29"/>
      <c r="R17" s="27"/>
      <c r="S17" s="23"/>
      <c r="T17" s="23"/>
      <c r="U17" s="23"/>
      <c r="V17" s="23"/>
      <c r="W17" s="23"/>
      <c r="X17" s="23"/>
      <c r="Y17" s="23"/>
      <c r="Z17" s="23"/>
      <c r="AA17" s="23"/>
      <c r="AB17" s="23"/>
      <c r="AC17" s="1"/>
    </row>
    <row r="18" spans="2:31" x14ac:dyDescent="0.3">
      <c r="B18" s="1">
        <f t="shared" si="0"/>
        <v>1975</v>
      </c>
      <c r="C18" s="29"/>
      <c r="D18" s="28"/>
      <c r="E18" s="28"/>
      <c r="F18" s="28"/>
      <c r="G18" s="28"/>
      <c r="H18" s="28"/>
      <c r="I18" s="31">
        <f t="shared" si="1"/>
        <v>209</v>
      </c>
      <c r="J18" s="108">
        <v>209</v>
      </c>
      <c r="K18" s="108"/>
      <c r="L18" s="110">
        <f t="shared" si="2"/>
        <v>0</v>
      </c>
      <c r="M18" s="29"/>
      <c r="N18" s="29"/>
      <c r="O18" s="29"/>
      <c r="P18" s="29"/>
      <c r="Q18" s="29"/>
      <c r="R18" s="27"/>
      <c r="S18" s="23"/>
      <c r="T18" s="23"/>
      <c r="U18" s="23"/>
      <c r="V18" s="23"/>
      <c r="W18" s="23"/>
      <c r="X18" s="23"/>
      <c r="Y18" s="23"/>
      <c r="Z18" s="23"/>
      <c r="AA18" s="23"/>
      <c r="AB18" s="23"/>
      <c r="AC18" s="1"/>
    </row>
    <row r="19" spans="2:31" x14ac:dyDescent="0.3">
      <c r="B19" s="1">
        <f t="shared" si="0"/>
        <v>1976</v>
      </c>
      <c r="C19" s="29"/>
      <c r="D19" s="28"/>
      <c r="E19" s="28"/>
      <c r="F19" s="28"/>
      <c r="G19" s="28"/>
      <c r="H19" s="28"/>
      <c r="I19" s="31">
        <f t="shared" si="1"/>
        <v>531</v>
      </c>
      <c r="J19" s="108">
        <v>531</v>
      </c>
      <c r="K19" s="108"/>
      <c r="L19" s="110">
        <f t="shared" si="2"/>
        <v>0</v>
      </c>
      <c r="M19" s="29"/>
      <c r="N19" s="29"/>
      <c r="O19" s="29"/>
      <c r="P19" s="29"/>
      <c r="Q19" s="29"/>
      <c r="R19" s="27"/>
      <c r="S19" s="23"/>
      <c r="T19" s="23"/>
      <c r="U19" s="23"/>
      <c r="V19" s="23"/>
      <c r="W19" s="23"/>
      <c r="X19" s="23"/>
      <c r="Y19" s="23"/>
      <c r="Z19" s="23"/>
      <c r="AA19" s="23"/>
      <c r="AB19" s="23"/>
      <c r="AC19" s="1"/>
    </row>
    <row r="20" spans="2:31" x14ac:dyDescent="0.3">
      <c r="B20" s="1">
        <f t="shared" si="0"/>
        <v>1977</v>
      </c>
      <c r="C20" s="29"/>
      <c r="D20" s="28"/>
      <c r="E20" s="28"/>
      <c r="F20" s="28"/>
      <c r="G20" s="28"/>
      <c r="H20" s="28"/>
      <c r="I20" s="31">
        <f t="shared" si="1"/>
        <v>458</v>
      </c>
      <c r="J20" s="108">
        <v>458</v>
      </c>
      <c r="K20" s="108"/>
      <c r="L20" s="110">
        <f t="shared" si="2"/>
        <v>0</v>
      </c>
      <c r="M20" s="29"/>
      <c r="N20" s="29"/>
      <c r="O20" s="29"/>
      <c r="P20" s="29"/>
      <c r="Q20" s="29"/>
      <c r="R20" s="27"/>
      <c r="S20" s="23"/>
      <c r="T20" s="23"/>
      <c r="U20" s="23"/>
      <c r="V20" s="23"/>
      <c r="W20" s="23"/>
      <c r="X20" s="23"/>
      <c r="Y20" s="23"/>
      <c r="Z20" s="23"/>
      <c r="AA20" s="23"/>
      <c r="AB20" s="23"/>
      <c r="AC20" s="1"/>
    </row>
    <row r="21" spans="2:31" x14ac:dyDescent="0.3">
      <c r="B21" s="1">
        <f t="shared" si="0"/>
        <v>1978</v>
      </c>
      <c r="C21" s="29"/>
      <c r="D21" s="28"/>
      <c r="E21" s="28"/>
      <c r="F21" s="28"/>
      <c r="G21" s="28"/>
      <c r="H21" s="28"/>
      <c r="I21" s="31">
        <f t="shared" si="1"/>
        <v>123</v>
      </c>
      <c r="J21" s="108">
        <v>123</v>
      </c>
      <c r="K21" s="108"/>
      <c r="L21" s="110">
        <f t="shared" si="2"/>
        <v>0</v>
      </c>
      <c r="M21" s="29"/>
      <c r="N21" s="29"/>
      <c r="O21" s="29"/>
      <c r="P21" s="29"/>
      <c r="Q21" s="29"/>
      <c r="R21" s="27"/>
      <c r="S21" s="23"/>
      <c r="T21" s="23"/>
      <c r="U21" s="23"/>
      <c r="V21" s="23"/>
      <c r="W21" s="23"/>
      <c r="X21" s="23"/>
      <c r="Y21" s="23"/>
      <c r="Z21" s="23"/>
      <c r="AA21" s="23"/>
      <c r="AB21" s="23"/>
      <c r="AC21" s="1"/>
    </row>
    <row r="22" spans="2:31" x14ac:dyDescent="0.3">
      <c r="B22" s="1">
        <f>B23-1</f>
        <v>1979</v>
      </c>
      <c r="C22" s="29"/>
      <c r="D22" s="28"/>
      <c r="E22" s="28"/>
      <c r="F22" s="28"/>
      <c r="G22" s="28"/>
      <c r="H22" s="28"/>
      <c r="I22" s="31">
        <f t="shared" si="1"/>
        <v>25</v>
      </c>
      <c r="J22" s="108">
        <v>25</v>
      </c>
      <c r="K22" s="108"/>
      <c r="L22" s="110">
        <f t="shared" si="2"/>
        <v>0</v>
      </c>
      <c r="M22" s="29"/>
      <c r="N22" s="29"/>
      <c r="O22" s="29"/>
      <c r="P22" s="29"/>
      <c r="Q22" s="29"/>
      <c r="R22" s="27"/>
      <c r="S22" s="23"/>
      <c r="T22" s="23"/>
      <c r="U22" s="23"/>
      <c r="V22" s="23"/>
      <c r="W22" s="23"/>
      <c r="X22" s="23"/>
      <c r="Y22" s="23"/>
      <c r="Z22" s="23"/>
      <c r="AA22" s="23"/>
      <c r="AB22" s="23"/>
      <c r="AC22" s="1"/>
    </row>
    <row r="23" spans="2:31" x14ac:dyDescent="0.3">
      <c r="B23" s="29">
        <v>1980</v>
      </c>
      <c r="C23" s="30">
        <v>107</v>
      </c>
      <c r="D23" s="30">
        <v>0</v>
      </c>
      <c r="E23" s="30">
        <v>1</v>
      </c>
      <c r="F23" s="30">
        <f>E23+D23</f>
        <v>1</v>
      </c>
      <c r="G23" s="30"/>
      <c r="H23" s="30"/>
      <c r="I23" s="30">
        <v>96</v>
      </c>
      <c r="J23" s="108">
        <v>114</v>
      </c>
      <c r="K23" s="108"/>
      <c r="L23" s="110">
        <f t="shared" si="2"/>
        <v>0</v>
      </c>
      <c r="M23" s="34">
        <f t="shared" ref="M23:M50" si="3">I23/(C23-F23)</f>
        <v>0.90566037735849059</v>
      </c>
      <c r="N23" s="34"/>
      <c r="O23" s="34"/>
      <c r="P23" s="34"/>
      <c r="Q23" s="34"/>
      <c r="R23" s="27"/>
      <c r="AD23">
        <f t="shared" ref="AD23:AD59" si="4">I23-U23-V23-W23-X23</f>
        <v>96</v>
      </c>
      <c r="AE23">
        <f t="shared" ref="AE23:AE59" si="5">C23-I23</f>
        <v>11</v>
      </c>
    </row>
    <row r="24" spans="2:31" x14ac:dyDescent="0.3">
      <c r="B24" s="29">
        <v>1981</v>
      </c>
      <c r="C24" s="30">
        <v>236</v>
      </c>
      <c r="D24" s="30">
        <v>0</v>
      </c>
      <c r="E24" s="30">
        <v>6</v>
      </c>
      <c r="F24" s="30">
        <f t="shared" ref="F24:F50" si="6">E24+D24</f>
        <v>6</v>
      </c>
      <c r="G24" s="30"/>
      <c r="H24" s="30"/>
      <c r="I24" s="30">
        <v>218</v>
      </c>
      <c r="J24" s="108">
        <v>218</v>
      </c>
      <c r="K24" s="108"/>
      <c r="L24" s="110">
        <f t="shared" si="2"/>
        <v>0</v>
      </c>
      <c r="M24" s="34">
        <f t="shared" si="3"/>
        <v>0.94782608695652171</v>
      </c>
      <c r="N24" s="34"/>
      <c r="O24" s="34"/>
      <c r="P24" s="34"/>
      <c r="Q24" s="34"/>
      <c r="R24" s="27"/>
      <c r="AD24">
        <f t="shared" si="4"/>
        <v>218</v>
      </c>
      <c r="AE24">
        <f t="shared" si="5"/>
        <v>18</v>
      </c>
    </row>
    <row r="25" spans="2:31" x14ac:dyDescent="0.3">
      <c r="B25" s="29">
        <v>1982</v>
      </c>
      <c r="C25" s="30">
        <v>257</v>
      </c>
      <c r="D25" s="30">
        <v>1</v>
      </c>
      <c r="E25" s="30">
        <v>4</v>
      </c>
      <c r="F25" s="30">
        <f t="shared" si="6"/>
        <v>5</v>
      </c>
      <c r="G25" s="30"/>
      <c r="H25" s="30"/>
      <c r="I25" s="30">
        <v>211</v>
      </c>
      <c r="J25" s="108">
        <v>211</v>
      </c>
      <c r="K25" s="108"/>
      <c r="L25" s="110">
        <f t="shared" si="2"/>
        <v>0</v>
      </c>
      <c r="M25" s="34">
        <f t="shared" si="3"/>
        <v>0.83730158730158732</v>
      </c>
      <c r="N25" s="34"/>
      <c r="O25" s="34"/>
      <c r="P25" s="34"/>
      <c r="Q25" s="34"/>
      <c r="R25" s="27"/>
      <c r="AD25">
        <f t="shared" si="4"/>
        <v>211</v>
      </c>
      <c r="AE25">
        <f t="shared" si="5"/>
        <v>46</v>
      </c>
    </row>
    <row r="26" spans="2:31" x14ac:dyDescent="0.3">
      <c r="B26" s="29">
        <v>1983</v>
      </c>
      <c r="C26" s="30">
        <v>241</v>
      </c>
      <c r="D26" s="30">
        <v>0</v>
      </c>
      <c r="E26" s="30">
        <v>8</v>
      </c>
      <c r="F26" s="30">
        <f t="shared" si="6"/>
        <v>8</v>
      </c>
      <c r="G26" s="30"/>
      <c r="H26" s="30"/>
      <c r="I26" s="30">
        <v>216</v>
      </c>
      <c r="J26" s="108">
        <v>122</v>
      </c>
      <c r="K26" s="108"/>
      <c r="L26" s="110">
        <f t="shared" si="2"/>
        <v>0</v>
      </c>
      <c r="M26" s="34">
        <f t="shared" si="3"/>
        <v>0.92703862660944203</v>
      </c>
      <c r="N26" s="34"/>
      <c r="O26" s="34"/>
      <c r="P26" s="34"/>
      <c r="Q26" s="34"/>
      <c r="R26" s="27"/>
      <c r="AD26">
        <f t="shared" si="4"/>
        <v>216</v>
      </c>
      <c r="AE26">
        <f t="shared" si="5"/>
        <v>25</v>
      </c>
    </row>
    <row r="27" spans="2:31" x14ac:dyDescent="0.3">
      <c r="B27" s="29">
        <v>1984</v>
      </c>
      <c r="C27" s="30">
        <v>148</v>
      </c>
      <c r="D27" s="30">
        <v>9</v>
      </c>
      <c r="E27" s="30">
        <v>23</v>
      </c>
      <c r="F27" s="30">
        <f t="shared" si="6"/>
        <v>32</v>
      </c>
      <c r="G27" s="30"/>
      <c r="H27" s="30"/>
      <c r="I27" s="30">
        <v>105</v>
      </c>
      <c r="J27" s="108">
        <v>47</v>
      </c>
      <c r="K27" s="108"/>
      <c r="L27" s="110">
        <f t="shared" si="2"/>
        <v>0</v>
      </c>
      <c r="M27" s="34">
        <f t="shared" si="3"/>
        <v>0.90517241379310343</v>
      </c>
      <c r="N27" s="34"/>
      <c r="O27" s="34"/>
      <c r="P27" s="34"/>
      <c r="Q27" s="34"/>
      <c r="R27" s="27"/>
      <c r="AD27">
        <f t="shared" si="4"/>
        <v>105</v>
      </c>
      <c r="AE27">
        <f t="shared" si="5"/>
        <v>43</v>
      </c>
    </row>
    <row r="28" spans="2:31" x14ac:dyDescent="0.3">
      <c r="B28" s="29">
        <v>1985</v>
      </c>
      <c r="C28" s="30">
        <v>59</v>
      </c>
      <c r="D28" s="30">
        <v>10</v>
      </c>
      <c r="E28" s="30">
        <v>15</v>
      </c>
      <c r="F28" s="30">
        <f t="shared" si="6"/>
        <v>25</v>
      </c>
      <c r="G28" s="30"/>
      <c r="H28" s="30"/>
      <c r="I28" s="30">
        <v>35</v>
      </c>
      <c r="J28" s="108">
        <v>49</v>
      </c>
      <c r="K28" s="108"/>
      <c r="L28" s="110">
        <f t="shared" si="2"/>
        <v>0</v>
      </c>
      <c r="M28" s="34">
        <f t="shared" si="3"/>
        <v>1.0294117647058822</v>
      </c>
      <c r="N28" s="34"/>
      <c r="O28" s="34"/>
      <c r="P28" s="34"/>
      <c r="Q28" s="34"/>
      <c r="R28" s="27"/>
      <c r="S28" s="1">
        <f>T28</f>
        <v>14</v>
      </c>
      <c r="T28" s="1">
        <v>14</v>
      </c>
      <c r="U28" s="1">
        <f>T28</f>
        <v>14</v>
      </c>
      <c r="AD28">
        <f t="shared" si="4"/>
        <v>21</v>
      </c>
      <c r="AE28">
        <f t="shared" si="5"/>
        <v>24</v>
      </c>
    </row>
    <row r="29" spans="2:31" x14ac:dyDescent="0.3">
      <c r="B29" s="29">
        <v>1986</v>
      </c>
      <c r="C29" s="30">
        <v>24</v>
      </c>
      <c r="D29" s="30">
        <v>1</v>
      </c>
      <c r="E29" s="30">
        <v>3</v>
      </c>
      <c r="F29" s="30">
        <f t="shared" si="6"/>
        <v>4</v>
      </c>
      <c r="G29" s="30"/>
      <c r="H29" s="30"/>
      <c r="I29" s="30">
        <v>20</v>
      </c>
      <c r="J29" s="108">
        <v>24</v>
      </c>
      <c r="K29" s="108"/>
      <c r="L29" s="110">
        <f t="shared" si="2"/>
        <v>0</v>
      </c>
      <c r="M29" s="34">
        <f t="shared" si="3"/>
        <v>1</v>
      </c>
      <c r="N29" s="34"/>
      <c r="O29" s="34"/>
      <c r="P29" s="34"/>
      <c r="Q29" s="34"/>
      <c r="R29" s="27"/>
      <c r="S29" s="1">
        <f t="shared" ref="S29:S41" si="7">T29</f>
        <v>29</v>
      </c>
      <c r="T29" s="1">
        <v>29</v>
      </c>
      <c r="U29" s="1">
        <f t="shared" ref="U29:U41" si="8">T29</f>
        <v>29</v>
      </c>
      <c r="AD29">
        <f t="shared" si="4"/>
        <v>-9</v>
      </c>
      <c r="AE29">
        <f t="shared" si="5"/>
        <v>4</v>
      </c>
    </row>
    <row r="30" spans="2:31" x14ac:dyDescent="0.3">
      <c r="B30" s="29">
        <v>1987</v>
      </c>
      <c r="C30" s="30">
        <v>55</v>
      </c>
      <c r="D30" s="30">
        <v>11</v>
      </c>
      <c r="E30" s="30">
        <v>15</v>
      </c>
      <c r="F30" s="30">
        <f t="shared" si="6"/>
        <v>26</v>
      </c>
      <c r="G30" s="30"/>
      <c r="H30" s="30"/>
      <c r="I30" s="30">
        <v>29</v>
      </c>
      <c r="J30" s="108">
        <v>29</v>
      </c>
      <c r="K30" s="108"/>
      <c r="L30" s="110">
        <f t="shared" si="2"/>
        <v>0</v>
      </c>
      <c r="M30" s="34">
        <f t="shared" si="3"/>
        <v>1</v>
      </c>
      <c r="N30" s="34"/>
      <c r="O30" s="34"/>
      <c r="P30" s="34"/>
      <c r="Q30" s="34"/>
      <c r="R30" s="27"/>
      <c r="S30" s="1">
        <f t="shared" si="7"/>
        <v>16</v>
      </c>
      <c r="T30" s="1">
        <v>16</v>
      </c>
      <c r="U30" s="1">
        <f t="shared" si="8"/>
        <v>16</v>
      </c>
      <c r="AD30">
        <f t="shared" si="4"/>
        <v>13</v>
      </c>
      <c r="AE30">
        <f t="shared" si="5"/>
        <v>26</v>
      </c>
    </row>
    <row r="31" spans="2:31" x14ac:dyDescent="0.3">
      <c r="B31" s="29">
        <v>1988</v>
      </c>
      <c r="C31" s="30">
        <v>45</v>
      </c>
      <c r="D31" s="30">
        <v>8</v>
      </c>
      <c r="E31" s="30">
        <v>14</v>
      </c>
      <c r="F31" s="30">
        <f t="shared" si="6"/>
        <v>22</v>
      </c>
      <c r="G31" s="30"/>
      <c r="H31" s="30"/>
      <c r="I31" s="30">
        <v>23</v>
      </c>
      <c r="J31" s="108">
        <v>23</v>
      </c>
      <c r="K31" s="108"/>
      <c r="L31" s="110">
        <f t="shared" si="2"/>
        <v>0</v>
      </c>
      <c r="M31" s="34">
        <f t="shared" si="3"/>
        <v>1</v>
      </c>
      <c r="N31" s="34"/>
      <c r="O31" s="34"/>
      <c r="P31" s="34"/>
      <c r="Q31" s="34"/>
      <c r="R31" s="27"/>
      <c r="S31" s="1">
        <f t="shared" si="7"/>
        <v>1</v>
      </c>
      <c r="T31" s="1">
        <v>1</v>
      </c>
      <c r="U31" s="1">
        <f t="shared" si="8"/>
        <v>1</v>
      </c>
      <c r="AD31">
        <f t="shared" si="4"/>
        <v>22</v>
      </c>
      <c r="AE31">
        <f t="shared" si="5"/>
        <v>22</v>
      </c>
    </row>
    <row r="32" spans="2:31" x14ac:dyDescent="0.3">
      <c r="B32" s="29">
        <v>1989</v>
      </c>
      <c r="C32" s="30">
        <v>4</v>
      </c>
      <c r="D32" s="30">
        <v>0</v>
      </c>
      <c r="E32" s="30">
        <v>0</v>
      </c>
      <c r="F32" s="30">
        <f t="shared" si="6"/>
        <v>0</v>
      </c>
      <c r="G32" s="30"/>
      <c r="H32" s="30"/>
      <c r="I32" s="30">
        <v>4</v>
      </c>
      <c r="J32" s="108">
        <v>4</v>
      </c>
      <c r="K32" s="108"/>
      <c r="L32" s="110">
        <f t="shared" si="2"/>
        <v>0</v>
      </c>
      <c r="M32" s="34">
        <f t="shared" si="3"/>
        <v>1</v>
      </c>
      <c r="N32" s="34"/>
      <c r="O32" s="34"/>
      <c r="P32" s="34"/>
      <c r="Q32" s="34"/>
      <c r="R32" s="27"/>
      <c r="S32" s="1">
        <f t="shared" si="7"/>
        <v>1</v>
      </c>
      <c r="T32" s="1">
        <v>1</v>
      </c>
      <c r="U32" s="1">
        <f t="shared" si="8"/>
        <v>1</v>
      </c>
      <c r="AD32">
        <f t="shared" si="4"/>
        <v>3</v>
      </c>
      <c r="AE32">
        <f t="shared" si="5"/>
        <v>0</v>
      </c>
    </row>
    <row r="33" spans="2:33" x14ac:dyDescent="0.3">
      <c r="B33" s="29">
        <v>1990</v>
      </c>
      <c r="C33" s="30">
        <v>1</v>
      </c>
      <c r="D33" s="30">
        <v>0</v>
      </c>
      <c r="E33" s="30">
        <v>0</v>
      </c>
      <c r="F33" s="30">
        <f t="shared" si="6"/>
        <v>0</v>
      </c>
      <c r="G33" s="30"/>
      <c r="H33" s="30"/>
      <c r="I33" s="30">
        <v>1</v>
      </c>
      <c r="J33" s="108">
        <v>0</v>
      </c>
      <c r="K33" s="108"/>
      <c r="L33" s="110">
        <f t="shared" si="2"/>
        <v>0</v>
      </c>
      <c r="M33" s="34">
        <f t="shared" si="3"/>
        <v>1</v>
      </c>
      <c r="N33" s="34"/>
      <c r="O33" s="34"/>
      <c r="P33" s="34"/>
      <c r="Q33" s="34"/>
      <c r="R33" s="27"/>
      <c r="S33" s="1">
        <f t="shared" si="7"/>
        <v>0</v>
      </c>
      <c r="T33" s="1">
        <v>0</v>
      </c>
      <c r="U33" s="1">
        <f t="shared" si="8"/>
        <v>0</v>
      </c>
      <c r="AD33">
        <f t="shared" si="4"/>
        <v>1</v>
      </c>
      <c r="AE33">
        <f t="shared" si="5"/>
        <v>0</v>
      </c>
    </row>
    <row r="34" spans="2:33" x14ac:dyDescent="0.3">
      <c r="B34" s="29">
        <v>1991</v>
      </c>
      <c r="C34" s="30">
        <v>10</v>
      </c>
      <c r="D34" s="30">
        <v>0</v>
      </c>
      <c r="E34" s="30">
        <v>0</v>
      </c>
      <c r="F34" s="30">
        <f t="shared" si="6"/>
        <v>0</v>
      </c>
      <c r="G34" s="30"/>
      <c r="H34" s="30"/>
      <c r="I34" s="30">
        <v>9</v>
      </c>
      <c r="J34" s="108">
        <v>14</v>
      </c>
      <c r="K34" s="108"/>
      <c r="L34" s="110">
        <f t="shared" si="2"/>
        <v>0</v>
      </c>
      <c r="M34" s="34">
        <f t="shared" si="3"/>
        <v>0.9</v>
      </c>
      <c r="N34" s="34"/>
      <c r="O34" s="34"/>
      <c r="P34" s="34"/>
      <c r="Q34" s="34"/>
      <c r="R34" s="27"/>
      <c r="S34" s="1">
        <f t="shared" si="7"/>
        <v>4</v>
      </c>
      <c r="T34" s="1">
        <v>4</v>
      </c>
      <c r="U34" s="1">
        <f t="shared" si="8"/>
        <v>4</v>
      </c>
      <c r="AD34">
        <f t="shared" si="4"/>
        <v>5</v>
      </c>
      <c r="AE34">
        <f t="shared" si="5"/>
        <v>1</v>
      </c>
    </row>
    <row r="35" spans="2:33" x14ac:dyDescent="0.3">
      <c r="B35" s="29">
        <v>1992</v>
      </c>
      <c r="C35" s="30">
        <v>2</v>
      </c>
      <c r="D35" s="30">
        <v>0</v>
      </c>
      <c r="E35" s="30">
        <v>0</v>
      </c>
      <c r="F35" s="30">
        <f t="shared" si="6"/>
        <v>0</v>
      </c>
      <c r="G35" s="30"/>
      <c r="H35" s="30"/>
      <c r="I35" s="30">
        <v>2</v>
      </c>
      <c r="J35" s="108">
        <v>15</v>
      </c>
      <c r="K35" s="108"/>
      <c r="L35" s="110">
        <f t="shared" si="2"/>
        <v>0</v>
      </c>
      <c r="M35" s="34">
        <f t="shared" si="3"/>
        <v>1</v>
      </c>
      <c r="N35" s="34"/>
      <c r="O35" s="34"/>
      <c r="P35" s="34"/>
      <c r="Q35" s="34"/>
      <c r="R35" s="27"/>
      <c r="S35" s="1">
        <f t="shared" si="7"/>
        <v>1</v>
      </c>
      <c r="T35" s="1">
        <v>1</v>
      </c>
      <c r="U35" s="1">
        <f t="shared" si="8"/>
        <v>1</v>
      </c>
      <c r="AD35">
        <f t="shared" si="4"/>
        <v>1</v>
      </c>
      <c r="AE35">
        <f t="shared" si="5"/>
        <v>0</v>
      </c>
    </row>
    <row r="36" spans="2:33" x14ac:dyDescent="0.3">
      <c r="B36" s="29">
        <v>1993</v>
      </c>
      <c r="C36" s="30">
        <v>18</v>
      </c>
      <c r="D36" s="30">
        <v>0</v>
      </c>
      <c r="E36" s="30">
        <v>1</v>
      </c>
      <c r="F36" s="30">
        <f t="shared" si="6"/>
        <v>1</v>
      </c>
      <c r="G36" s="30"/>
      <c r="H36" s="30"/>
      <c r="I36" s="30">
        <v>17</v>
      </c>
      <c r="J36" s="108">
        <v>12</v>
      </c>
      <c r="K36" s="108"/>
      <c r="L36" s="110">
        <f t="shared" si="2"/>
        <v>0</v>
      </c>
      <c r="M36" s="34">
        <f t="shared" si="3"/>
        <v>1</v>
      </c>
      <c r="N36" s="34"/>
      <c r="O36" s="34"/>
      <c r="P36" s="34"/>
      <c r="Q36" s="34"/>
      <c r="R36" s="27"/>
      <c r="S36" s="1">
        <f t="shared" si="7"/>
        <v>8</v>
      </c>
      <c r="T36" s="1">
        <v>8</v>
      </c>
      <c r="U36" s="1">
        <f t="shared" si="8"/>
        <v>8</v>
      </c>
      <c r="AD36">
        <f t="shared" si="4"/>
        <v>9</v>
      </c>
      <c r="AE36">
        <f t="shared" si="5"/>
        <v>1</v>
      </c>
    </row>
    <row r="37" spans="2:33" x14ac:dyDescent="0.3">
      <c r="B37" s="29">
        <v>1994</v>
      </c>
      <c r="C37" s="30">
        <v>3</v>
      </c>
      <c r="D37" s="30">
        <v>0</v>
      </c>
      <c r="E37" s="30">
        <v>0</v>
      </c>
      <c r="F37" s="30">
        <f t="shared" si="6"/>
        <v>0</v>
      </c>
      <c r="G37" s="30"/>
      <c r="H37" s="30"/>
      <c r="I37" s="30">
        <v>3</v>
      </c>
      <c r="J37" s="108">
        <v>5</v>
      </c>
      <c r="K37" s="108"/>
      <c r="L37" s="110">
        <f t="shared" si="2"/>
        <v>0</v>
      </c>
      <c r="M37" s="34">
        <f t="shared" si="3"/>
        <v>1</v>
      </c>
      <c r="N37" s="34"/>
      <c r="O37" s="34"/>
      <c r="P37" s="34"/>
      <c r="Q37" s="34"/>
      <c r="R37" s="27"/>
      <c r="S37" s="1">
        <f t="shared" si="7"/>
        <v>1</v>
      </c>
      <c r="T37" s="1">
        <v>1</v>
      </c>
      <c r="U37" s="1">
        <f t="shared" si="8"/>
        <v>1</v>
      </c>
      <c r="AD37">
        <f t="shared" si="4"/>
        <v>2</v>
      </c>
      <c r="AE37">
        <f t="shared" si="5"/>
        <v>0</v>
      </c>
    </row>
    <row r="38" spans="2:33" x14ac:dyDescent="0.3">
      <c r="B38" s="29">
        <v>1995</v>
      </c>
      <c r="C38" s="30">
        <v>5</v>
      </c>
      <c r="D38" s="30">
        <v>0</v>
      </c>
      <c r="E38" s="30">
        <v>0</v>
      </c>
      <c r="F38" s="30">
        <f t="shared" si="6"/>
        <v>0</v>
      </c>
      <c r="G38" s="30"/>
      <c r="H38" s="30"/>
      <c r="I38" s="30">
        <v>5</v>
      </c>
      <c r="J38" s="108">
        <v>3</v>
      </c>
      <c r="K38" s="108"/>
      <c r="L38" s="110">
        <f t="shared" si="2"/>
        <v>0</v>
      </c>
      <c r="M38" s="34">
        <f t="shared" si="3"/>
        <v>1</v>
      </c>
      <c r="N38" s="34"/>
      <c r="O38" s="34"/>
      <c r="P38" s="34"/>
      <c r="Q38" s="34"/>
      <c r="R38" s="27"/>
      <c r="S38" s="1">
        <f t="shared" si="7"/>
        <v>0</v>
      </c>
      <c r="T38" s="1">
        <v>0</v>
      </c>
      <c r="U38" s="1">
        <f t="shared" si="8"/>
        <v>0</v>
      </c>
      <c r="AD38">
        <f t="shared" si="4"/>
        <v>5</v>
      </c>
      <c r="AE38">
        <f t="shared" si="5"/>
        <v>0</v>
      </c>
    </row>
    <row r="39" spans="2:33" x14ac:dyDescent="0.3">
      <c r="B39" s="29">
        <v>1996</v>
      </c>
      <c r="C39" s="30">
        <v>3</v>
      </c>
      <c r="D39" s="30">
        <v>0</v>
      </c>
      <c r="E39" s="30">
        <v>0</v>
      </c>
      <c r="F39" s="30">
        <f t="shared" si="6"/>
        <v>0</v>
      </c>
      <c r="G39" s="30"/>
      <c r="H39" s="30"/>
      <c r="I39" s="30">
        <v>3</v>
      </c>
      <c r="J39" s="108">
        <v>3</v>
      </c>
      <c r="K39" s="108"/>
      <c r="L39" s="110">
        <f t="shared" si="2"/>
        <v>0</v>
      </c>
      <c r="M39" s="34">
        <f t="shared" si="3"/>
        <v>1</v>
      </c>
      <c r="N39" s="34"/>
      <c r="O39" s="34"/>
      <c r="P39" s="34"/>
      <c r="Q39" s="34"/>
      <c r="R39" s="27"/>
      <c r="S39" s="1">
        <f t="shared" si="7"/>
        <v>1</v>
      </c>
      <c r="T39" s="1">
        <v>1</v>
      </c>
      <c r="U39" s="1">
        <f t="shared" si="8"/>
        <v>1</v>
      </c>
      <c r="AD39">
        <f t="shared" si="4"/>
        <v>2</v>
      </c>
      <c r="AE39">
        <f t="shared" si="5"/>
        <v>0</v>
      </c>
    </row>
    <row r="40" spans="2:33" x14ac:dyDescent="0.3">
      <c r="B40" s="29">
        <v>1997</v>
      </c>
      <c r="C40" s="30">
        <v>18</v>
      </c>
      <c r="D40" s="30">
        <v>0</v>
      </c>
      <c r="E40" s="30">
        <v>1</v>
      </c>
      <c r="F40" s="30">
        <f t="shared" si="6"/>
        <v>1</v>
      </c>
      <c r="G40" s="30"/>
      <c r="H40" s="30"/>
      <c r="I40" s="30">
        <v>17</v>
      </c>
      <c r="J40" s="108">
        <v>11</v>
      </c>
      <c r="K40" s="108"/>
      <c r="L40" s="110">
        <f t="shared" si="2"/>
        <v>0</v>
      </c>
      <c r="M40" s="34">
        <f t="shared" si="3"/>
        <v>1</v>
      </c>
      <c r="N40" s="34"/>
      <c r="O40" s="34"/>
      <c r="P40" s="34"/>
      <c r="Q40" s="34"/>
      <c r="R40" s="27"/>
      <c r="S40" s="1">
        <f t="shared" si="7"/>
        <v>0</v>
      </c>
      <c r="T40" s="1">
        <v>0</v>
      </c>
      <c r="U40" s="1">
        <f t="shared" si="8"/>
        <v>0</v>
      </c>
      <c r="AD40">
        <f t="shared" si="4"/>
        <v>17</v>
      </c>
      <c r="AE40">
        <f t="shared" si="5"/>
        <v>1</v>
      </c>
    </row>
    <row r="41" spans="2:33" x14ac:dyDescent="0.3">
      <c r="B41" s="29">
        <v>1998</v>
      </c>
      <c r="C41" s="30">
        <v>4</v>
      </c>
      <c r="D41" s="30">
        <v>0</v>
      </c>
      <c r="E41" s="30">
        <v>0</v>
      </c>
      <c r="F41" s="30">
        <f t="shared" si="6"/>
        <v>0</v>
      </c>
      <c r="G41" s="30"/>
      <c r="H41" s="30"/>
      <c r="I41" s="30">
        <v>3</v>
      </c>
      <c r="J41" s="1">
        <v>2</v>
      </c>
      <c r="K41" s="1">
        <v>0</v>
      </c>
      <c r="L41" s="110">
        <f t="shared" si="2"/>
        <v>0</v>
      </c>
      <c r="M41" s="34">
        <f t="shared" si="3"/>
        <v>0.75</v>
      </c>
      <c r="N41" s="34"/>
      <c r="O41" s="34"/>
      <c r="P41" s="34"/>
      <c r="Q41" s="34"/>
      <c r="R41" s="27"/>
      <c r="S41" s="1">
        <f t="shared" si="7"/>
        <v>1</v>
      </c>
      <c r="T41" s="1">
        <v>1</v>
      </c>
      <c r="U41" s="1">
        <f t="shared" si="8"/>
        <v>1</v>
      </c>
      <c r="AD41">
        <f t="shared" si="4"/>
        <v>2</v>
      </c>
      <c r="AE41">
        <f t="shared" si="5"/>
        <v>1</v>
      </c>
    </row>
    <row r="42" spans="2:33" x14ac:dyDescent="0.3">
      <c r="B42" s="29">
        <v>1999</v>
      </c>
      <c r="C42" s="30">
        <v>19</v>
      </c>
      <c r="D42" s="30">
        <v>0</v>
      </c>
      <c r="E42" s="30">
        <v>1</v>
      </c>
      <c r="F42" s="30">
        <f t="shared" si="6"/>
        <v>1</v>
      </c>
      <c r="G42" s="30"/>
      <c r="H42" s="30"/>
      <c r="I42" s="30">
        <v>18</v>
      </c>
      <c r="J42" s="1">
        <v>0</v>
      </c>
      <c r="K42" s="1">
        <v>14</v>
      </c>
      <c r="L42" s="110">
        <f t="shared" si="2"/>
        <v>0.77777777777777779</v>
      </c>
      <c r="M42" s="34">
        <f t="shared" si="3"/>
        <v>1</v>
      </c>
      <c r="N42" s="34"/>
      <c r="O42" s="34"/>
      <c r="P42" s="34"/>
      <c r="Q42" s="34"/>
      <c r="R42" s="27"/>
      <c r="S42" s="24">
        <v>7</v>
      </c>
      <c r="T42" s="24">
        <v>7</v>
      </c>
      <c r="U42" s="24">
        <v>0</v>
      </c>
      <c r="V42" s="24">
        <v>7</v>
      </c>
      <c r="W42" s="24">
        <v>0</v>
      </c>
      <c r="X42" s="24">
        <v>0</v>
      </c>
      <c r="Y42" s="24"/>
      <c r="Z42" s="24"/>
      <c r="AA42" s="24"/>
      <c r="AB42" s="24"/>
      <c r="AD42">
        <f t="shared" si="4"/>
        <v>11</v>
      </c>
      <c r="AE42">
        <f t="shared" si="5"/>
        <v>1</v>
      </c>
      <c r="AG42" s="33">
        <f t="shared" ref="AG42:AG59" si="9">S42/I42</f>
        <v>0.3888888888888889</v>
      </c>
    </row>
    <row r="43" spans="2:33" x14ac:dyDescent="0.3">
      <c r="B43" s="29">
        <v>2000</v>
      </c>
      <c r="C43" s="30">
        <v>352</v>
      </c>
      <c r="D43" s="30">
        <v>1</v>
      </c>
      <c r="E43" s="30">
        <v>11</v>
      </c>
      <c r="F43" s="30">
        <f t="shared" si="6"/>
        <v>12</v>
      </c>
      <c r="G43" s="30"/>
      <c r="H43" s="30"/>
      <c r="I43" s="30">
        <v>337</v>
      </c>
      <c r="J43" s="1">
        <v>12</v>
      </c>
      <c r="K43" s="1">
        <v>287</v>
      </c>
      <c r="L43" s="110">
        <f t="shared" si="2"/>
        <v>0.85163204747774479</v>
      </c>
      <c r="M43" s="34">
        <f t="shared" si="3"/>
        <v>0.99117647058823533</v>
      </c>
      <c r="N43" s="34"/>
      <c r="O43" s="34"/>
      <c r="P43" s="34"/>
      <c r="Q43" s="34"/>
      <c r="R43" s="27"/>
      <c r="S43" s="24">
        <v>257</v>
      </c>
      <c r="T43" s="24">
        <v>243</v>
      </c>
      <c r="U43" s="24">
        <v>10</v>
      </c>
      <c r="V43" s="24">
        <v>233</v>
      </c>
      <c r="W43" s="24">
        <v>0</v>
      </c>
      <c r="X43" s="24">
        <v>14</v>
      </c>
      <c r="Y43" s="24"/>
      <c r="Z43" s="24"/>
      <c r="AA43" s="24"/>
      <c r="AB43" s="24"/>
      <c r="AD43">
        <f t="shared" si="4"/>
        <v>80</v>
      </c>
      <c r="AE43">
        <f t="shared" si="5"/>
        <v>15</v>
      </c>
      <c r="AG43" s="33">
        <f t="shared" si="9"/>
        <v>0.76261127596439171</v>
      </c>
    </row>
    <row r="44" spans="2:33" x14ac:dyDescent="0.3">
      <c r="B44" s="29">
        <v>2001</v>
      </c>
      <c r="C44" s="30">
        <v>49</v>
      </c>
      <c r="D44" s="30">
        <v>1</v>
      </c>
      <c r="E44" s="30">
        <v>3</v>
      </c>
      <c r="F44" s="30">
        <f t="shared" si="6"/>
        <v>4</v>
      </c>
      <c r="G44" s="30"/>
      <c r="H44" s="30"/>
      <c r="I44" s="30">
        <v>45</v>
      </c>
      <c r="J44" s="1">
        <v>6</v>
      </c>
      <c r="K44" s="1">
        <v>30</v>
      </c>
      <c r="L44" s="110">
        <f t="shared" si="2"/>
        <v>0.66666666666666663</v>
      </c>
      <c r="M44" s="34">
        <f t="shared" si="3"/>
        <v>1</v>
      </c>
      <c r="N44" s="34"/>
      <c r="O44" s="34"/>
      <c r="P44" s="34"/>
      <c r="Q44" s="34"/>
      <c r="R44" s="27"/>
      <c r="S44" s="24">
        <v>26</v>
      </c>
      <c r="T44" s="24">
        <v>23</v>
      </c>
      <c r="U44" s="24">
        <v>4</v>
      </c>
      <c r="V44" s="24">
        <v>19</v>
      </c>
      <c r="W44" s="24">
        <v>0</v>
      </c>
      <c r="X44" s="24">
        <v>3</v>
      </c>
      <c r="Y44" s="24"/>
      <c r="Z44" s="24"/>
      <c r="AA44" s="24"/>
      <c r="AB44" s="24"/>
      <c r="AD44">
        <f t="shared" si="4"/>
        <v>19</v>
      </c>
      <c r="AE44">
        <f t="shared" si="5"/>
        <v>4</v>
      </c>
      <c r="AG44" s="33">
        <f t="shared" si="9"/>
        <v>0.57777777777777772</v>
      </c>
    </row>
    <row r="45" spans="2:33" x14ac:dyDescent="0.3">
      <c r="B45" s="29">
        <v>2002</v>
      </c>
      <c r="C45" s="30">
        <v>77</v>
      </c>
      <c r="D45" s="30">
        <v>0</v>
      </c>
      <c r="E45" s="30">
        <v>4</v>
      </c>
      <c r="F45" s="30">
        <f t="shared" si="6"/>
        <v>4</v>
      </c>
      <c r="G45" s="30"/>
      <c r="H45" s="30"/>
      <c r="I45" s="30">
        <v>73</v>
      </c>
      <c r="J45" s="1">
        <v>26</v>
      </c>
      <c r="K45" s="1">
        <v>29</v>
      </c>
      <c r="L45" s="110">
        <f t="shared" si="2"/>
        <v>0.39726027397260272</v>
      </c>
      <c r="M45" s="34">
        <f t="shared" si="3"/>
        <v>1</v>
      </c>
      <c r="N45" s="34"/>
      <c r="O45" s="34"/>
      <c r="P45" s="34"/>
      <c r="Q45" s="34"/>
      <c r="R45" s="27"/>
      <c r="S45" s="24">
        <v>22</v>
      </c>
      <c r="T45" s="24">
        <v>15</v>
      </c>
      <c r="U45" s="24">
        <v>6</v>
      </c>
      <c r="V45" s="24">
        <v>9</v>
      </c>
      <c r="W45" s="24">
        <v>1</v>
      </c>
      <c r="X45" s="24">
        <v>7</v>
      </c>
      <c r="Y45" s="24"/>
      <c r="Z45" s="24"/>
      <c r="AA45" s="24"/>
      <c r="AB45" s="24"/>
      <c r="AD45">
        <f t="shared" si="4"/>
        <v>50</v>
      </c>
      <c r="AE45">
        <f t="shared" si="5"/>
        <v>4</v>
      </c>
      <c r="AG45" s="33">
        <f t="shared" si="9"/>
        <v>0.30136986301369861</v>
      </c>
    </row>
    <row r="46" spans="2:33" x14ac:dyDescent="0.3">
      <c r="B46" s="29">
        <v>2003</v>
      </c>
      <c r="C46" s="30">
        <v>28</v>
      </c>
      <c r="D46" s="30">
        <v>0</v>
      </c>
      <c r="E46" s="30">
        <v>1</v>
      </c>
      <c r="F46" s="30">
        <f t="shared" si="6"/>
        <v>1</v>
      </c>
      <c r="G46" s="30"/>
      <c r="H46" s="30"/>
      <c r="I46" s="30">
        <v>26</v>
      </c>
      <c r="J46" s="1">
        <v>0</v>
      </c>
      <c r="K46" s="1">
        <v>11</v>
      </c>
      <c r="L46" s="110">
        <f t="shared" si="2"/>
        <v>0.42307692307692307</v>
      </c>
      <c r="M46" s="34">
        <f t="shared" si="3"/>
        <v>0.96296296296296291</v>
      </c>
      <c r="N46" s="34"/>
      <c r="O46" s="34"/>
      <c r="P46" s="34"/>
      <c r="Q46" s="34"/>
      <c r="R46" s="27"/>
      <c r="S46" s="24">
        <v>3</v>
      </c>
      <c r="T46" s="24">
        <v>2</v>
      </c>
      <c r="U46" s="24">
        <v>0</v>
      </c>
      <c r="V46" s="24">
        <v>2</v>
      </c>
      <c r="W46" s="24">
        <v>0</v>
      </c>
      <c r="X46" s="24">
        <v>1</v>
      </c>
      <c r="Y46" s="24"/>
      <c r="Z46" s="24"/>
      <c r="AA46" s="24"/>
      <c r="AB46" s="24"/>
      <c r="AD46">
        <f t="shared" si="4"/>
        <v>23</v>
      </c>
      <c r="AE46">
        <f t="shared" si="5"/>
        <v>2</v>
      </c>
      <c r="AG46" s="33">
        <f t="shared" si="9"/>
        <v>0.11538461538461539</v>
      </c>
    </row>
    <row r="47" spans="2:33" x14ac:dyDescent="0.3">
      <c r="B47" s="29">
        <v>2004</v>
      </c>
      <c r="C47" s="30">
        <v>117</v>
      </c>
      <c r="D47" s="30">
        <v>1</v>
      </c>
      <c r="E47" s="30">
        <v>4</v>
      </c>
      <c r="F47" s="30">
        <f t="shared" si="6"/>
        <v>5</v>
      </c>
      <c r="G47" s="30"/>
      <c r="H47" s="30"/>
      <c r="I47" s="30">
        <v>113</v>
      </c>
      <c r="J47" s="1">
        <v>19</v>
      </c>
      <c r="K47" s="1">
        <v>94</v>
      </c>
      <c r="L47" s="110">
        <f t="shared" si="2"/>
        <v>0.83185840707964598</v>
      </c>
      <c r="M47" s="34">
        <f t="shared" si="3"/>
        <v>1.0089285714285714</v>
      </c>
      <c r="N47" s="34"/>
      <c r="O47" s="34"/>
      <c r="P47" s="34"/>
      <c r="Q47" s="34"/>
      <c r="R47" s="27"/>
      <c r="S47" s="24">
        <v>27</v>
      </c>
      <c r="T47" s="24">
        <v>24</v>
      </c>
      <c r="U47" s="24">
        <v>4</v>
      </c>
      <c r="V47" s="24">
        <v>20</v>
      </c>
      <c r="W47" s="24">
        <v>0</v>
      </c>
      <c r="X47" s="24">
        <v>3</v>
      </c>
      <c r="Y47" s="24"/>
      <c r="Z47" s="24"/>
      <c r="AA47" s="24"/>
      <c r="AB47" s="24"/>
      <c r="AD47">
        <f t="shared" si="4"/>
        <v>86</v>
      </c>
      <c r="AE47">
        <f t="shared" si="5"/>
        <v>4</v>
      </c>
      <c r="AG47" s="33">
        <f t="shared" si="9"/>
        <v>0.23893805309734514</v>
      </c>
    </row>
    <row r="48" spans="2:33" x14ac:dyDescent="0.3">
      <c r="B48" s="29">
        <v>2005</v>
      </c>
      <c r="C48" s="30">
        <v>20</v>
      </c>
      <c r="D48" s="30">
        <v>0</v>
      </c>
      <c r="E48" s="30">
        <v>1</v>
      </c>
      <c r="F48" s="30">
        <f t="shared" si="6"/>
        <v>1</v>
      </c>
      <c r="G48" s="30"/>
      <c r="H48" s="30"/>
      <c r="I48" s="30">
        <v>19</v>
      </c>
      <c r="J48" s="1">
        <v>6</v>
      </c>
      <c r="K48" s="1">
        <v>12</v>
      </c>
      <c r="L48" s="110">
        <f t="shared" si="2"/>
        <v>0.63157894736842102</v>
      </c>
      <c r="M48" s="34">
        <f t="shared" si="3"/>
        <v>1</v>
      </c>
      <c r="N48" s="34"/>
      <c r="O48" s="34"/>
      <c r="P48" s="34"/>
      <c r="Q48" s="34"/>
      <c r="R48" s="27"/>
      <c r="S48" s="24">
        <v>6</v>
      </c>
      <c r="T48" s="24">
        <v>6</v>
      </c>
      <c r="U48" s="24">
        <v>2</v>
      </c>
      <c r="V48" s="24">
        <v>4</v>
      </c>
      <c r="W48" s="24">
        <v>0</v>
      </c>
      <c r="X48" s="24">
        <v>0</v>
      </c>
      <c r="Y48" s="24"/>
      <c r="Z48" s="24"/>
      <c r="AA48" s="24"/>
      <c r="AB48" s="24"/>
      <c r="AD48">
        <f t="shared" si="4"/>
        <v>13</v>
      </c>
      <c r="AE48">
        <f t="shared" si="5"/>
        <v>1</v>
      </c>
      <c r="AG48" s="33">
        <f t="shared" si="9"/>
        <v>0.31578947368421051</v>
      </c>
    </row>
    <row r="49" spans="2:33" x14ac:dyDescent="0.3">
      <c r="B49" s="29">
        <v>2006</v>
      </c>
      <c r="C49" s="30">
        <v>60</v>
      </c>
      <c r="D49" s="30">
        <v>0</v>
      </c>
      <c r="E49" s="30">
        <v>3</v>
      </c>
      <c r="F49" s="30">
        <f t="shared" si="6"/>
        <v>3</v>
      </c>
      <c r="G49" s="30"/>
      <c r="H49" s="30"/>
      <c r="I49" s="30">
        <v>16</v>
      </c>
      <c r="J49" s="1">
        <v>6</v>
      </c>
      <c r="K49" s="1">
        <v>11</v>
      </c>
      <c r="L49" s="110">
        <f t="shared" si="2"/>
        <v>0.6875</v>
      </c>
      <c r="M49" s="34">
        <f t="shared" si="3"/>
        <v>0.2807017543859649</v>
      </c>
      <c r="N49" s="34"/>
      <c r="O49" s="34"/>
      <c r="P49" s="34"/>
      <c r="Q49" s="34"/>
      <c r="R49" s="27"/>
      <c r="S49" s="24">
        <v>3</v>
      </c>
      <c r="T49" s="24">
        <v>3</v>
      </c>
      <c r="U49" s="24">
        <v>1</v>
      </c>
      <c r="V49" s="24">
        <v>2</v>
      </c>
      <c r="W49" s="24">
        <v>0</v>
      </c>
      <c r="X49" s="24">
        <v>0</v>
      </c>
      <c r="Y49" s="24"/>
      <c r="Z49" s="24"/>
      <c r="AA49" s="24"/>
      <c r="AB49" s="24"/>
      <c r="AD49">
        <f t="shared" si="4"/>
        <v>13</v>
      </c>
      <c r="AE49">
        <f t="shared" si="5"/>
        <v>44</v>
      </c>
      <c r="AG49" s="33">
        <f t="shared" si="9"/>
        <v>0.1875</v>
      </c>
    </row>
    <row r="50" spans="2:33" x14ac:dyDescent="0.3">
      <c r="B50" s="29">
        <v>2007</v>
      </c>
      <c r="C50" s="30">
        <v>58</v>
      </c>
      <c r="D50" s="30">
        <v>0</v>
      </c>
      <c r="E50" s="30">
        <v>3</v>
      </c>
      <c r="F50" s="30">
        <f t="shared" si="6"/>
        <v>3</v>
      </c>
      <c r="G50" s="30"/>
      <c r="H50" s="30"/>
      <c r="I50" s="30">
        <v>55</v>
      </c>
      <c r="J50" s="1">
        <v>39</v>
      </c>
      <c r="K50" s="1">
        <v>13</v>
      </c>
      <c r="L50" s="110">
        <f t="shared" si="2"/>
        <v>0.23636363636363636</v>
      </c>
      <c r="M50" s="34">
        <f t="shared" si="3"/>
        <v>1</v>
      </c>
      <c r="N50" s="34"/>
      <c r="O50" s="38">
        <f t="shared" ref="O50:O58" si="10">(D50+E50)/C50</f>
        <v>5.1724137931034482E-2</v>
      </c>
      <c r="P50" s="38">
        <f t="shared" ref="P50:P58" si="11">D50/C50</f>
        <v>0</v>
      </c>
      <c r="Q50" s="38">
        <f t="shared" ref="Q50:Q58" si="12">E50/C50</f>
        <v>5.1724137931034482E-2</v>
      </c>
      <c r="R50" s="27"/>
      <c r="S50" s="24">
        <v>4</v>
      </c>
      <c r="T50" s="24">
        <v>4</v>
      </c>
      <c r="U50" s="24">
        <v>3</v>
      </c>
      <c r="V50" s="24">
        <v>1</v>
      </c>
      <c r="W50" s="24">
        <v>0</v>
      </c>
      <c r="X50" s="24">
        <v>0</v>
      </c>
      <c r="Y50" s="24"/>
      <c r="Z50" s="24"/>
      <c r="AA50" s="24"/>
      <c r="AB50" s="24"/>
      <c r="AD50">
        <f t="shared" si="4"/>
        <v>51</v>
      </c>
      <c r="AE50">
        <f t="shared" si="5"/>
        <v>3</v>
      </c>
      <c r="AG50" s="33">
        <f t="shared" si="9"/>
        <v>7.2727272727272724E-2</v>
      </c>
    </row>
    <row r="51" spans="2:33" x14ac:dyDescent="0.3">
      <c r="B51" s="29">
        <v>2008</v>
      </c>
      <c r="C51" s="30">
        <v>978</v>
      </c>
      <c r="D51" s="30">
        <v>1</v>
      </c>
      <c r="E51" s="30">
        <v>41</v>
      </c>
      <c r="F51" s="30">
        <v>42</v>
      </c>
      <c r="G51" s="30">
        <v>977</v>
      </c>
      <c r="H51" s="30">
        <v>539</v>
      </c>
      <c r="I51" s="30">
        <v>907</v>
      </c>
      <c r="J51" s="1">
        <v>213</v>
      </c>
      <c r="K51" s="1">
        <v>696</v>
      </c>
      <c r="L51" s="110">
        <f t="shared" si="2"/>
        <v>0.76736493936052919</v>
      </c>
      <c r="M51" s="34">
        <v>0.92835209825997955</v>
      </c>
      <c r="N51" s="34"/>
      <c r="O51" s="38">
        <f t="shared" si="10"/>
        <v>4.2944785276073622E-2</v>
      </c>
      <c r="P51" s="38">
        <f t="shared" si="11"/>
        <v>1.0224948875255625E-3</v>
      </c>
      <c r="Q51" s="38">
        <f t="shared" si="12"/>
        <v>4.1922290388548056E-2</v>
      </c>
      <c r="R51" s="27"/>
      <c r="S51" s="24">
        <v>646</v>
      </c>
      <c r="T51" s="24">
        <v>598</v>
      </c>
      <c r="U51" s="24">
        <v>140</v>
      </c>
      <c r="V51" s="24">
        <v>456</v>
      </c>
      <c r="W51" s="24">
        <v>1</v>
      </c>
      <c r="X51" s="24">
        <v>50</v>
      </c>
      <c r="Y51" s="142">
        <f>X51-Z51</f>
        <v>15</v>
      </c>
      <c r="Z51" s="142">
        <f>ROUND(X51*AC51,0)</f>
        <v>35</v>
      </c>
      <c r="AA51" s="142">
        <f t="shared" ref="AA51:AA58" si="13">U51+Y51</f>
        <v>155</v>
      </c>
      <c r="AB51" s="142">
        <f t="shared" ref="AB51:AB58" si="14">V51+W51+Z51</f>
        <v>492</v>
      </c>
      <c r="AC51" s="33">
        <f t="shared" ref="AC51:AC56" si="15">(V51+W51)/S51</f>
        <v>0.70743034055727549</v>
      </c>
      <c r="AD51">
        <f t="shared" si="4"/>
        <v>260</v>
      </c>
      <c r="AE51">
        <f t="shared" si="5"/>
        <v>71</v>
      </c>
      <c r="AG51" s="33">
        <f t="shared" si="9"/>
        <v>0.71223814773980154</v>
      </c>
    </row>
    <row r="52" spans="2:33" x14ac:dyDescent="0.3">
      <c r="B52" s="29">
        <v>2009</v>
      </c>
      <c r="C52" s="31">
        <v>1497</v>
      </c>
      <c r="D52" s="30">
        <v>2</v>
      </c>
      <c r="E52" s="30">
        <v>81</v>
      </c>
      <c r="F52" s="30">
        <v>83</v>
      </c>
      <c r="G52" s="30">
        <v>1495</v>
      </c>
      <c r="H52" s="30">
        <v>867</v>
      </c>
      <c r="I52" s="31">
        <v>1406</v>
      </c>
      <c r="J52" s="1">
        <v>128</v>
      </c>
      <c r="K52" s="1">
        <v>1091</v>
      </c>
      <c r="L52" s="110">
        <f t="shared" si="2"/>
        <v>0.77596017069701284</v>
      </c>
      <c r="M52" s="34">
        <v>0.94046822742474911</v>
      </c>
      <c r="N52" s="34"/>
      <c r="O52" s="38">
        <f t="shared" si="10"/>
        <v>5.5444221776887105E-2</v>
      </c>
      <c r="P52" s="38">
        <f t="shared" si="11"/>
        <v>1.3360053440213762E-3</v>
      </c>
      <c r="Q52" s="38">
        <f t="shared" si="12"/>
        <v>5.410821643286573E-2</v>
      </c>
      <c r="R52" s="27"/>
      <c r="S52" s="24">
        <v>832</v>
      </c>
      <c r="T52" s="24">
        <v>817</v>
      </c>
      <c r="U52" s="24">
        <v>86</v>
      </c>
      <c r="V52" s="24">
        <v>730</v>
      </c>
      <c r="W52" s="24">
        <v>2</v>
      </c>
      <c r="X52" s="24">
        <v>16</v>
      </c>
      <c r="Y52" s="142">
        <f t="shared" ref="Y52:Y59" si="16">X52-Z52</f>
        <v>2</v>
      </c>
      <c r="Z52" s="142">
        <f t="shared" ref="Z52:Z59" si="17">ROUND(X52*AC52,0)</f>
        <v>14</v>
      </c>
      <c r="AA52" s="142">
        <f t="shared" si="13"/>
        <v>88</v>
      </c>
      <c r="AB52" s="142">
        <f t="shared" si="14"/>
        <v>746</v>
      </c>
      <c r="AC52" s="33">
        <f t="shared" si="15"/>
        <v>0.87980769230769229</v>
      </c>
      <c r="AD52">
        <f t="shared" si="4"/>
        <v>572</v>
      </c>
      <c r="AE52">
        <f t="shared" si="5"/>
        <v>91</v>
      </c>
      <c r="AG52" s="33">
        <f t="shared" si="9"/>
        <v>0.59174964438122335</v>
      </c>
    </row>
    <row r="53" spans="2:33" x14ac:dyDescent="0.3">
      <c r="B53" s="29">
        <v>2010</v>
      </c>
      <c r="C53" s="31">
        <v>2581</v>
      </c>
      <c r="D53" s="30">
        <v>0</v>
      </c>
      <c r="E53" s="30">
        <v>163</v>
      </c>
      <c r="F53" s="30">
        <v>163</v>
      </c>
      <c r="G53" s="30">
        <v>2581</v>
      </c>
      <c r="H53" s="30">
        <v>1302</v>
      </c>
      <c r="I53" s="31">
        <v>2406</v>
      </c>
      <c r="J53" s="1">
        <v>296</v>
      </c>
      <c r="K53" s="1">
        <v>1905</v>
      </c>
      <c r="L53" s="110">
        <f t="shared" si="2"/>
        <v>0.79177057356608482</v>
      </c>
      <c r="M53" s="34">
        <v>0.93219682293684614</v>
      </c>
      <c r="N53" s="34"/>
      <c r="O53" s="38">
        <f t="shared" si="10"/>
        <v>6.3153816350251843E-2</v>
      </c>
      <c r="P53" s="38">
        <f t="shared" si="11"/>
        <v>0</v>
      </c>
      <c r="Q53" s="38">
        <f t="shared" si="12"/>
        <v>6.3153816350251843E-2</v>
      </c>
      <c r="R53" s="27"/>
      <c r="S53" s="25">
        <v>1355</v>
      </c>
      <c r="T53" s="25">
        <v>1322</v>
      </c>
      <c r="U53" s="24">
        <v>178</v>
      </c>
      <c r="V53" s="25">
        <v>1144</v>
      </c>
      <c r="W53" s="24">
        <v>14</v>
      </c>
      <c r="X53" s="24">
        <v>33</v>
      </c>
      <c r="Y53" s="142">
        <f t="shared" si="16"/>
        <v>5</v>
      </c>
      <c r="Z53" s="142">
        <f t="shared" si="17"/>
        <v>28</v>
      </c>
      <c r="AA53" s="142">
        <f t="shared" si="13"/>
        <v>183</v>
      </c>
      <c r="AB53" s="142">
        <f t="shared" si="14"/>
        <v>1186</v>
      </c>
      <c r="AC53" s="33">
        <f t="shared" si="15"/>
        <v>0.85461254612546123</v>
      </c>
      <c r="AD53">
        <f t="shared" si="4"/>
        <v>1037</v>
      </c>
      <c r="AE53">
        <f t="shared" si="5"/>
        <v>175</v>
      </c>
      <c r="AG53" s="33">
        <f t="shared" si="9"/>
        <v>0.56317539484621781</v>
      </c>
    </row>
    <row r="54" spans="2:33" x14ac:dyDescent="0.3">
      <c r="B54" s="29">
        <v>2011</v>
      </c>
      <c r="C54" s="31">
        <v>1800</v>
      </c>
      <c r="D54" s="30">
        <v>1</v>
      </c>
      <c r="E54" s="30">
        <v>123</v>
      </c>
      <c r="F54" s="30">
        <v>124</v>
      </c>
      <c r="G54" s="30">
        <v>1799</v>
      </c>
      <c r="H54" s="30">
        <v>1141</v>
      </c>
      <c r="I54" s="31">
        <v>1502</v>
      </c>
      <c r="J54" s="1">
        <v>200</v>
      </c>
      <c r="K54" s="1">
        <v>1302</v>
      </c>
      <c r="L54" s="110">
        <f t="shared" si="2"/>
        <v>0.86684420772303594</v>
      </c>
      <c r="M54" s="34">
        <v>0.83490828237909953</v>
      </c>
      <c r="N54" s="34"/>
      <c r="O54" s="38">
        <f t="shared" si="10"/>
        <v>6.8888888888888888E-2</v>
      </c>
      <c r="P54" s="38">
        <f t="shared" si="11"/>
        <v>5.5555555555555556E-4</v>
      </c>
      <c r="Q54" s="38">
        <f t="shared" si="12"/>
        <v>6.8333333333333329E-2</v>
      </c>
      <c r="R54" s="27"/>
      <c r="S54" s="25">
        <v>1117</v>
      </c>
      <c r="T54" s="25">
        <v>1099</v>
      </c>
      <c r="U54" s="24">
        <v>145</v>
      </c>
      <c r="V54" s="24">
        <v>954</v>
      </c>
      <c r="W54" s="24">
        <v>2</v>
      </c>
      <c r="X54" s="24">
        <v>18</v>
      </c>
      <c r="Y54" s="142">
        <f t="shared" si="16"/>
        <v>3</v>
      </c>
      <c r="Z54" s="142">
        <f t="shared" si="17"/>
        <v>15</v>
      </c>
      <c r="AA54" s="142">
        <f t="shared" si="13"/>
        <v>148</v>
      </c>
      <c r="AB54" s="142">
        <f t="shared" si="14"/>
        <v>971</v>
      </c>
      <c r="AC54" s="33">
        <f t="shared" si="15"/>
        <v>0.85586392121754695</v>
      </c>
      <c r="AD54">
        <f t="shared" si="4"/>
        <v>383</v>
      </c>
      <c r="AE54">
        <f t="shared" si="5"/>
        <v>298</v>
      </c>
      <c r="AG54" s="33">
        <f t="shared" si="9"/>
        <v>0.74367509986684421</v>
      </c>
    </row>
    <row r="55" spans="2:33" x14ac:dyDescent="0.3">
      <c r="B55" s="29">
        <v>2012</v>
      </c>
      <c r="C55" s="30">
        <v>512</v>
      </c>
      <c r="D55" s="30">
        <v>0</v>
      </c>
      <c r="E55" s="30">
        <v>45</v>
      </c>
      <c r="F55" s="30">
        <v>45</v>
      </c>
      <c r="G55" s="30">
        <v>512</v>
      </c>
      <c r="H55" s="30">
        <v>453</v>
      </c>
      <c r="I55" s="30">
        <v>446</v>
      </c>
      <c r="J55" s="1">
        <v>101</v>
      </c>
      <c r="K55" s="1">
        <v>369</v>
      </c>
      <c r="L55" s="110">
        <f t="shared" si="2"/>
        <v>0.82735426008968604</v>
      </c>
      <c r="M55" s="34">
        <v>0.87109375</v>
      </c>
      <c r="N55" s="34"/>
      <c r="O55" s="38">
        <f t="shared" si="10"/>
        <v>8.7890625E-2</v>
      </c>
      <c r="P55" s="38">
        <f t="shared" si="11"/>
        <v>0</v>
      </c>
      <c r="Q55" s="38">
        <f t="shared" si="12"/>
        <v>8.7890625E-2</v>
      </c>
      <c r="R55" s="27"/>
      <c r="S55" s="24">
        <v>257</v>
      </c>
      <c r="T55" s="24">
        <v>242</v>
      </c>
      <c r="U55" s="24">
        <v>52</v>
      </c>
      <c r="V55" s="24">
        <v>190</v>
      </c>
      <c r="W55" s="24">
        <v>0</v>
      </c>
      <c r="X55" s="24">
        <v>15</v>
      </c>
      <c r="Y55" s="142">
        <f t="shared" si="16"/>
        <v>4</v>
      </c>
      <c r="Z55" s="142">
        <f t="shared" si="17"/>
        <v>11</v>
      </c>
      <c r="AA55" s="142">
        <f t="shared" si="13"/>
        <v>56</v>
      </c>
      <c r="AB55" s="142">
        <f t="shared" si="14"/>
        <v>201</v>
      </c>
      <c r="AC55" s="33">
        <f t="shared" si="15"/>
        <v>0.73929961089494167</v>
      </c>
      <c r="AD55">
        <f t="shared" si="4"/>
        <v>189</v>
      </c>
      <c r="AE55">
        <f t="shared" si="5"/>
        <v>66</v>
      </c>
      <c r="AG55" s="33">
        <f t="shared" si="9"/>
        <v>0.57623318385650224</v>
      </c>
    </row>
    <row r="56" spans="2:33" x14ac:dyDescent="0.3">
      <c r="B56" s="29">
        <v>2013</v>
      </c>
      <c r="C56" s="31">
        <v>1137</v>
      </c>
      <c r="D56" s="30">
        <v>1</v>
      </c>
      <c r="E56" s="30">
        <v>49</v>
      </c>
      <c r="F56" s="30">
        <v>50</v>
      </c>
      <c r="G56" s="30">
        <v>1136</v>
      </c>
      <c r="H56" s="30">
        <v>895</v>
      </c>
      <c r="I56" s="30">
        <v>757</v>
      </c>
      <c r="J56" s="1">
        <v>221</v>
      </c>
      <c r="K56" s="1">
        <v>536</v>
      </c>
      <c r="L56" s="110">
        <f t="shared" si="2"/>
        <v>0.70805812417437253</v>
      </c>
      <c r="M56" s="34">
        <v>0.66637323943661975</v>
      </c>
      <c r="N56" s="34"/>
      <c r="O56" s="38">
        <f t="shared" si="10"/>
        <v>4.3975373790677223E-2</v>
      </c>
      <c r="P56" s="38">
        <f t="shared" si="11"/>
        <v>8.7950747581354446E-4</v>
      </c>
      <c r="Q56" s="38">
        <f t="shared" si="12"/>
        <v>4.3095866314863673E-2</v>
      </c>
      <c r="R56" s="27"/>
      <c r="S56" s="24">
        <v>272</v>
      </c>
      <c r="T56" s="24">
        <v>270</v>
      </c>
      <c r="U56" s="24">
        <v>79</v>
      </c>
      <c r="V56" s="24">
        <v>191</v>
      </c>
      <c r="W56" s="24">
        <v>0</v>
      </c>
      <c r="X56" s="24">
        <v>2</v>
      </c>
      <c r="Y56" s="142">
        <f t="shared" si="16"/>
        <v>1</v>
      </c>
      <c r="Z56" s="142">
        <f t="shared" si="17"/>
        <v>1</v>
      </c>
      <c r="AA56" s="142">
        <f t="shared" si="13"/>
        <v>80</v>
      </c>
      <c r="AB56" s="142">
        <f t="shared" si="14"/>
        <v>192</v>
      </c>
      <c r="AC56" s="33">
        <f t="shared" si="15"/>
        <v>0.70220588235294112</v>
      </c>
      <c r="AD56">
        <f t="shared" si="4"/>
        <v>485</v>
      </c>
      <c r="AE56">
        <f t="shared" si="5"/>
        <v>380</v>
      </c>
      <c r="AG56" s="33">
        <f t="shared" si="9"/>
        <v>0.35931307793923384</v>
      </c>
    </row>
    <row r="57" spans="2:33" x14ac:dyDescent="0.3">
      <c r="B57" s="29">
        <v>2014</v>
      </c>
      <c r="C57" s="31">
        <v>2937</v>
      </c>
      <c r="D57" s="30">
        <v>1</v>
      </c>
      <c r="E57" s="30">
        <v>140</v>
      </c>
      <c r="F57" s="30">
        <v>141</v>
      </c>
      <c r="G57" s="30">
        <v>2936</v>
      </c>
      <c r="H57" s="30">
        <v>2392</v>
      </c>
      <c r="I57" s="31">
        <v>2786</v>
      </c>
      <c r="J57" s="108">
        <v>836</v>
      </c>
      <c r="K57" s="108">
        <v>1950</v>
      </c>
      <c r="L57" s="110">
        <f t="shared" si="2"/>
        <v>0.69992821249102655</v>
      </c>
      <c r="M57" s="34">
        <v>0.94891008174386926</v>
      </c>
      <c r="N57" s="34"/>
      <c r="O57" s="38">
        <f t="shared" si="10"/>
        <v>4.8008171603677222E-2</v>
      </c>
      <c r="P57" s="38">
        <f t="shared" si="11"/>
        <v>3.4048348655090226E-4</v>
      </c>
      <c r="Q57" s="38">
        <f t="shared" si="12"/>
        <v>4.7667688117126322E-2</v>
      </c>
      <c r="R57" s="27"/>
      <c r="S57" s="102">
        <v>1579</v>
      </c>
      <c r="T57" s="102">
        <v>1516</v>
      </c>
      <c r="U57" s="103">
        <v>453</v>
      </c>
      <c r="V57" s="102">
        <v>1062</v>
      </c>
      <c r="W57" s="103">
        <v>0</v>
      </c>
      <c r="X57" s="103">
        <v>63</v>
      </c>
      <c r="Y57" s="142">
        <f t="shared" si="16"/>
        <v>21</v>
      </c>
      <c r="Z57" s="142">
        <f t="shared" si="17"/>
        <v>42</v>
      </c>
      <c r="AA57" s="142">
        <f t="shared" si="13"/>
        <v>474</v>
      </c>
      <c r="AB57" s="142">
        <f t="shared" si="14"/>
        <v>1104</v>
      </c>
      <c r="AC57" s="33">
        <f>(V57+W57)/S57</f>
        <v>0.67257758074730845</v>
      </c>
      <c r="AD57">
        <f t="shared" si="4"/>
        <v>1208</v>
      </c>
      <c r="AE57">
        <f t="shared" si="5"/>
        <v>151</v>
      </c>
      <c r="AG57" s="33">
        <f t="shared" si="9"/>
        <v>0.56676238334529794</v>
      </c>
    </row>
    <row r="58" spans="2:33" x14ac:dyDescent="0.3">
      <c r="B58" s="29">
        <v>2015</v>
      </c>
      <c r="C58" s="31">
        <v>1743</v>
      </c>
      <c r="D58" s="30">
        <v>2</v>
      </c>
      <c r="E58" s="30">
        <v>101</v>
      </c>
      <c r="F58" s="30">
        <v>103</v>
      </c>
      <c r="G58" s="30">
        <v>1741</v>
      </c>
      <c r="H58" s="30">
        <v>1052</v>
      </c>
      <c r="I58" s="30">
        <v>440</v>
      </c>
      <c r="J58" s="108">
        <v>66</v>
      </c>
      <c r="K58" s="108">
        <v>374</v>
      </c>
      <c r="L58" s="110">
        <f t="shared" si="2"/>
        <v>0.85</v>
      </c>
      <c r="M58" s="34">
        <v>0.25272831705916138</v>
      </c>
      <c r="N58" s="34"/>
      <c r="O58" s="38">
        <f t="shared" si="10"/>
        <v>5.9093516924842229E-2</v>
      </c>
      <c r="P58" s="38">
        <f t="shared" si="11"/>
        <v>1.1474469305794606E-3</v>
      </c>
      <c r="Q58" s="38">
        <f t="shared" si="12"/>
        <v>5.7946069994262765E-2</v>
      </c>
      <c r="R58" s="27"/>
      <c r="S58" s="104">
        <f>T58+X58</f>
        <v>91</v>
      </c>
      <c r="T58" s="25">
        <v>91</v>
      </c>
      <c r="U58" s="94">
        <v>28</v>
      </c>
      <c r="V58" s="94">
        <v>63</v>
      </c>
      <c r="X58" s="24">
        <v>0</v>
      </c>
      <c r="Y58" s="142">
        <f t="shared" si="16"/>
        <v>0</v>
      </c>
      <c r="Z58" s="142">
        <f t="shared" si="17"/>
        <v>0</v>
      </c>
      <c r="AA58" s="142">
        <f t="shared" si="13"/>
        <v>28</v>
      </c>
      <c r="AB58" s="142">
        <f t="shared" si="14"/>
        <v>63</v>
      </c>
      <c r="AC58" s="33">
        <f t="shared" ref="AC58:AC59" si="18">(V58+W58)/S58</f>
        <v>0.69230769230769229</v>
      </c>
      <c r="AD58">
        <f t="shared" si="4"/>
        <v>349</v>
      </c>
      <c r="AE58">
        <f t="shared" si="5"/>
        <v>1303</v>
      </c>
      <c r="AG58" s="33">
        <f t="shared" si="9"/>
        <v>0.20681818181818182</v>
      </c>
    </row>
    <row r="59" spans="2:33" x14ac:dyDescent="0.3">
      <c r="B59" s="29">
        <v>2016</v>
      </c>
      <c r="C59" s="30">
        <v>946</v>
      </c>
      <c r="D59" s="30">
        <v>1</v>
      </c>
      <c r="E59" s="30">
        <v>43</v>
      </c>
      <c r="F59" s="30">
        <v>44</v>
      </c>
      <c r="G59" s="30">
        <v>945</v>
      </c>
      <c r="H59" s="30">
        <v>898</v>
      </c>
      <c r="I59" s="30">
        <v>815</v>
      </c>
      <c r="J59" s="108">
        <v>41</v>
      </c>
      <c r="K59" s="108">
        <v>775</v>
      </c>
      <c r="L59" s="110">
        <f t="shared" si="2"/>
        <v>0.95092024539877296</v>
      </c>
      <c r="M59" s="34">
        <v>0.86243386243386244</v>
      </c>
      <c r="N59" s="34"/>
      <c r="O59" s="38">
        <f>(D59+E59)/C59</f>
        <v>4.6511627906976744E-2</v>
      </c>
      <c r="P59" s="38">
        <f>D59/C59</f>
        <v>1.0570824524312897E-3</v>
      </c>
      <c r="Q59" s="38">
        <f>E59/C59</f>
        <v>4.5454545454545456E-2</v>
      </c>
      <c r="R59" s="27"/>
      <c r="S59" s="104">
        <f>T59+X59</f>
        <v>595</v>
      </c>
      <c r="T59" s="29">
        <v>572</v>
      </c>
      <c r="U59" s="94">
        <v>33</v>
      </c>
      <c r="V59" s="94">
        <v>539</v>
      </c>
      <c r="X59" s="101">
        <v>23</v>
      </c>
      <c r="Y59" s="142">
        <f t="shared" si="16"/>
        <v>2</v>
      </c>
      <c r="Z59" s="142">
        <f t="shared" si="17"/>
        <v>21</v>
      </c>
      <c r="AA59" s="142">
        <f>U59+Y59</f>
        <v>35</v>
      </c>
      <c r="AB59" s="142">
        <f>V59+W59+Z59</f>
        <v>560</v>
      </c>
      <c r="AC59" s="33">
        <f t="shared" si="18"/>
        <v>0.90588235294117647</v>
      </c>
      <c r="AD59">
        <f t="shared" si="4"/>
        <v>220</v>
      </c>
      <c r="AE59">
        <f t="shared" si="5"/>
        <v>131</v>
      </c>
      <c r="AG59" s="33">
        <f t="shared" si="9"/>
        <v>0.73006134969325154</v>
      </c>
    </row>
    <row r="60" spans="2:33" x14ac:dyDescent="0.3">
      <c r="B60" s="29">
        <v>2017</v>
      </c>
      <c r="C60">
        <v>445</v>
      </c>
      <c r="D60">
        <v>0</v>
      </c>
      <c r="E60">
        <v>21</v>
      </c>
      <c r="F60">
        <v>21</v>
      </c>
      <c r="G60">
        <v>445</v>
      </c>
      <c r="H60">
        <v>392</v>
      </c>
      <c r="I60">
        <v>228</v>
      </c>
      <c r="J60" s="108">
        <v>14</v>
      </c>
      <c r="K60" s="108">
        <v>188</v>
      </c>
      <c r="L60" s="110">
        <f t="shared" si="2"/>
        <v>0.82456140350877194</v>
      </c>
      <c r="M60" s="33">
        <v>0.51235955056179772</v>
      </c>
      <c r="N60" s="33"/>
      <c r="O60" s="38">
        <f>(D60+E60)/C60</f>
        <v>4.7191011235955059E-2</v>
      </c>
      <c r="P60" s="38">
        <f t="shared" ref="P60" si="19">D60/C60</f>
        <v>0</v>
      </c>
      <c r="Q60" s="38">
        <f t="shared" ref="Q60" si="20">E60/C60</f>
        <v>4.7191011235955059E-2</v>
      </c>
      <c r="S60" s="1">
        <v>159</v>
      </c>
      <c r="U60" s="32"/>
      <c r="V60" s="32"/>
      <c r="AD60">
        <f t="shared" ref="AD60" si="21">I60-U60-V60-W60-X60</f>
        <v>228</v>
      </c>
      <c r="AE60">
        <f t="shared" ref="AE60" si="22">C60-I60</f>
        <v>217</v>
      </c>
    </row>
    <row r="61" spans="2:33" x14ac:dyDescent="0.3">
      <c r="B61" s="29">
        <v>2018</v>
      </c>
      <c r="I61" s="69">
        <f>J61+K61</f>
        <v>378</v>
      </c>
      <c r="J61" s="108">
        <v>216</v>
      </c>
      <c r="K61" s="108">
        <v>162</v>
      </c>
      <c r="L61" s="110">
        <f t="shared" si="2"/>
        <v>0.42857142857142855</v>
      </c>
      <c r="S61" s="1"/>
      <c r="AD61">
        <f t="shared" ref="AD61" si="23">I61-U61-V61-W61-X61</f>
        <v>378</v>
      </c>
      <c r="AE61">
        <f t="shared" ref="AE61" si="24">C61-I61</f>
        <v>-378</v>
      </c>
    </row>
    <row r="62" spans="2:33" x14ac:dyDescent="0.3">
      <c r="B62" s="29"/>
      <c r="I62" s="69"/>
      <c r="J62" s="108"/>
      <c r="K62" s="108"/>
      <c r="L62" s="110"/>
      <c r="N62" s="36"/>
      <c r="S62" s="1"/>
    </row>
    <row r="63" spans="2:33" x14ac:dyDescent="0.3">
      <c r="C63" s="37">
        <f t="shared" ref="C63:H63" si="25">AVERAGE(C51:C60)</f>
        <v>1457.6</v>
      </c>
      <c r="D63" s="37">
        <f t="shared" si="25"/>
        <v>0.9</v>
      </c>
      <c r="E63" s="37">
        <f t="shared" si="25"/>
        <v>80.7</v>
      </c>
      <c r="F63" s="37">
        <f t="shared" si="25"/>
        <v>81.599999999999994</v>
      </c>
      <c r="G63" s="37">
        <f t="shared" si="25"/>
        <v>1456.7</v>
      </c>
      <c r="H63" s="37">
        <f t="shared" si="25"/>
        <v>993.1</v>
      </c>
      <c r="I63" s="69">
        <v>1169.3</v>
      </c>
      <c r="J63" s="37">
        <f>AVERAGE(J51:J60)</f>
        <v>211.6</v>
      </c>
      <c r="K63" s="37">
        <f>AVERAGE(K51:K60)</f>
        <v>918.6</v>
      </c>
      <c r="L63" s="140">
        <f>AVERAGE(L51:L60)</f>
        <v>0.80627621370092917</v>
      </c>
      <c r="M63" s="36">
        <f>AVERAGE(M51:M60)</f>
        <v>0.77498242322359856</v>
      </c>
      <c r="N63" s="36"/>
      <c r="O63" s="39">
        <f>AVERAGE(O50:O60)</f>
        <v>5.5893288789569492E-2</v>
      </c>
      <c r="P63" s="39">
        <f t="shared" ref="P63:Q63" si="26">AVERAGE(P50:P60)</f>
        <v>5.762341938616082E-4</v>
      </c>
      <c r="Q63" s="39">
        <f t="shared" si="26"/>
        <v>5.5317054595707883E-2</v>
      </c>
      <c r="S63" s="37">
        <f t="shared" ref="S63:AB63" si="27">AVERAGE(S51:S60)</f>
        <v>690.3</v>
      </c>
      <c r="T63" s="37">
        <f t="shared" si="27"/>
        <v>725.22222222222217</v>
      </c>
      <c r="U63" s="37">
        <f t="shared" si="27"/>
        <v>132.66666666666666</v>
      </c>
      <c r="V63" s="37">
        <f t="shared" si="27"/>
        <v>592.11111111111109</v>
      </c>
      <c r="W63" s="37">
        <f t="shared" si="27"/>
        <v>2.7142857142857144</v>
      </c>
      <c r="X63" s="37">
        <f t="shared" si="27"/>
        <v>24.444444444444443</v>
      </c>
      <c r="Y63" s="37">
        <f t="shared" si="27"/>
        <v>5.8888888888888893</v>
      </c>
      <c r="Z63" s="37">
        <f t="shared" si="27"/>
        <v>18.555555555555557</v>
      </c>
      <c r="AA63" s="37">
        <f t="shared" si="27"/>
        <v>138.55555555555554</v>
      </c>
      <c r="AB63" s="37">
        <f t="shared" si="27"/>
        <v>612.77777777777783</v>
      </c>
      <c r="AC63" s="36">
        <f>AVERAGE(AC51:AC59)</f>
        <v>0.77888751327244854</v>
      </c>
      <c r="AG63" s="36">
        <f>AVERAGE(AG50:AG59)</f>
        <v>0.51227537362138276</v>
      </c>
    </row>
    <row r="64" spans="2:33" x14ac:dyDescent="0.3">
      <c r="I64" s="35" t="s">
        <v>52</v>
      </c>
      <c r="J64" s="1">
        <f>AVERAGE(J52:J61)</f>
        <v>211.9</v>
      </c>
      <c r="K64" s="1">
        <f>AVERAGE(K52:K61)</f>
        <v>865.2</v>
      </c>
      <c r="L64" s="35"/>
      <c r="M64" s="36">
        <f>GEOMEAN(M51:M60)</f>
        <v>0.72797510669012255</v>
      </c>
      <c r="N64" s="33"/>
      <c r="O64" s="33"/>
      <c r="P64" s="33"/>
      <c r="Q64" s="33"/>
      <c r="U64" s="66">
        <f>U63/(U63+V63)</f>
        <v>0.18304461137513414</v>
      </c>
      <c r="V64" s="66">
        <f>V63/(V63+U63)</f>
        <v>0.81695538862486594</v>
      </c>
    </row>
    <row r="65" spans="5:28" x14ac:dyDescent="0.3">
      <c r="W65" s="35" t="s">
        <v>172</v>
      </c>
      <c r="X65" s="37">
        <f>X63*AC63</f>
        <v>19.039472546659852</v>
      </c>
      <c r="Y65" s="37"/>
      <c r="Z65" s="37"/>
      <c r="AA65" s="37">
        <f>GEOMEAN(AA51:AA59)</f>
        <v>97.120783772040951</v>
      </c>
      <c r="AB65" s="37">
        <f>GEOMEAN(AB51:AB59)</f>
        <v>441.34487440631614</v>
      </c>
    </row>
    <row r="66" spans="5:28" x14ac:dyDescent="0.3">
      <c r="E66" t="s">
        <v>58</v>
      </c>
      <c r="F66" s="37">
        <v>57.503059612669198</v>
      </c>
      <c r="G66" s="37"/>
      <c r="H66" s="37"/>
      <c r="U66" s="37">
        <f>GEOMEAN(U51:U59)</f>
        <v>93.273276581868387</v>
      </c>
      <c r="W66" s="141" t="s">
        <v>59</v>
      </c>
      <c r="X66" s="37">
        <f>X63-X65</f>
        <v>5.4049718977845913</v>
      </c>
      <c r="Y66" s="37"/>
      <c r="Z66" s="37"/>
      <c r="AA66" s="37"/>
      <c r="AB66" s="37"/>
    </row>
    <row r="67" spans="5:28" x14ac:dyDescent="0.3">
      <c r="E67" t="s">
        <v>59</v>
      </c>
      <c r="F67" s="37">
        <v>24.096940387330797</v>
      </c>
      <c r="G67" s="37"/>
      <c r="H67" s="37"/>
    </row>
  </sheetData>
  <mergeCells count="5">
    <mergeCell ref="W3:W4"/>
    <mergeCell ref="R2:R3"/>
    <mergeCell ref="S3:S4"/>
    <mergeCell ref="U3:U4"/>
    <mergeCell ref="V3:V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7638-F7AE-44C5-8E2C-9F84334A7BA4}">
  <dimension ref="A1:AA48"/>
  <sheetViews>
    <sheetView workbookViewId="0">
      <pane xSplit="2" ySplit="4" topLeftCell="C19" activePane="bottomRight" state="frozen"/>
      <selection pane="topRight" activeCell="C1" sqref="C1"/>
      <selection pane="bottomLeft" activeCell="A5" sqref="A5"/>
      <selection pane="bottomRight" activeCell="Q41" sqref="Q41"/>
    </sheetView>
  </sheetViews>
  <sheetFormatPr defaultRowHeight="14.4" x14ac:dyDescent="0.3"/>
  <cols>
    <col min="1" max="1" width="8.88671875" customWidth="1"/>
    <col min="2" max="2" width="32.6640625" customWidth="1"/>
    <col min="3" max="3" width="10.6640625" style="9" customWidth="1"/>
    <col min="4" max="6" width="8.88671875" style="9"/>
    <col min="7" max="7" width="2.109375" style="9" customWidth="1"/>
    <col min="8" max="8" width="8.33203125" style="9" customWidth="1"/>
    <col min="9" max="9" width="9.6640625" style="9" customWidth="1"/>
    <col min="10" max="10" width="2.6640625" style="9" customWidth="1"/>
    <col min="11" max="11" width="7.33203125" style="9" customWidth="1"/>
    <col min="12" max="12" width="8.88671875" style="9" customWidth="1"/>
    <col min="13" max="13" width="8.88671875" style="9"/>
    <col min="14" max="14" width="2.33203125" style="9" customWidth="1"/>
    <col min="15" max="15" width="5.5546875" style="9" bestFit="1" customWidth="1"/>
    <col min="16" max="17" width="8.88671875" style="9"/>
    <col min="18" max="18" width="3.33203125" style="9" customWidth="1"/>
    <col min="19" max="19" width="6.5546875" style="119" customWidth="1"/>
    <col min="20" max="20" width="8.88671875" style="9"/>
    <col min="21" max="21" width="9.33203125" style="9" customWidth="1"/>
    <col min="22" max="22" width="2.88671875" style="9" customWidth="1"/>
    <col min="23" max="23" width="5.5546875" style="9" bestFit="1" customWidth="1"/>
    <col min="24" max="24" width="8.88671875" style="9"/>
    <col min="25" max="25" width="10.33203125" style="9" customWidth="1"/>
  </cols>
  <sheetData>
    <row r="1" spans="1:25" x14ac:dyDescent="0.3">
      <c r="C1"/>
      <c r="D1"/>
      <c r="E1"/>
      <c r="F1"/>
      <c r="G1"/>
      <c r="H1" t="s">
        <v>139</v>
      </c>
      <c r="I1"/>
      <c r="J1"/>
      <c r="K1"/>
      <c r="L1" t="s">
        <v>139</v>
      </c>
      <c r="M1"/>
      <c r="N1"/>
      <c r="O1"/>
      <c r="P1"/>
      <c r="Q1"/>
      <c r="R1"/>
      <c r="S1" s="114"/>
      <c r="T1"/>
      <c r="U1"/>
      <c r="V1"/>
      <c r="W1"/>
      <c r="X1"/>
      <c r="Y1"/>
    </row>
    <row r="2" spans="1:25" x14ac:dyDescent="0.3">
      <c r="C2"/>
      <c r="D2" s="115"/>
      <c r="E2"/>
      <c r="F2"/>
      <c r="G2"/>
      <c r="H2" t="s">
        <v>140</v>
      </c>
      <c r="I2"/>
      <c r="J2"/>
      <c r="K2"/>
      <c r="L2" t="s">
        <v>141</v>
      </c>
      <c r="M2"/>
      <c r="N2"/>
      <c r="O2"/>
      <c r="P2" t="s">
        <v>4</v>
      </c>
      <c r="Q2"/>
      <c r="R2"/>
      <c r="S2" s="114"/>
      <c r="T2" t="s">
        <v>142</v>
      </c>
      <c r="U2"/>
      <c r="V2"/>
      <c r="W2"/>
      <c r="X2" t="s">
        <v>6</v>
      </c>
      <c r="Y2"/>
    </row>
    <row r="3" spans="1:25" x14ac:dyDescent="0.3">
      <c r="C3"/>
      <c r="D3"/>
      <c r="E3"/>
      <c r="F3"/>
      <c r="G3"/>
      <c r="H3" s="1"/>
      <c r="I3"/>
      <c r="J3"/>
      <c r="K3"/>
      <c r="L3"/>
      <c r="M3"/>
      <c r="N3"/>
      <c r="O3"/>
      <c r="P3"/>
      <c r="Q3"/>
      <c r="R3"/>
      <c r="S3" s="114"/>
      <c r="T3"/>
      <c r="U3"/>
      <c r="V3"/>
      <c r="W3"/>
      <c r="X3"/>
      <c r="Y3"/>
    </row>
    <row r="4" spans="1:25" x14ac:dyDescent="0.3">
      <c r="C4" t="s">
        <v>143</v>
      </c>
      <c r="D4" s="1" t="s">
        <v>144</v>
      </c>
      <c r="E4" s="1" t="s">
        <v>145</v>
      </c>
      <c r="F4" s="1" t="s">
        <v>146</v>
      </c>
      <c r="G4"/>
      <c r="H4" s="1" t="s">
        <v>147</v>
      </c>
      <c r="I4" s="1" t="s">
        <v>148</v>
      </c>
      <c r="J4"/>
      <c r="K4"/>
      <c r="L4" s="94" t="s">
        <v>147</v>
      </c>
      <c r="M4" t="s">
        <v>148</v>
      </c>
      <c r="N4"/>
      <c r="O4"/>
      <c r="P4" s="94" t="s">
        <v>147</v>
      </c>
      <c r="Q4" t="s">
        <v>148</v>
      </c>
      <c r="R4"/>
      <c r="S4" s="114"/>
      <c r="T4" s="94" t="s">
        <v>147</v>
      </c>
      <c r="U4" t="s">
        <v>148</v>
      </c>
      <c r="V4"/>
      <c r="W4"/>
      <c r="X4" s="94" t="s">
        <v>147</v>
      </c>
      <c r="Y4" t="s">
        <v>148</v>
      </c>
    </row>
    <row r="5" spans="1:25" x14ac:dyDescent="0.3">
      <c r="A5" t="s">
        <v>59</v>
      </c>
      <c r="B5" t="s">
        <v>149</v>
      </c>
      <c r="C5" s="204">
        <f>Summary!U43</f>
        <v>138.07163856445123</v>
      </c>
      <c r="D5" s="116"/>
      <c r="E5" s="116"/>
      <c r="F5" s="116"/>
      <c r="H5" s="117">
        <f t="shared" ref="H5:H10" si="0">E6*H6</f>
        <v>138.07147778437331</v>
      </c>
      <c r="I5" s="1"/>
      <c r="K5"/>
      <c r="L5" s="118">
        <f>H5</f>
        <v>138.07147778437331</v>
      </c>
      <c r="M5"/>
      <c r="P5" s="118">
        <f>L5*Summary!W13/Summary!U13</f>
        <v>7593.9312781405324</v>
      </c>
      <c r="Q5"/>
      <c r="R5"/>
      <c r="S5" s="114"/>
      <c r="T5" s="118">
        <f>L5*Summary!X13/Summary!U13</f>
        <v>21746.257751038796</v>
      </c>
      <c r="U5"/>
      <c r="V5"/>
      <c r="W5"/>
      <c r="X5" s="118">
        <f>L5*Summary!Y13/Summary!U13</f>
        <v>35898.584223937061</v>
      </c>
      <c r="Y5"/>
    </row>
    <row r="6" spans="1:25" x14ac:dyDescent="0.3">
      <c r="B6" t="s">
        <v>150</v>
      </c>
      <c r="C6"/>
      <c r="D6" s="114">
        <v>0.34251600683594652</v>
      </c>
      <c r="E6" s="114">
        <f t="shared" ref="E6:E15" si="1">1-D6</f>
        <v>0.65748399316405348</v>
      </c>
      <c r="F6" s="114">
        <f t="shared" ref="F6:F14" si="2">E6*F7</f>
        <v>0.4761085440840459</v>
      </c>
      <c r="H6" s="69">
        <f>E7*H8</f>
        <v>209.9997554616088</v>
      </c>
      <c r="I6" s="69">
        <f t="shared" ref="I6:I11" si="3">H6-H5</f>
        <v>71.928277677235485</v>
      </c>
      <c r="J6" s="78"/>
      <c r="K6" s="114">
        <f>D6</f>
        <v>0.34251600683594652</v>
      </c>
      <c r="L6" s="69">
        <f>L5/(1-K6)</f>
        <v>209.99975546160883</v>
      </c>
      <c r="M6" s="69">
        <f>L6-L5</f>
        <v>71.928277677235513</v>
      </c>
      <c r="O6" s="114">
        <f>$K6</f>
        <v>0.34251600683594652</v>
      </c>
      <c r="P6" s="69">
        <f>P5/(1-O6)</f>
        <v>11549.986550388485</v>
      </c>
      <c r="Q6" s="69">
        <f>P6-P5</f>
        <v>3956.0552722479524</v>
      </c>
      <c r="R6"/>
      <c r="S6" s="114">
        <f>$K6</f>
        <v>0.34251600683594652</v>
      </c>
      <c r="T6" s="69">
        <f>T5/(1-S6)</f>
        <v>33074.961485203385</v>
      </c>
      <c r="U6" s="69">
        <f>T6-T5</f>
        <v>11328.703734164588</v>
      </c>
      <c r="V6"/>
      <c r="W6" s="114">
        <f>$K6</f>
        <v>0.34251600683594652</v>
      </c>
      <c r="X6" s="69">
        <f>X5/(1-W6)</f>
        <v>54599.93642001829</v>
      </c>
      <c r="Y6" s="69">
        <f>X6-X5</f>
        <v>18701.352196081229</v>
      </c>
    </row>
    <row r="7" spans="1:25" x14ac:dyDescent="0.3">
      <c r="B7" t="s">
        <v>151</v>
      </c>
      <c r="C7"/>
      <c r="D7" s="121">
        <v>0</v>
      </c>
      <c r="E7" s="114">
        <f t="shared" si="1"/>
        <v>1</v>
      </c>
      <c r="F7" s="114">
        <f>E7*F9</f>
        <v>0.72413708779865105</v>
      </c>
      <c r="H7"/>
      <c r="I7" s="69">
        <f>H8-H6</f>
        <v>0</v>
      </c>
      <c r="J7" s="78"/>
      <c r="K7" s="114">
        <f>D7</f>
        <v>0</v>
      </c>
      <c r="L7"/>
      <c r="M7" s="122">
        <f>L8-L6</f>
        <v>0</v>
      </c>
      <c r="O7" s="114">
        <f>$K7</f>
        <v>0</v>
      </c>
      <c r="P7"/>
      <c r="Q7" s="69">
        <f>P8-P6</f>
        <v>0</v>
      </c>
      <c r="R7"/>
      <c r="S7" s="114">
        <f>$K7*S$25</f>
        <v>0</v>
      </c>
      <c r="T7"/>
      <c r="U7" s="69">
        <f>T8-T6</f>
        <v>0</v>
      </c>
      <c r="V7"/>
      <c r="W7" s="114">
        <f>$K7*W$25</f>
        <v>0</v>
      </c>
      <c r="X7"/>
      <c r="Y7" s="69">
        <f>X8-X6</f>
        <v>0</v>
      </c>
    </row>
    <row r="8" spans="1:25" x14ac:dyDescent="0.3">
      <c r="B8" s="123" t="s">
        <v>152</v>
      </c>
      <c r="C8" s="204">
        <f>Summary!U39</f>
        <v>210</v>
      </c>
      <c r="D8" s="119"/>
      <c r="E8" s="114"/>
      <c r="F8" s="114"/>
      <c r="H8" s="117">
        <f>E9*H9</f>
        <v>209.9997554616088</v>
      </c>
      <c r="I8" s="69"/>
      <c r="J8" s="78"/>
      <c r="K8" s="114"/>
      <c r="L8" s="117">
        <f>L6/(1-K7)</f>
        <v>209.99975546160883</v>
      </c>
      <c r="M8" s="69"/>
      <c r="O8" s="114"/>
      <c r="P8" s="117">
        <f>P6/(1-O7)</f>
        <v>11549.986550388485</v>
      </c>
      <c r="Q8" s="69"/>
      <c r="R8"/>
      <c r="S8" s="114"/>
      <c r="T8" s="117">
        <f>T6/(1-S7)</f>
        <v>33074.961485203385</v>
      </c>
      <c r="U8" s="69"/>
      <c r="V8"/>
      <c r="W8" s="114"/>
      <c r="X8" s="117">
        <f>X6/(1-W7)</f>
        <v>54599.93642001829</v>
      </c>
      <c r="Y8" s="69"/>
    </row>
    <row r="9" spans="1:25" x14ac:dyDescent="0.3">
      <c r="B9" t="s">
        <v>153</v>
      </c>
      <c r="C9"/>
      <c r="D9" s="114">
        <v>0</v>
      </c>
      <c r="E9" s="114">
        <f t="shared" si="1"/>
        <v>1</v>
      </c>
      <c r="F9" s="114">
        <f t="shared" si="2"/>
        <v>0.72413708779865105</v>
      </c>
      <c r="H9" s="69">
        <f t="shared" si="0"/>
        <v>209.9997554616088</v>
      </c>
      <c r="I9" s="69">
        <f>H9-H8</f>
        <v>0</v>
      </c>
      <c r="J9" s="78"/>
      <c r="K9" s="114">
        <f t="shared" ref="K9:K12" si="4">D9</f>
        <v>0</v>
      </c>
      <c r="L9" s="69">
        <f>L8/(1-K9)</f>
        <v>209.99975546160883</v>
      </c>
      <c r="M9" s="69">
        <f>L9-L8</f>
        <v>0</v>
      </c>
      <c r="O9" s="114">
        <f>$K9</f>
        <v>0</v>
      </c>
      <c r="P9" s="69">
        <f>P8/(1-O9)</f>
        <v>11549.986550388485</v>
      </c>
      <c r="Q9" s="69">
        <f>P9-P8</f>
        <v>0</v>
      </c>
      <c r="R9"/>
      <c r="S9" s="114">
        <f>$K9</f>
        <v>0</v>
      </c>
      <c r="T9" s="69">
        <f>T8/(1-S9)</f>
        <v>33074.961485203385</v>
      </c>
      <c r="U9" s="69">
        <f>T9-T8</f>
        <v>0</v>
      </c>
      <c r="V9"/>
      <c r="W9" s="114">
        <f>$K9</f>
        <v>0</v>
      </c>
      <c r="X9" s="69">
        <f>X8/(1-W9)</f>
        <v>54599.93642001829</v>
      </c>
      <c r="Y9" s="69">
        <f>X9-X8</f>
        <v>0</v>
      </c>
    </row>
    <row r="10" spans="1:25" x14ac:dyDescent="0.3">
      <c r="B10" t="s">
        <v>154</v>
      </c>
      <c r="C10"/>
      <c r="D10" s="121">
        <v>0</v>
      </c>
      <c r="E10" s="114">
        <f t="shared" si="1"/>
        <v>1</v>
      </c>
      <c r="F10" s="114">
        <f t="shared" si="2"/>
        <v>0.72413708779865105</v>
      </c>
      <c r="H10" s="69">
        <f t="shared" si="0"/>
        <v>209.9997554616088</v>
      </c>
      <c r="I10" s="69">
        <f t="shared" si="3"/>
        <v>0</v>
      </c>
      <c r="J10" s="78"/>
      <c r="K10" s="114">
        <f t="shared" si="4"/>
        <v>0</v>
      </c>
      <c r="L10" s="69">
        <f t="shared" ref="L10:L11" si="5">L9/(1-K10)</f>
        <v>209.99975546160883</v>
      </c>
      <c r="M10" s="122">
        <f t="shared" ref="M10:M11" si="6">L10-L9</f>
        <v>0</v>
      </c>
      <c r="O10" s="114">
        <f>$K10</f>
        <v>0</v>
      </c>
      <c r="P10" s="69">
        <f t="shared" ref="P10:P11" si="7">P9/(1-O10)</f>
        <v>11549.986550388485</v>
      </c>
      <c r="Q10" s="69">
        <f t="shared" ref="Q10:Q11" si="8">P10-P9</f>
        <v>0</v>
      </c>
      <c r="R10"/>
      <c r="S10" s="114">
        <f>$K10*S$25</f>
        <v>0</v>
      </c>
      <c r="T10" s="69">
        <f t="shared" ref="T10:T11" si="9">T9/(1-S10)</f>
        <v>33074.961485203385</v>
      </c>
      <c r="U10" s="69">
        <f t="shared" ref="U10:U11" si="10">T10-T9</f>
        <v>0</v>
      </c>
      <c r="V10"/>
      <c r="W10" s="114">
        <f>$K10*W$25</f>
        <v>0</v>
      </c>
      <c r="X10" s="69">
        <f t="shared" ref="X10:X11" si="11">X9/(1-W10)</f>
        <v>54599.93642001829</v>
      </c>
      <c r="Y10" s="69">
        <f t="shared" ref="Y10:Y11" si="12">X10-X9</f>
        <v>0</v>
      </c>
    </row>
    <row r="11" spans="1:25" x14ac:dyDescent="0.3">
      <c r="B11" t="s">
        <v>155</v>
      </c>
      <c r="C11"/>
      <c r="D11" s="114">
        <v>0.23295031772656141</v>
      </c>
      <c r="E11" s="114">
        <f t="shared" si="1"/>
        <v>0.76704968227343862</v>
      </c>
      <c r="F11" s="114">
        <f t="shared" si="2"/>
        <v>0.72413708779865105</v>
      </c>
      <c r="H11" s="69">
        <f>E12*H13</f>
        <v>273.77594999999997</v>
      </c>
      <c r="I11" s="69">
        <f t="shared" si="3"/>
        <v>63.776194538391167</v>
      </c>
      <c r="J11" s="78"/>
      <c r="K11" s="114">
        <f t="shared" si="4"/>
        <v>0.23295031772656141</v>
      </c>
      <c r="L11" s="69">
        <f t="shared" si="5"/>
        <v>273.77595000000002</v>
      </c>
      <c r="M11" s="69">
        <f t="shared" si="6"/>
        <v>63.776194538391195</v>
      </c>
      <c r="O11" s="114">
        <f>$K11</f>
        <v>0.23295031772656141</v>
      </c>
      <c r="P11" s="69">
        <f t="shared" si="7"/>
        <v>15057.677250000001</v>
      </c>
      <c r="Q11" s="69">
        <f t="shared" si="8"/>
        <v>3507.6906996115158</v>
      </c>
      <c r="R11"/>
      <c r="S11" s="114">
        <f>$K11</f>
        <v>0.23295031772656141</v>
      </c>
      <c r="T11" s="69">
        <f t="shared" si="9"/>
        <v>43119.712124999998</v>
      </c>
      <c r="U11" s="69">
        <f t="shared" si="10"/>
        <v>10044.750639796614</v>
      </c>
      <c r="V11"/>
      <c r="W11" s="114">
        <f>$K11</f>
        <v>0.23295031772656141</v>
      </c>
      <c r="X11" s="69">
        <f t="shared" si="11"/>
        <v>71181.747000000003</v>
      </c>
      <c r="Y11" s="69">
        <f t="shared" si="12"/>
        <v>16581.810579981713</v>
      </c>
    </row>
    <row r="12" spans="1:25" x14ac:dyDescent="0.3">
      <c r="B12" t="s">
        <v>156</v>
      </c>
      <c r="C12"/>
      <c r="D12" s="121">
        <v>5.5E-2</v>
      </c>
      <c r="E12" s="114">
        <f t="shared" si="1"/>
        <v>0.94499999999999995</v>
      </c>
      <c r="F12" s="114">
        <f>E12*F14</f>
        <v>0.94405499999999998</v>
      </c>
      <c r="H12"/>
      <c r="I12" s="69">
        <f>H13-H11</f>
        <v>15.934050000000013</v>
      </c>
      <c r="J12" s="78"/>
      <c r="K12" s="114">
        <f t="shared" si="4"/>
        <v>5.5E-2</v>
      </c>
      <c r="L12"/>
      <c r="M12" s="122">
        <f>L13-L11</f>
        <v>15.934050000000013</v>
      </c>
      <c r="O12" s="114">
        <f>$K12</f>
        <v>5.5E-2</v>
      </c>
      <c r="P12"/>
      <c r="Q12" s="69">
        <f>P13-P11</f>
        <v>876.37275000000045</v>
      </c>
      <c r="R12"/>
      <c r="S12" s="114">
        <f>$K12*S$25</f>
        <v>0.14771104813631517</v>
      </c>
      <c r="T12"/>
      <c r="U12" s="69">
        <f>T13-T11</f>
        <v>7473.120306666402</v>
      </c>
      <c r="V12"/>
      <c r="W12" s="114">
        <f>$K12*W$25</f>
        <v>0.24662182959828366</v>
      </c>
      <c r="X12"/>
      <c r="Y12" s="69">
        <f>X13-X11</f>
        <v>23301.674204047449</v>
      </c>
    </row>
    <row r="13" spans="1:25" x14ac:dyDescent="0.3">
      <c r="B13" s="123" t="s">
        <v>157</v>
      </c>
      <c r="C13" s="204">
        <f>Summary!U35</f>
        <v>290</v>
      </c>
      <c r="D13" s="119"/>
      <c r="E13" s="114"/>
      <c r="F13" s="114"/>
      <c r="H13" s="117">
        <f>E14*H14</f>
        <v>289.70999999999998</v>
      </c>
      <c r="I13" s="69"/>
      <c r="J13" s="78"/>
      <c r="K13" s="114"/>
      <c r="L13" s="117">
        <f>L11/(1-K12)</f>
        <v>289.71000000000004</v>
      </c>
      <c r="M13" s="69"/>
      <c r="O13" s="114"/>
      <c r="P13" s="117">
        <f>P11/(1-O12)</f>
        <v>15934.050000000001</v>
      </c>
      <c r="Q13" s="69"/>
      <c r="R13"/>
      <c r="S13" s="114"/>
      <c r="T13" s="117">
        <f>T11/(1-S12)</f>
        <v>50592.8324316664</v>
      </c>
      <c r="U13" s="69"/>
      <c r="V13"/>
      <c r="W13" s="114"/>
      <c r="X13" s="69">
        <f>X11/(1-W12)</f>
        <v>94483.421204047452</v>
      </c>
      <c r="Y13" s="69"/>
    </row>
    <row r="14" spans="1:25" x14ac:dyDescent="0.3">
      <c r="B14" t="s">
        <v>158</v>
      </c>
      <c r="C14"/>
      <c r="D14" s="114">
        <v>0</v>
      </c>
      <c r="E14" s="114">
        <f t="shared" si="1"/>
        <v>1</v>
      </c>
      <c r="F14" s="114">
        <f t="shared" si="2"/>
        <v>0.999</v>
      </c>
      <c r="H14" s="69">
        <f>E15*H16</f>
        <v>289.70999999999998</v>
      </c>
      <c r="I14" s="69">
        <f>H14-H13</f>
        <v>0</v>
      </c>
      <c r="J14" s="78"/>
      <c r="K14" s="114">
        <f t="shared" ref="K14:K15" si="13">D14</f>
        <v>0</v>
      </c>
      <c r="L14" s="69">
        <f>L13/(1-K14)</f>
        <v>289.71000000000004</v>
      </c>
      <c r="M14" s="69">
        <f>L14-L13</f>
        <v>0</v>
      </c>
      <c r="O14" s="114">
        <f>$K14</f>
        <v>0</v>
      </c>
      <c r="P14" s="69">
        <f>P13/(1-O14)</f>
        <v>15934.050000000001</v>
      </c>
      <c r="Q14" s="69">
        <f>P14-P13</f>
        <v>0</v>
      </c>
      <c r="R14"/>
      <c r="S14" s="114">
        <f>$K14</f>
        <v>0</v>
      </c>
      <c r="T14" s="69">
        <f>T13/(1-S14)</f>
        <v>50592.8324316664</v>
      </c>
      <c r="U14" s="69">
        <f>T14-T13</f>
        <v>0</v>
      </c>
      <c r="V14"/>
      <c r="W14" s="114">
        <f>$K14</f>
        <v>0</v>
      </c>
      <c r="X14" s="69">
        <f>X13/(1-W14)</f>
        <v>94483.421204047452</v>
      </c>
      <c r="Y14" s="69">
        <f>X14-X13</f>
        <v>0</v>
      </c>
    </row>
    <row r="15" spans="1:25" x14ac:dyDescent="0.3">
      <c r="B15" t="s">
        <v>159</v>
      </c>
      <c r="C15"/>
      <c r="D15" s="121">
        <v>1E-3</v>
      </c>
      <c r="E15" s="114">
        <f t="shared" si="1"/>
        <v>0.999</v>
      </c>
      <c r="F15" s="114">
        <f>E15</f>
        <v>0.999</v>
      </c>
      <c r="H15"/>
      <c r="I15" s="69">
        <f>H16-H14</f>
        <v>0.29000000000002046</v>
      </c>
      <c r="J15" s="78"/>
      <c r="K15" s="114">
        <f t="shared" si="13"/>
        <v>1E-3</v>
      </c>
      <c r="L15"/>
      <c r="M15" s="122">
        <f>L16-L14</f>
        <v>0.29000000000002046</v>
      </c>
      <c r="O15" s="114">
        <f>$K15</f>
        <v>1E-3</v>
      </c>
      <c r="P15"/>
      <c r="Q15" s="69">
        <f>P16-P14</f>
        <v>15.950000000000728</v>
      </c>
      <c r="R15"/>
      <c r="S15" s="114">
        <f>$K15*S$25</f>
        <v>2.6856554206602756E-3</v>
      </c>
      <c r="T15"/>
      <c r="U15" s="69">
        <f>T16-T14</f>
        <v>136.24081053799455</v>
      </c>
      <c r="V15"/>
      <c r="W15" s="114">
        <f>$K15*W$25</f>
        <v>4.4840332654233397E-3</v>
      </c>
      <c r="X15"/>
      <c r="Y15" s="69">
        <f>X16-X14</f>
        <v>425.57509660004871</v>
      </c>
    </row>
    <row r="16" spans="1:25" x14ac:dyDescent="0.3">
      <c r="B16" t="s">
        <v>160</v>
      </c>
      <c r="C16" s="204">
        <f>Summary!U31</f>
        <v>290</v>
      </c>
      <c r="D16" s="119"/>
      <c r="E16" s="124"/>
      <c r="F16" s="124"/>
      <c r="H16" s="117">
        <f>C16</f>
        <v>290</v>
      </c>
      <c r="I16" s="69"/>
      <c r="J16" s="78"/>
      <c r="K16" s="120"/>
      <c r="L16" s="117">
        <f>L14/(1-K15)</f>
        <v>290.00000000000006</v>
      </c>
      <c r="M16" s="69"/>
      <c r="O16" s="114"/>
      <c r="P16" s="117">
        <f>P14/(1-O15)</f>
        <v>15950.000000000002</v>
      </c>
      <c r="Q16" s="69"/>
      <c r="R16"/>
      <c r="S16" s="114"/>
      <c r="T16" s="117">
        <f>T14/(1-S15)</f>
        <v>50729.073242204395</v>
      </c>
      <c r="U16" s="69"/>
      <c r="V16"/>
      <c r="W16" s="114"/>
      <c r="X16" s="117">
        <f>X14/(1-W15)</f>
        <v>94908.996300647501</v>
      </c>
      <c r="Y16" s="69"/>
    </row>
    <row r="17" spans="1:27" x14ac:dyDescent="0.3">
      <c r="D17" s="116"/>
      <c r="E17" s="116"/>
      <c r="F17" s="116"/>
      <c r="H17"/>
      <c r="I17"/>
      <c r="K17"/>
      <c r="L17" s="69"/>
      <c r="M17"/>
      <c r="P17" s="69"/>
      <c r="Q17"/>
      <c r="R17"/>
      <c r="S17" s="114"/>
      <c r="T17" s="69"/>
      <c r="U17"/>
      <c r="V17"/>
      <c r="W17"/>
      <c r="X17" s="69"/>
      <c r="Y17"/>
    </row>
    <row r="18" spans="1:27" x14ac:dyDescent="0.3">
      <c r="B18" s="35" t="s">
        <v>161</v>
      </c>
      <c r="C18" s="125">
        <f>Summary!U47</f>
        <v>11.599999999999994</v>
      </c>
      <c r="H18"/>
      <c r="I18" s="125">
        <f>I7+I10+I12+I15</f>
        <v>16.224050000000034</v>
      </c>
      <c r="K18"/>
      <c r="L18" s="69"/>
      <c r="M18" s="69">
        <f>M7+M10+M12+M15</f>
        <v>16.224050000000034</v>
      </c>
      <c r="P18" s="69"/>
      <c r="Q18" s="69">
        <f>Q7+Q10+Q12+Q15</f>
        <v>892.32275000000118</v>
      </c>
      <c r="R18"/>
      <c r="S18" s="114"/>
      <c r="T18" s="69"/>
      <c r="U18" s="69">
        <f>U7+U10+U12+U15</f>
        <v>7609.3611172043966</v>
      </c>
      <c r="V18"/>
      <c r="W18"/>
      <c r="X18" s="69"/>
      <c r="Y18" s="69">
        <f>Y7+Y10+Y12+Y15</f>
        <v>23727.249300647498</v>
      </c>
    </row>
    <row r="19" spans="1:27" x14ac:dyDescent="0.3">
      <c r="B19" s="35" t="s">
        <v>162</v>
      </c>
      <c r="C19" s="130"/>
      <c r="H19"/>
      <c r="I19" s="134">
        <f>I18/H16</f>
        <v>5.594500000000012E-2</v>
      </c>
      <c r="K19" s="114"/>
      <c r="L19" s="69"/>
      <c r="M19" s="127">
        <f>M18/L16</f>
        <v>5.5945000000000106E-2</v>
      </c>
      <c r="P19" s="69"/>
      <c r="Q19" s="127">
        <f>Q18/P16</f>
        <v>5.5945000000000064E-2</v>
      </c>
      <c r="R19" s="127"/>
      <c r="S19" s="136"/>
      <c r="T19" s="127"/>
      <c r="U19" s="127">
        <f>U18/T16</f>
        <v>0.15000000257985666</v>
      </c>
      <c r="V19" s="127"/>
      <c r="W19" s="127"/>
      <c r="X19" s="127"/>
      <c r="Y19" s="127">
        <f>Y18/X16</f>
        <v>0.25000000237580872</v>
      </c>
    </row>
    <row r="20" spans="1:27" x14ac:dyDescent="0.3">
      <c r="B20" s="35" t="s">
        <v>163</v>
      </c>
      <c r="C20" s="130"/>
      <c r="H20"/>
      <c r="I20" s="125">
        <f>I6+I9+I11+I14</f>
        <v>135.70447221562665</v>
      </c>
      <c r="K20"/>
      <c r="L20" s="69"/>
      <c r="M20" s="125">
        <f>M6+M9+M11+M14</f>
        <v>135.70447221562671</v>
      </c>
      <c r="P20" s="69"/>
      <c r="Q20" s="125">
        <f>Q6+Q9+Q11+Q14</f>
        <v>7463.7459718594682</v>
      </c>
      <c r="R20"/>
      <c r="S20" s="114"/>
      <c r="T20" s="69"/>
      <c r="U20" s="125">
        <f>U6+U9+U11+U14</f>
        <v>21373.454373961202</v>
      </c>
      <c r="V20"/>
      <c r="W20"/>
      <c r="X20" s="69"/>
      <c r="Y20" s="125">
        <f>Y6+Y9+Y11+Y14</f>
        <v>35283.162776062942</v>
      </c>
    </row>
    <row r="21" spans="1:27" x14ac:dyDescent="0.3">
      <c r="B21" s="35" t="s">
        <v>164</v>
      </c>
      <c r="C21" s="130"/>
      <c r="H21"/>
      <c r="I21" s="126">
        <f>I20/H16</f>
        <v>0.46794645591595396</v>
      </c>
      <c r="K21"/>
      <c r="L21" s="69"/>
      <c r="M21" s="126">
        <f>M20/L16</f>
        <v>0.46794645591595407</v>
      </c>
      <c r="P21" s="69"/>
      <c r="Q21" s="126">
        <f>Q20/P16</f>
        <v>0.46794645591595407</v>
      </c>
      <c r="R21"/>
      <c r="S21" s="114"/>
      <c r="T21" s="69"/>
      <c r="U21" s="126">
        <f>U20/T16</f>
        <v>0.421325543873319</v>
      </c>
      <c r="V21"/>
      <c r="W21"/>
      <c r="X21" s="69"/>
      <c r="Y21" s="126">
        <f>Y20/X16</f>
        <v>0.37175783278009683</v>
      </c>
    </row>
    <row r="22" spans="1:27" x14ac:dyDescent="0.3">
      <c r="H22"/>
      <c r="I22"/>
      <c r="K22"/>
      <c r="L22"/>
      <c r="M22"/>
      <c r="P22"/>
      <c r="Q22"/>
      <c r="R22"/>
      <c r="S22" s="114"/>
      <c r="T22"/>
      <c r="U22"/>
      <c r="V22"/>
      <c r="W22"/>
      <c r="X22"/>
      <c r="Y22"/>
    </row>
    <row r="23" spans="1:27" s="131" customFormat="1" x14ac:dyDescent="0.3">
      <c r="B23" s="132" t="s">
        <v>165</v>
      </c>
      <c r="C23" s="133"/>
      <c r="D23" s="128"/>
      <c r="E23" s="128"/>
      <c r="F23" s="128"/>
      <c r="G23" s="128"/>
      <c r="H23" s="128"/>
      <c r="I23" s="128"/>
      <c r="J23" s="128"/>
      <c r="K23" s="127"/>
      <c r="L23" s="127"/>
      <c r="M23" s="127">
        <f>M19</f>
        <v>5.5945000000000106E-2</v>
      </c>
      <c r="N23" s="128"/>
      <c r="O23" s="128"/>
      <c r="P23" s="127"/>
      <c r="Q23" s="127">
        <f>M23</f>
        <v>5.5945000000000106E-2</v>
      </c>
      <c r="R23" s="127"/>
      <c r="S23" s="136"/>
      <c r="T23" s="127"/>
      <c r="U23" s="127">
        <v>0.15</v>
      </c>
      <c r="V23" s="127"/>
      <c r="W23" s="127"/>
      <c r="X23" s="127"/>
      <c r="Y23" s="127">
        <v>0.25</v>
      </c>
    </row>
    <row r="24" spans="1:27" s="131" customFormat="1" x14ac:dyDescent="0.3">
      <c r="B24" s="132"/>
      <c r="C24" s="133"/>
      <c r="D24" s="128"/>
      <c r="E24" s="128"/>
      <c r="F24" s="128"/>
      <c r="G24" s="128"/>
      <c r="H24" s="128"/>
      <c r="I24" s="128"/>
      <c r="J24" s="128"/>
      <c r="K24" s="128"/>
      <c r="L24" s="133"/>
      <c r="M24" s="128"/>
      <c r="N24" s="128"/>
      <c r="O24" s="128"/>
      <c r="P24" s="127"/>
      <c r="Q24" s="127"/>
      <c r="R24" s="127"/>
      <c r="S24" s="136"/>
      <c r="T24" s="127"/>
      <c r="U24" s="127"/>
      <c r="V24" s="127"/>
      <c r="W24" s="127"/>
      <c r="X24" s="127"/>
      <c r="Y24" s="127"/>
      <c r="AA24" s="127"/>
    </row>
    <row r="25" spans="1:27" s="131" customFormat="1" x14ac:dyDescent="0.3">
      <c r="B25" s="134" t="s">
        <v>166</v>
      </c>
      <c r="C25" s="133"/>
      <c r="D25" s="128"/>
      <c r="E25" s="128"/>
      <c r="F25" s="128"/>
      <c r="G25" s="128"/>
      <c r="H25" s="128"/>
      <c r="I25" s="128"/>
      <c r="J25" s="128"/>
      <c r="K25" s="128"/>
      <c r="L25" s="133"/>
      <c r="M25" s="128"/>
      <c r="N25" s="128"/>
      <c r="O25" s="128"/>
      <c r="P25" s="127"/>
      <c r="Q25" s="127"/>
      <c r="R25" s="127"/>
      <c r="S25" s="144">
        <v>2.6856554206602756</v>
      </c>
      <c r="T25" s="127"/>
      <c r="U25" s="127"/>
      <c r="V25" s="127"/>
      <c r="W25" s="135">
        <v>4.4840332654233395</v>
      </c>
      <c r="X25" s="127"/>
      <c r="Y25" s="127"/>
    </row>
    <row r="26" spans="1:27" s="131" customFormat="1" x14ac:dyDescent="0.3">
      <c r="B26" s="132"/>
      <c r="C26" s="133"/>
      <c r="D26" s="128"/>
      <c r="E26" s="128"/>
      <c r="F26" s="128"/>
      <c r="G26" s="128"/>
      <c r="H26" s="128"/>
      <c r="I26" s="128"/>
      <c r="J26" s="128"/>
      <c r="K26" s="128"/>
      <c r="L26" s="133"/>
      <c r="M26" s="128"/>
      <c r="N26" s="128"/>
      <c r="O26" s="128"/>
      <c r="P26" s="128"/>
      <c r="Q26" s="128"/>
      <c r="R26" s="128"/>
      <c r="S26" s="129"/>
      <c r="T26" s="128"/>
      <c r="U26" s="128"/>
      <c r="V26" s="128"/>
      <c r="W26" s="128"/>
      <c r="X26" s="128"/>
      <c r="Y26" s="128"/>
    </row>
    <row r="27" spans="1:27" x14ac:dyDescent="0.3">
      <c r="B27" s="35"/>
      <c r="C27" s="130"/>
      <c r="H27" t="s">
        <v>140</v>
      </c>
      <c r="I27"/>
      <c r="K27"/>
      <c r="L27" t="s">
        <v>141</v>
      </c>
      <c r="M27"/>
    </row>
    <row r="28" spans="1:27" x14ac:dyDescent="0.3">
      <c r="A28" t="s">
        <v>167</v>
      </c>
      <c r="B28" s="115" t="s">
        <v>149</v>
      </c>
      <c r="C28" s="125">
        <f>Summary!U44</f>
        <v>613.86486937205655</v>
      </c>
      <c r="H28" s="117">
        <f t="shared" ref="H28" si="14">E29*H29</f>
        <v>614.00000000003138</v>
      </c>
      <c r="I28" s="1"/>
      <c r="K28"/>
      <c r="L28" s="118">
        <f>H28</f>
        <v>614.00000000003138</v>
      </c>
      <c r="M28"/>
      <c r="O28"/>
      <c r="P28" s="118">
        <v>10000</v>
      </c>
      <c r="Q28"/>
      <c r="R28"/>
      <c r="S28" s="114"/>
      <c r="T28" s="117">
        <f>T29*(1-S29)</f>
        <v>0</v>
      </c>
      <c r="U28"/>
      <c r="V28"/>
      <c r="W28"/>
      <c r="X28" s="117">
        <f>X29*(1-W29)</f>
        <v>0</v>
      </c>
      <c r="Y28"/>
      <c r="AA28" t="s">
        <v>176</v>
      </c>
    </row>
    <row r="29" spans="1:27" x14ac:dyDescent="0.3">
      <c r="B29" t="s">
        <v>150</v>
      </c>
      <c r="C29"/>
      <c r="D29" s="114">
        <v>0.33260931026121593</v>
      </c>
      <c r="E29" s="120">
        <f t="shared" ref="E29:E30" si="15">1-D29</f>
        <v>0.66739068973878402</v>
      </c>
      <c r="F29" s="120">
        <f t="shared" ref="F29" si="16">E29*F30</f>
        <v>0.52478632478635157</v>
      </c>
      <c r="H29" s="69">
        <f>$E30*H31</f>
        <v>920.00084724039266</v>
      </c>
      <c r="I29" s="69">
        <f t="shared" ref="I29" si="17">H29-H28</f>
        <v>306.00084724036128</v>
      </c>
      <c r="K29" s="114">
        <f>$D29</f>
        <v>0.33260931026121593</v>
      </c>
      <c r="L29" s="69">
        <f>L28/(1-K29)</f>
        <v>920.00084724039277</v>
      </c>
      <c r="M29" s="69">
        <f>L29-L28</f>
        <v>306.0008472403614</v>
      </c>
      <c r="O29" s="114">
        <f>D29</f>
        <v>0.33260931026121593</v>
      </c>
      <c r="P29" s="69">
        <f>P28/(1-O29)</f>
        <v>14983.727153751559</v>
      </c>
      <c r="Q29" s="69">
        <f>P29-P28</f>
        <v>4983.7271537515589</v>
      </c>
      <c r="R29"/>
      <c r="S29" s="114">
        <f>D29</f>
        <v>0.33260931026121593</v>
      </c>
      <c r="T29" s="69">
        <f>T31*(1-S30)</f>
        <v>0</v>
      </c>
      <c r="U29" s="69">
        <f>T29-T28</f>
        <v>0</v>
      </c>
      <c r="V29"/>
      <c r="W29" s="114">
        <f>D29</f>
        <v>0.33260931026121593</v>
      </c>
      <c r="X29" s="69">
        <f>X31*(1-W30)</f>
        <v>0</v>
      </c>
      <c r="Y29" s="69">
        <f>X29-X28</f>
        <v>0</v>
      </c>
    </row>
    <row r="30" spans="1:27" x14ac:dyDescent="0.3">
      <c r="B30" t="s">
        <v>151</v>
      </c>
      <c r="C30"/>
      <c r="D30" s="114">
        <f>D7</f>
        <v>0</v>
      </c>
      <c r="E30" s="120">
        <f t="shared" si="15"/>
        <v>1</v>
      </c>
      <c r="F30" s="120">
        <f>E30*F32</f>
        <v>0.78632551046187416</v>
      </c>
      <c r="H30"/>
      <c r="I30" s="69">
        <f>H31-H29</f>
        <v>0</v>
      </c>
      <c r="K30" s="114">
        <f>$D30</f>
        <v>0</v>
      </c>
      <c r="L30"/>
      <c r="M30" s="122">
        <f>L31-L29</f>
        <v>0</v>
      </c>
      <c r="O30" s="114">
        <f>O7</f>
        <v>0</v>
      </c>
      <c r="P30"/>
      <c r="Q30" s="122">
        <f>P31-P29</f>
        <v>0</v>
      </c>
      <c r="R30"/>
      <c r="S30" s="114">
        <f>S7</f>
        <v>0</v>
      </c>
      <c r="T30"/>
      <c r="U30" s="122">
        <f>T31-T29</f>
        <v>0</v>
      </c>
      <c r="V30"/>
      <c r="W30" s="114">
        <f>W7</f>
        <v>0</v>
      </c>
      <c r="X30"/>
      <c r="Y30" s="122">
        <f>X31-X29</f>
        <v>0</v>
      </c>
    </row>
    <row r="31" spans="1:27" x14ac:dyDescent="0.3">
      <c r="B31" s="123" t="s">
        <v>152</v>
      </c>
      <c r="C31" s="69">
        <f>Summary!U40</f>
        <v>920</v>
      </c>
      <c r="D31" s="114"/>
      <c r="E31" s="120"/>
      <c r="F31" s="120"/>
      <c r="H31" s="117">
        <f>$E32*H32</f>
        <v>920.00084724039266</v>
      </c>
      <c r="I31" s="69"/>
      <c r="K31" s="114"/>
      <c r="L31" s="117">
        <f>L29/(1-K30)</f>
        <v>920.00084724039277</v>
      </c>
      <c r="M31" s="69"/>
      <c r="O31" s="114"/>
      <c r="P31" s="117">
        <f>P29/(1-O30)</f>
        <v>14983.727153751559</v>
      </c>
      <c r="Q31" s="69"/>
      <c r="R31"/>
      <c r="S31" s="114"/>
      <c r="T31" s="118"/>
      <c r="U31" s="69"/>
      <c r="V31"/>
      <c r="W31" s="114"/>
      <c r="X31" s="118"/>
      <c r="Y31" s="69"/>
    </row>
    <row r="32" spans="1:27" x14ac:dyDescent="0.3">
      <c r="B32" t="s">
        <v>153</v>
      </c>
      <c r="C32"/>
      <c r="D32" s="114">
        <f t="shared" ref="D32:D35" si="18">D9</f>
        <v>0</v>
      </c>
      <c r="E32" s="120">
        <f t="shared" ref="E32:E35" si="19">1-D32</f>
        <v>1</v>
      </c>
      <c r="F32" s="120">
        <f t="shared" ref="F32:F34" si="20">E32*F33</f>
        <v>0.78632551046187416</v>
      </c>
      <c r="H32" s="69">
        <f>$E33*H33</f>
        <v>920.00084724039266</v>
      </c>
      <c r="I32" s="69">
        <f>H32-H31</f>
        <v>0</v>
      </c>
      <c r="K32" s="114">
        <f t="shared" ref="K32:K35" si="21">$D32</f>
        <v>0</v>
      </c>
      <c r="L32" s="69">
        <f>L31/(1-K32)</f>
        <v>920.00084724039277</v>
      </c>
      <c r="M32" s="69">
        <f>L32-L31</f>
        <v>0</v>
      </c>
      <c r="O32" s="114">
        <f t="shared" ref="O32:O35" si="22">O9</f>
        <v>0</v>
      </c>
      <c r="P32" s="69">
        <f>P31/(1-O32)</f>
        <v>14983.727153751559</v>
      </c>
      <c r="Q32" s="69">
        <f>P32-P31</f>
        <v>0</v>
      </c>
      <c r="R32"/>
      <c r="S32" s="114">
        <f t="shared" ref="S32:S35" si="23">S9</f>
        <v>0</v>
      </c>
      <c r="T32" s="69">
        <f>T31/(1-S32)</f>
        <v>0</v>
      </c>
      <c r="U32" s="69">
        <f>T32-T31</f>
        <v>0</v>
      </c>
      <c r="V32"/>
      <c r="W32" s="114">
        <f t="shared" ref="W32:W35" si="24">W9</f>
        <v>0</v>
      </c>
      <c r="X32" s="69">
        <f>X31/(1-W32)</f>
        <v>0</v>
      </c>
      <c r="Y32" s="69">
        <f>X32-X31</f>
        <v>0</v>
      </c>
    </row>
    <row r="33" spans="2:27" x14ac:dyDescent="0.3">
      <c r="B33" t="s">
        <v>154</v>
      </c>
      <c r="C33"/>
      <c r="D33" s="114">
        <f t="shared" si="18"/>
        <v>0</v>
      </c>
      <c r="E33" s="120">
        <f t="shared" si="19"/>
        <v>1</v>
      </c>
      <c r="F33" s="120">
        <f t="shared" si="20"/>
        <v>0.78632551046187416</v>
      </c>
      <c r="H33" s="69">
        <f>$E34*H34</f>
        <v>920.00084724039266</v>
      </c>
      <c r="I33" s="69">
        <f t="shared" ref="I33:I34" si="25">H33-H32</f>
        <v>0</v>
      </c>
      <c r="K33" s="114">
        <f t="shared" si="21"/>
        <v>0</v>
      </c>
      <c r="L33" s="69">
        <f t="shared" ref="L33:L34" si="26">L32/(1-K33)</f>
        <v>920.00084724039277</v>
      </c>
      <c r="M33" s="122">
        <f t="shared" ref="M33:M34" si="27">L33-L32</f>
        <v>0</v>
      </c>
      <c r="O33" s="114">
        <f t="shared" si="22"/>
        <v>0</v>
      </c>
      <c r="P33" s="69">
        <f t="shared" ref="P33:P34" si="28">P32/(1-O33)</f>
        <v>14983.727153751559</v>
      </c>
      <c r="Q33" s="122">
        <f t="shared" ref="Q33:Q34" si="29">P33-P32</f>
        <v>0</v>
      </c>
      <c r="R33"/>
      <c r="S33" s="114">
        <f t="shared" si="23"/>
        <v>0</v>
      </c>
      <c r="T33" s="69">
        <f t="shared" ref="T33:T34" si="30">T32/(1-S33)</f>
        <v>0</v>
      </c>
      <c r="U33" s="122">
        <f t="shared" ref="U33:U34" si="31">T33-T32</f>
        <v>0</v>
      </c>
      <c r="V33"/>
      <c r="W33" s="114">
        <f t="shared" si="24"/>
        <v>0</v>
      </c>
      <c r="X33" s="69">
        <f t="shared" ref="X33:X34" si="32">X32/(1-W33)</f>
        <v>0</v>
      </c>
      <c r="Y33" s="122">
        <f t="shared" ref="Y33:Y34" si="33">X33-X32</f>
        <v>0</v>
      </c>
    </row>
    <row r="34" spans="2:27" x14ac:dyDescent="0.3">
      <c r="B34" t="s">
        <v>155</v>
      </c>
      <c r="C34"/>
      <c r="D34" s="114">
        <v>0.16707658932808556</v>
      </c>
      <c r="E34" s="120">
        <f t="shared" si="19"/>
        <v>0.83292341067191444</v>
      </c>
      <c r="F34" s="120">
        <f t="shared" si="20"/>
        <v>0.78632551046187416</v>
      </c>
      <c r="H34" s="69">
        <f>$E35*H36</f>
        <v>1104.5443499999999</v>
      </c>
      <c r="I34" s="69">
        <f t="shared" si="25"/>
        <v>184.54350275960724</v>
      </c>
      <c r="K34" s="114">
        <f t="shared" si="21"/>
        <v>0.16707658932808556</v>
      </c>
      <c r="L34" s="69">
        <f t="shared" si="26"/>
        <v>1104.5443499999999</v>
      </c>
      <c r="M34" s="69">
        <f t="shared" si="27"/>
        <v>184.54350275960712</v>
      </c>
      <c r="O34" s="114">
        <f t="shared" si="22"/>
        <v>0.23295031772656141</v>
      </c>
      <c r="P34" s="69">
        <f t="shared" si="28"/>
        <v>19534.232918709618</v>
      </c>
      <c r="Q34" s="69">
        <f t="shared" si="29"/>
        <v>4550.5057649580594</v>
      </c>
      <c r="R34"/>
      <c r="S34" s="114">
        <f t="shared" si="23"/>
        <v>0.23295031772656141</v>
      </c>
      <c r="T34" s="69">
        <f t="shared" si="30"/>
        <v>0</v>
      </c>
      <c r="U34" s="69">
        <f t="shared" si="31"/>
        <v>0</v>
      </c>
      <c r="V34"/>
      <c r="W34" s="114">
        <f t="shared" si="24"/>
        <v>0.23295031772656141</v>
      </c>
      <c r="X34" s="69">
        <f t="shared" si="32"/>
        <v>0</v>
      </c>
      <c r="Y34" s="69">
        <f t="shared" si="33"/>
        <v>0</v>
      </c>
    </row>
    <row r="35" spans="2:27" x14ac:dyDescent="0.3">
      <c r="B35" t="s">
        <v>156</v>
      </c>
      <c r="C35"/>
      <c r="D35" s="114">
        <f t="shared" si="18"/>
        <v>5.5E-2</v>
      </c>
      <c r="E35" s="120">
        <f t="shared" si="19"/>
        <v>0.94499999999999995</v>
      </c>
      <c r="F35" s="120">
        <f>E35*F37</f>
        <v>0.94405499999999998</v>
      </c>
      <c r="H35"/>
      <c r="I35" s="69">
        <f>H36-H34</f>
        <v>64.285650000000032</v>
      </c>
      <c r="K35" s="114">
        <f t="shared" si="21"/>
        <v>5.5E-2</v>
      </c>
      <c r="L35"/>
      <c r="M35" s="122">
        <f>L36-L34</f>
        <v>64.285650000000032</v>
      </c>
      <c r="O35" s="114">
        <f t="shared" si="22"/>
        <v>5.5E-2</v>
      </c>
      <c r="P35"/>
      <c r="Q35" s="122">
        <f>P36-P34</f>
        <v>1136.9130270148453</v>
      </c>
      <c r="R35"/>
      <c r="S35" s="114">
        <f t="shared" si="23"/>
        <v>0.14771104813631517</v>
      </c>
      <c r="T35"/>
      <c r="U35" s="122">
        <f>T36-T34</f>
        <v>0</v>
      </c>
      <c r="V35"/>
      <c r="W35" s="114">
        <f t="shared" si="24"/>
        <v>0.24662182959828366</v>
      </c>
      <c r="X35"/>
      <c r="Y35" s="122">
        <f>X36-X34</f>
        <v>0</v>
      </c>
    </row>
    <row r="36" spans="2:27" x14ac:dyDescent="0.3">
      <c r="B36" s="123" t="s">
        <v>157</v>
      </c>
      <c r="C36" s="69">
        <f>Summary!U36</f>
        <v>1170</v>
      </c>
      <c r="D36" s="114"/>
      <c r="E36" s="120"/>
      <c r="F36" s="120"/>
      <c r="H36" s="117">
        <f>$E37*H37</f>
        <v>1168.83</v>
      </c>
      <c r="I36" s="69"/>
      <c r="K36" s="114"/>
      <c r="L36" s="117">
        <f>L34/(1-K35)</f>
        <v>1168.83</v>
      </c>
      <c r="M36" s="69"/>
      <c r="O36" s="114"/>
      <c r="P36" s="117">
        <f>P34/(1-O35)</f>
        <v>20671.145945724464</v>
      </c>
      <c r="Q36" s="69"/>
      <c r="R36"/>
      <c r="S36" s="114"/>
      <c r="T36" s="117">
        <f>T34/(1-S35)</f>
        <v>0</v>
      </c>
      <c r="U36" s="69"/>
      <c r="V36"/>
      <c r="W36" s="114"/>
      <c r="X36" s="117">
        <f>X34/(1-W35)</f>
        <v>0</v>
      </c>
      <c r="Y36" s="69"/>
    </row>
    <row r="37" spans="2:27" x14ac:dyDescent="0.3">
      <c r="B37" t="s">
        <v>158</v>
      </c>
      <c r="C37"/>
      <c r="D37" s="114">
        <f t="shared" ref="D37:D38" si="34">D14</f>
        <v>0</v>
      </c>
      <c r="E37" s="120">
        <f t="shared" ref="E37:E38" si="35">1-D37</f>
        <v>1</v>
      </c>
      <c r="F37" s="120">
        <f t="shared" ref="F37" si="36">E37*F38</f>
        <v>0.999</v>
      </c>
      <c r="H37" s="69">
        <f>$E38*H39</f>
        <v>1168.83</v>
      </c>
      <c r="I37" s="69">
        <f>H37-H36</f>
        <v>0</v>
      </c>
      <c r="K37" s="114">
        <f t="shared" ref="K37:K38" si="37">$D37</f>
        <v>0</v>
      </c>
      <c r="L37" s="69">
        <f>L36/(1-K37)</f>
        <v>1168.83</v>
      </c>
      <c r="M37" s="69">
        <f>L37-L36</f>
        <v>0</v>
      </c>
      <c r="O37" s="114">
        <f>O14</f>
        <v>0</v>
      </c>
      <c r="P37" s="69">
        <f>P36/(1-O37)</f>
        <v>20671.145945724464</v>
      </c>
      <c r="Q37" s="69">
        <f>P37-P36</f>
        <v>0</v>
      </c>
      <c r="R37"/>
      <c r="S37" s="114">
        <f>S14</f>
        <v>0</v>
      </c>
      <c r="T37" s="69">
        <f>T36/(1-S37)</f>
        <v>0</v>
      </c>
      <c r="U37" s="69">
        <f>T37-T36</f>
        <v>0</v>
      </c>
      <c r="V37"/>
      <c r="W37" s="114">
        <f>W14</f>
        <v>0</v>
      </c>
      <c r="X37" s="69">
        <f>X36/(1-W37)</f>
        <v>0</v>
      </c>
      <c r="Y37" s="69">
        <f>X37-X36</f>
        <v>0</v>
      </c>
    </row>
    <row r="38" spans="2:27" x14ac:dyDescent="0.3">
      <c r="B38" t="s">
        <v>159</v>
      </c>
      <c r="C38"/>
      <c r="D38" s="114">
        <f t="shared" si="34"/>
        <v>1E-3</v>
      </c>
      <c r="E38" s="120">
        <f t="shared" si="35"/>
        <v>0.999</v>
      </c>
      <c r="F38" s="120">
        <f>E38</f>
        <v>0.999</v>
      </c>
      <c r="H38"/>
      <c r="I38" s="69">
        <f>H39-H37</f>
        <v>1.1700000000000728</v>
      </c>
      <c r="K38" s="114">
        <f t="shared" si="37"/>
        <v>1E-3</v>
      </c>
      <c r="L38"/>
      <c r="M38" s="122">
        <f>L39-L37</f>
        <v>1.1700000000000728</v>
      </c>
      <c r="O38" s="114">
        <f>$D38</f>
        <v>1E-3</v>
      </c>
      <c r="P38"/>
      <c r="Q38" s="122">
        <f>P39-P37</f>
        <v>20.691837783506344</v>
      </c>
      <c r="R38"/>
      <c r="S38" s="114">
        <f>$D38</f>
        <v>1E-3</v>
      </c>
      <c r="T38"/>
      <c r="U38" s="122">
        <f>T39-T37</f>
        <v>0</v>
      </c>
      <c r="V38"/>
      <c r="W38" s="114">
        <f>$D38</f>
        <v>1E-3</v>
      </c>
      <c r="X38"/>
      <c r="Y38" s="122">
        <f>X39-X37</f>
        <v>0</v>
      </c>
    </row>
    <row r="39" spans="2:27" x14ac:dyDescent="0.3">
      <c r="B39" t="s">
        <v>160</v>
      </c>
      <c r="C39" s="69">
        <f>Summary!U32</f>
        <v>1170</v>
      </c>
      <c r="D39"/>
      <c r="E39"/>
      <c r="F39"/>
      <c r="H39" s="117">
        <f>$C39</f>
        <v>1170</v>
      </c>
      <c r="I39" s="69"/>
      <c r="K39" s="120"/>
      <c r="L39" s="117">
        <f>L37/(1-K38)</f>
        <v>1170</v>
      </c>
      <c r="M39" s="69"/>
      <c r="O39" s="120"/>
      <c r="P39" s="117">
        <f>P37/(1-O38)</f>
        <v>20691.83778350797</v>
      </c>
      <c r="Q39" s="69"/>
      <c r="R39"/>
      <c r="S39" s="114"/>
      <c r="T39" s="117">
        <f>T37/(1-S38)</f>
        <v>0</v>
      </c>
      <c r="U39" s="69"/>
      <c r="V39"/>
      <c r="W39" s="120"/>
      <c r="X39" s="117">
        <f>X37/(1-W38)</f>
        <v>0</v>
      </c>
      <c r="Y39" s="69"/>
    </row>
    <row r="40" spans="2:27" x14ac:dyDescent="0.3">
      <c r="C40"/>
      <c r="H40"/>
      <c r="I40"/>
      <c r="L40" s="78"/>
      <c r="O40"/>
      <c r="P40" s="78"/>
      <c r="R40"/>
      <c r="S40" s="114"/>
      <c r="T40" s="69"/>
      <c r="U40"/>
      <c r="V40"/>
      <c r="W40"/>
      <c r="X40" s="69"/>
      <c r="Y40"/>
    </row>
    <row r="41" spans="2:27" x14ac:dyDescent="0.3">
      <c r="B41" s="35" t="s">
        <v>161</v>
      </c>
      <c r="C41" s="125">
        <f>Summary!U48</f>
        <v>70</v>
      </c>
      <c r="H41"/>
      <c r="I41" s="125">
        <f>I30+I33+I35+I38</f>
        <v>65.455650000000105</v>
      </c>
      <c r="L41" s="78"/>
      <c r="M41" s="69">
        <f>M30+M33+M35+M38</f>
        <v>65.455650000000105</v>
      </c>
      <c r="O41"/>
      <c r="P41" s="78"/>
      <c r="Q41" s="69">
        <f>Q30+Q33+Q35+Q38</f>
        <v>1157.6048647983516</v>
      </c>
      <c r="R41"/>
      <c r="S41" s="114"/>
      <c r="T41" s="69"/>
      <c r="U41" s="69">
        <f>U30+U33+U35+U38</f>
        <v>0</v>
      </c>
      <c r="V41"/>
      <c r="W41"/>
      <c r="X41" s="69"/>
      <c r="Y41" s="69">
        <f>Y30+Y33+Y35+Y38</f>
        <v>0</v>
      </c>
    </row>
    <row r="42" spans="2:27" x14ac:dyDescent="0.3">
      <c r="B42" s="35" t="s">
        <v>162</v>
      </c>
      <c r="C42" s="130"/>
      <c r="H42"/>
      <c r="I42" s="126">
        <f>I41/H39</f>
        <v>5.5945000000000092E-2</v>
      </c>
      <c r="L42" s="78"/>
      <c r="M42" s="33">
        <f>M41/L39</f>
        <v>5.5945000000000092E-2</v>
      </c>
      <c r="O42"/>
      <c r="P42" s="78"/>
      <c r="Q42" s="33">
        <f>Q41/P39</f>
        <v>5.5944999999999918E-2</v>
      </c>
      <c r="R42" s="127"/>
      <c r="S42" s="114"/>
      <c r="T42" s="69"/>
      <c r="U42" s="33" t="e">
        <f>U41/T39</f>
        <v>#DIV/0!</v>
      </c>
      <c r="V42" s="127"/>
      <c r="W42"/>
      <c r="X42" s="69"/>
      <c r="Y42" s="33" t="e">
        <f>Y41/X39</f>
        <v>#DIV/0!</v>
      </c>
      <c r="AA42" t="s">
        <v>168</v>
      </c>
    </row>
    <row r="43" spans="2:27" x14ac:dyDescent="0.3">
      <c r="B43" s="35" t="s">
        <v>163</v>
      </c>
      <c r="C43" s="130"/>
      <c r="E43" s="131">
        <f>E34*E32</f>
        <v>0.83292341067191444</v>
      </c>
      <c r="H43"/>
      <c r="I43" s="125">
        <f>I29+I32+I34+I37</f>
        <v>490.54434999996852</v>
      </c>
      <c r="L43" s="78"/>
      <c r="M43" s="125">
        <f>M29+M32+M34+M37</f>
        <v>490.54434999996852</v>
      </c>
      <c r="O43"/>
      <c r="P43" s="78"/>
      <c r="Q43" s="125">
        <f>Q29+Q32+Q34+Q37</f>
        <v>9534.2329187096184</v>
      </c>
      <c r="R43"/>
      <c r="S43" s="114"/>
      <c r="T43" s="69"/>
      <c r="U43" s="125">
        <f>U29+U32+U34+U37</f>
        <v>0</v>
      </c>
      <c r="V43"/>
      <c r="W43"/>
      <c r="X43" s="69"/>
      <c r="Y43" s="125">
        <f>Y29+Y32+Y34+Y37</f>
        <v>0</v>
      </c>
    </row>
    <row r="44" spans="2:27" x14ac:dyDescent="0.3">
      <c r="B44" s="35" t="s">
        <v>164</v>
      </c>
      <c r="C44" s="130"/>
      <c r="H44"/>
      <c r="I44" s="126">
        <f>I43/H39</f>
        <v>0.4192686752136483</v>
      </c>
      <c r="L44" s="78"/>
      <c r="M44" s="126">
        <f>M43/L39</f>
        <v>0.4192686752136483</v>
      </c>
      <c r="O44"/>
      <c r="P44" s="78"/>
      <c r="Q44" s="126">
        <f>Q43/P39</f>
        <v>0.46077264950862384</v>
      </c>
      <c r="R44"/>
      <c r="S44" s="114"/>
      <c r="T44" s="69"/>
      <c r="U44" s="126" t="e">
        <f>U43/T39</f>
        <v>#DIV/0!</v>
      </c>
      <c r="V44"/>
      <c r="W44"/>
      <c r="X44" s="69"/>
      <c r="Y44" s="126" t="e">
        <f>Y43/X39</f>
        <v>#DIV/0!</v>
      </c>
    </row>
    <row r="45" spans="2:27" x14ac:dyDescent="0.3">
      <c r="O45"/>
      <c r="P45"/>
      <c r="Q45"/>
      <c r="R45"/>
      <c r="S45" s="114"/>
      <c r="T45"/>
      <c r="U45"/>
      <c r="V45"/>
      <c r="W45"/>
      <c r="X45"/>
      <c r="Y45"/>
    </row>
    <row r="46" spans="2:27" x14ac:dyDescent="0.3">
      <c r="B46" s="132" t="s">
        <v>165</v>
      </c>
      <c r="C46" s="130"/>
      <c r="I46" s="137"/>
      <c r="M46" s="137"/>
      <c r="Q46" s="137"/>
      <c r="R46" s="137"/>
      <c r="S46" s="129"/>
      <c r="T46" s="137"/>
      <c r="U46" s="137"/>
      <c r="V46" s="137"/>
      <c r="W46" s="137"/>
      <c r="X46" s="137"/>
      <c r="Y46" s="137"/>
    </row>
    <row r="47" spans="2:27" x14ac:dyDescent="0.3">
      <c r="B47" s="132"/>
    </row>
    <row r="48" spans="2:27" x14ac:dyDescent="0.3">
      <c r="B48" s="134" t="s">
        <v>169</v>
      </c>
      <c r="S48" s="138"/>
      <c r="W48" s="139"/>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B046A-C55F-421C-892E-58A0A2465D07}">
  <dimension ref="B21:C25"/>
  <sheetViews>
    <sheetView workbookViewId="0">
      <selection activeCell="H23" sqref="H23"/>
    </sheetView>
  </sheetViews>
  <sheetFormatPr defaultRowHeight="14.4" x14ac:dyDescent="0.3"/>
  <sheetData>
    <row r="21" spans="2:3" x14ac:dyDescent="0.3">
      <c r="B21" t="s">
        <v>181</v>
      </c>
      <c r="C21" s="69">
        <f>Summary!V4</f>
        <v>25000</v>
      </c>
    </row>
    <row r="22" spans="2:3" x14ac:dyDescent="0.3">
      <c r="B22" t="s">
        <v>32</v>
      </c>
      <c r="C22" s="69">
        <f>Summary!V11</f>
        <v>35000</v>
      </c>
    </row>
    <row r="23" spans="2:3" x14ac:dyDescent="0.3">
      <c r="B23" t="s">
        <v>182</v>
      </c>
      <c r="C23" s="193">
        <f>Summary!V12</f>
        <v>24000</v>
      </c>
    </row>
    <row r="24" spans="2:3" x14ac:dyDescent="0.3">
      <c r="C24" s="69">
        <f>SUM(C21:C23)</f>
        <v>84000</v>
      </c>
    </row>
    <row r="25" spans="2:3" x14ac:dyDescent="0.3">
      <c r="B25" t="s">
        <v>183</v>
      </c>
      <c r="C25" s="33">
        <f>(C22+C23)/C24</f>
        <v>0.70238095238095233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Summary</vt:lpstr>
      <vt:lpstr>Documentation</vt:lpstr>
      <vt:lpstr>Hatchery</vt:lpstr>
      <vt:lpstr>Run</vt:lpstr>
      <vt:lpstr>Conv</vt:lpstr>
      <vt:lpstr>Blocked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Beamesderfer</dc:creator>
  <cp:lastModifiedBy>xxx</cp:lastModifiedBy>
  <cp:lastPrinted>2018-03-21T01:40:47Z</cp:lastPrinted>
  <dcterms:created xsi:type="dcterms:W3CDTF">2017-07-05T20:34:17Z</dcterms:created>
  <dcterms:modified xsi:type="dcterms:W3CDTF">2020-08-13T16:42:33Z</dcterms:modified>
</cp:coreProperties>
</file>