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7.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hidePivotFieldList="1"/>
  <mc:AlternateContent xmlns:mc="http://schemas.openxmlformats.org/markup-compatibility/2006">
    <mc:Choice Requires="x15">
      <x15ac:absPath xmlns:x15ac="http://schemas.microsoft.com/office/spreadsheetml/2010/11/ac" url="C:\Users\beame\Documents\NMFS Columbia Basin\10. Quantitative goals\Snake Chinook spr-sum\"/>
    </mc:Choice>
  </mc:AlternateContent>
  <xr:revisionPtr revIDLastSave="0" documentId="13_ncr:1_{6E60E278-D2C8-4054-890C-51DB47B0C732}" xr6:coauthVersionLast="45" xr6:coauthVersionMax="45" xr10:uidLastSave="{00000000-0000-0000-0000-000000000000}"/>
  <bookViews>
    <workbookView xWindow="28680" yWindow="-120" windowWidth="29040" windowHeight="15840" activeTab="5" xr2:uid="{00000000-000D-0000-FFFF-FFFF00000000}"/>
  </bookViews>
  <sheets>
    <sheet name="Summary" sheetId="1" r:id="rId1"/>
    <sheet name="Documentation" sheetId="9" r:id="rId2"/>
    <sheet name="Natl Spnr" sheetId="6" r:id="rId3"/>
    <sheet name="Hatchery" sheetId="5" r:id="rId4"/>
    <sheet name="Harvest" sheetId="7" r:id="rId5"/>
    <sheet name="pHOS" sheetId="14" r:id="rId6"/>
    <sheet name="Run" sheetId="10" r:id="rId7"/>
    <sheet name="Conv" sheetId="8" r:id="rId8"/>
    <sheet name="Notes" sheetId="11" r:id="rId9"/>
  </sheets>
  <definedNames>
    <definedName name="_Ref67714019">#REF!</definedName>
    <definedName name="solver_adj" localSheetId="7" hidden="1">Conv!$E$28</definedName>
    <definedName name="solver_cvg" localSheetId="7" hidden="1">0.0001</definedName>
    <definedName name="solver_drv" localSheetId="7" hidden="1">1</definedName>
    <definedName name="solver_eng" localSheetId="7" hidden="1">1</definedName>
    <definedName name="solver_est" localSheetId="7" hidden="1">1</definedName>
    <definedName name="solver_itr" localSheetId="7" hidden="1">2147483647</definedName>
    <definedName name="solver_mip" localSheetId="7" hidden="1">2147483647</definedName>
    <definedName name="solver_mni" localSheetId="7" hidden="1">30</definedName>
    <definedName name="solver_mrt" localSheetId="7" hidden="1">0.075</definedName>
    <definedName name="solver_msl" localSheetId="7" hidden="1">2</definedName>
    <definedName name="solver_neg" localSheetId="7" hidden="1">1</definedName>
    <definedName name="solver_nod" localSheetId="7" hidden="1">2147483647</definedName>
    <definedName name="solver_num" localSheetId="7" hidden="1">0</definedName>
    <definedName name="solver_nwt" localSheetId="7" hidden="1">1</definedName>
    <definedName name="solver_opt" localSheetId="7" hidden="1">Conv!$F$27</definedName>
    <definedName name="solver_pre" localSheetId="7" hidden="1">0.000001</definedName>
    <definedName name="solver_rbv" localSheetId="7" hidden="1">1</definedName>
    <definedName name="solver_rlx" localSheetId="7" hidden="1">2</definedName>
    <definedName name="solver_rsd" localSheetId="7" hidden="1">0</definedName>
    <definedName name="solver_scl" localSheetId="7" hidden="1">1</definedName>
    <definedName name="solver_sho" localSheetId="7" hidden="1">2</definedName>
    <definedName name="solver_ssz" localSheetId="7" hidden="1">100</definedName>
    <definedName name="solver_tim" localSheetId="7" hidden="1">2147483647</definedName>
    <definedName name="solver_tol" localSheetId="7" hidden="1">0.01</definedName>
    <definedName name="solver_typ" localSheetId="7" hidden="1">3</definedName>
    <definedName name="solver_val" localSheetId="7" hidden="1">60513</definedName>
    <definedName name="solver_ver" localSheetId="7" hidden="1">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1" i="14" l="1"/>
  <c r="F50" i="14"/>
  <c r="F49" i="14"/>
  <c r="F48" i="14"/>
  <c r="F47" i="14"/>
  <c r="F46" i="14"/>
  <c r="F45" i="14"/>
  <c r="F44" i="14"/>
  <c r="F43" i="14"/>
  <c r="F42" i="14"/>
  <c r="E51" i="14"/>
  <c r="E50" i="14"/>
  <c r="E49" i="14"/>
  <c r="E48" i="14"/>
  <c r="E47" i="14"/>
  <c r="E46" i="14"/>
  <c r="E45" i="14"/>
  <c r="E44" i="14"/>
  <c r="E43" i="14"/>
  <c r="E42" i="14"/>
  <c r="D51" i="14"/>
  <c r="D50" i="14"/>
  <c r="D49" i="14"/>
  <c r="D48" i="14"/>
  <c r="D47" i="14"/>
  <c r="D46" i="14"/>
  <c r="D45" i="14"/>
  <c r="D44" i="14"/>
  <c r="D43" i="14"/>
  <c r="D42" i="14"/>
  <c r="F3" i="14" l="1"/>
  <c r="E3" i="14"/>
  <c r="D4" i="14"/>
  <c r="F2" i="14"/>
  <c r="E2"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E39" i="14"/>
  <c r="E38" i="14"/>
  <c r="E37" i="14"/>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1" i="14"/>
  <c r="E10" i="14"/>
  <c r="E9" i="14"/>
  <c r="AH40" i="14"/>
  <c r="AH39" i="14"/>
  <c r="AH38" i="14"/>
  <c r="AH37" i="14"/>
  <c r="AH36" i="14"/>
  <c r="AH35" i="14"/>
  <c r="AH34" i="14"/>
  <c r="AH33" i="14"/>
  <c r="AH32" i="14"/>
  <c r="AH31" i="14"/>
  <c r="AH30" i="14"/>
  <c r="AH29" i="14"/>
  <c r="AH28" i="14"/>
  <c r="AH27" i="14"/>
  <c r="AH26" i="14"/>
  <c r="AH25" i="14"/>
  <c r="AH24" i="14"/>
  <c r="AH23" i="14"/>
  <c r="AH22" i="14"/>
  <c r="AH21" i="14"/>
  <c r="AH20" i="14"/>
  <c r="AH19" i="14"/>
  <c r="AH18" i="14"/>
  <c r="AH17" i="14"/>
  <c r="AH16" i="14"/>
  <c r="AH15" i="14"/>
  <c r="AH14" i="14"/>
  <c r="AH13" i="14"/>
  <c r="AH12" i="14"/>
  <c r="AH11" i="14"/>
  <c r="AH10" i="14"/>
  <c r="AH9" i="14"/>
  <c r="D3"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L87" i="10"/>
  <c r="DL86" i="10"/>
  <c r="S47" i="6"/>
  <c r="S46" i="6"/>
  <c r="S45" i="6"/>
  <c r="S44" i="6"/>
  <c r="EE80" i="10"/>
  <c r="S43" i="6"/>
  <c r="S42" i="6"/>
  <c r="S41" i="6"/>
  <c r="S40" i="6"/>
  <c r="S39" i="6"/>
  <c r="S32" i="6"/>
  <c r="S33" i="6"/>
  <c r="S34" i="6"/>
  <c r="S35" i="6"/>
  <c r="S36" i="6"/>
  <c r="S38" i="6"/>
  <c r="S37" i="6"/>
  <c r="S31" i="6"/>
  <c r="S30" i="6"/>
  <c r="S28" i="6"/>
  <c r="S24" i="6"/>
  <c r="S23" i="6"/>
  <c r="S22" i="6"/>
  <c r="S20" i="6"/>
  <c r="S19" i="6"/>
  <c r="S18" i="6"/>
  <c r="S5" i="6"/>
  <c r="AI57" i="1" l="1"/>
  <c r="AH57" i="1"/>
  <c r="M28" i="8" l="1"/>
  <c r="Q25" i="8"/>
  <c r="M25" i="8"/>
  <c r="I25" i="8"/>
  <c r="I28" i="8"/>
  <c r="C27" i="8"/>
  <c r="C33" i="8"/>
  <c r="C34" i="8" s="1"/>
  <c r="E25" i="8"/>
  <c r="F34" i="8" l="1"/>
  <c r="R34" i="8"/>
  <c r="N34" i="8"/>
  <c r="J34" i="8"/>
  <c r="FA80" i="10"/>
  <c r="FA77" i="10" s="1"/>
  <c r="C1" i="8" s="1"/>
  <c r="FA79" i="10"/>
  <c r="ES79" i="10"/>
  <c r="EM79" i="10"/>
  <c r="EL79" i="10"/>
  <c r="EJ79" i="10"/>
  <c r="EH79" i="10"/>
  <c r="EG79" i="10"/>
  <c r="EE79" i="10"/>
  <c r="ED79" i="10"/>
  <c r="EC79" i="10"/>
  <c r="DZ79" i="10"/>
  <c r="DX79" i="10"/>
  <c r="DV79" i="10"/>
  <c r="DT79" i="10"/>
  <c r="DR79" i="10"/>
  <c r="DP79" i="10"/>
  <c r="DN79" i="10"/>
  <c r="DL79" i="10"/>
  <c r="DJ79" i="10"/>
  <c r="DH79" i="10"/>
  <c r="DD79" i="10"/>
  <c r="CR79" i="10"/>
  <c r="CH79" i="10"/>
  <c r="CD79" i="10"/>
  <c r="BW79" i="10"/>
  <c r="BP79" i="10"/>
  <c r="BI79" i="10"/>
  <c r="Q9" i="8"/>
  <c r="M9" i="8"/>
  <c r="I9" i="8"/>
  <c r="Q6" i="8"/>
  <c r="M6" i="8"/>
  <c r="I6" i="8"/>
  <c r="C11" i="8"/>
  <c r="O80" i="10"/>
  <c r="Q80" i="10"/>
  <c r="P80" i="10"/>
  <c r="C14" i="8"/>
  <c r="AF62" i="1"/>
  <c r="AF61" i="1"/>
  <c r="C8" i="8" s="1"/>
  <c r="AF54" i="1"/>
  <c r="AF53" i="1"/>
  <c r="C15" i="8" s="1"/>
  <c r="E14" i="8" l="1"/>
  <c r="I14" i="8"/>
  <c r="C12" i="8"/>
  <c r="Y95" i="1"/>
  <c r="X95" i="1"/>
  <c r="C10" i="8" l="1"/>
  <c r="AF57" i="1"/>
  <c r="E11" i="8"/>
  <c r="E30" i="8" s="1"/>
  <c r="I30" i="8" s="1"/>
  <c r="I11" i="8"/>
  <c r="AA77" i="1"/>
  <c r="Z77" i="1"/>
  <c r="V77" i="1"/>
  <c r="I32" i="8" l="1"/>
  <c r="E26" i="8"/>
  <c r="ES83" i="10"/>
  <c r="EM83" i="10"/>
  <c r="EL83" i="10"/>
  <c r="EJ83" i="10"/>
  <c r="EH83" i="10"/>
  <c r="EG83" i="10"/>
  <c r="EE83" i="10"/>
  <c r="ED83" i="10"/>
  <c r="EC83" i="10"/>
  <c r="DZ83" i="10"/>
  <c r="DX83" i="10"/>
  <c r="DV83" i="10"/>
  <c r="DT83" i="10"/>
  <c r="DR83" i="10"/>
  <c r="DP83" i="10"/>
  <c r="DN83" i="10"/>
  <c r="DL83" i="10"/>
  <c r="DJ83" i="10"/>
  <c r="ES82" i="10"/>
  <c r="EM82" i="10"/>
  <c r="EL82" i="10"/>
  <c r="EJ82" i="10"/>
  <c r="EH82" i="10"/>
  <c r="EG82" i="10"/>
  <c r="EE82" i="10"/>
  <c r="ED82" i="10"/>
  <c r="EC82" i="10"/>
  <c r="DZ82" i="10"/>
  <c r="DX82" i="10"/>
  <c r="DV82" i="10"/>
  <c r="DT82" i="10"/>
  <c r="DR82" i="10"/>
  <c r="DP82" i="10"/>
  <c r="DN82" i="10"/>
  <c r="DL82" i="10"/>
  <c r="DJ82" i="10"/>
  <c r="ET80" i="10"/>
  <c r="ES80" i="10"/>
  <c r="EN80" i="10"/>
  <c r="EM80" i="10"/>
  <c r="EL80" i="10"/>
  <c r="EK80" i="10"/>
  <c r="EJ80" i="10"/>
  <c r="EH80" i="10"/>
  <c r="EG80" i="10"/>
  <c r="ED80" i="10"/>
  <c r="EC80" i="10"/>
  <c r="DZ80" i="10"/>
  <c r="DX80" i="10"/>
  <c r="DV80" i="10"/>
  <c r="DT80" i="10"/>
  <c r="DR80" i="10"/>
  <c r="DP80" i="10"/>
  <c r="DN80" i="10"/>
  <c r="DL80" i="10"/>
  <c r="DJ80" i="10"/>
  <c r="DH80" i="10"/>
  <c r="DF80" i="10"/>
  <c r="DD80" i="10"/>
  <c r="CT80" i="10"/>
  <c r="CP80" i="10"/>
  <c r="CO80" i="10"/>
  <c r="CM80" i="10"/>
  <c r="CL80" i="10"/>
  <c r="CK80" i="10"/>
  <c r="CI80" i="10"/>
  <c r="CH80" i="10"/>
  <c r="CF80" i="10"/>
  <c r="CD80" i="10"/>
  <c r="CB80" i="10"/>
  <c r="CA80" i="10"/>
  <c r="BY80" i="10"/>
  <c r="BW80" i="10"/>
  <c r="BU80" i="10"/>
  <c r="BT80" i="10"/>
  <c r="BR80" i="10"/>
  <c r="BP80" i="10"/>
  <c r="BN80" i="10"/>
  <c r="BM80" i="10"/>
  <c r="BK80" i="10"/>
  <c r="BI80" i="10"/>
  <c r="BG80" i="10"/>
  <c r="BF80" i="10"/>
  <c r="AQ80" i="10"/>
  <c r="AN80" i="10"/>
  <c r="AM80" i="10"/>
  <c r="X80" i="10"/>
  <c r="W80" i="10"/>
  <c r="V80" i="10"/>
  <c r="V81" i="10" s="1"/>
  <c r="U80" i="10"/>
  <c r="N80" i="10"/>
  <c r="M80" i="10"/>
  <c r="L80" i="10"/>
  <c r="K80" i="10"/>
  <c r="J80" i="10"/>
  <c r="I80" i="10"/>
  <c r="H80" i="10"/>
  <c r="G80" i="10"/>
  <c r="G83" i="10" s="1"/>
  <c r="F80" i="10"/>
  <c r="E80" i="10"/>
  <c r="E83" i="10" s="1"/>
  <c r="C80" i="10"/>
  <c r="M81" i="10" s="1"/>
  <c r="B80" i="10"/>
  <c r="AZ77" i="10"/>
  <c r="R77" i="10"/>
  <c r="Q77" i="10"/>
  <c r="EX76" i="10"/>
  <c r="CR76" i="10"/>
  <c r="CQ76" i="10"/>
  <c r="CJ76" i="10"/>
  <c r="CC76" i="10"/>
  <c r="BV76" i="10"/>
  <c r="BO76" i="10"/>
  <c r="BH76" i="10"/>
  <c r="BD76" i="10"/>
  <c r="BC76" i="10"/>
  <c r="AZ76" i="10"/>
  <c r="AR76" i="10"/>
  <c r="AV76" i="10" s="1"/>
  <c r="AO76" i="10"/>
  <c r="AO80" i="10" s="1"/>
  <c r="AF76" i="10"/>
  <c r="AJ76" i="10" s="1"/>
  <c r="AC76" i="10"/>
  <c r="AB76" i="10"/>
  <c r="AA76" i="10"/>
  <c r="Z76" i="10"/>
  <c r="AE76" i="10" s="1"/>
  <c r="T76" i="10"/>
  <c r="S76" i="10"/>
  <c r="Q76" i="10"/>
  <c r="D76" i="10"/>
  <c r="AS76" i="10" s="1"/>
  <c r="EX75" i="10"/>
  <c r="EW75" i="10"/>
  <c r="DE75" i="10"/>
  <c r="CR75" i="10"/>
  <c r="CR80" i="10" s="1"/>
  <c r="CQ75" i="10"/>
  <c r="CJ75" i="10"/>
  <c r="CC75" i="10"/>
  <c r="BV75" i="10"/>
  <c r="BO75" i="10"/>
  <c r="BH75" i="10"/>
  <c r="BD75" i="10"/>
  <c r="BC75" i="10"/>
  <c r="AZ75" i="10"/>
  <c r="AV75" i="10"/>
  <c r="AR75" i="10"/>
  <c r="AC75" i="10"/>
  <c r="AB75" i="10"/>
  <c r="AF75" i="10" s="1"/>
  <c r="AJ75" i="10" s="1"/>
  <c r="AA75" i="10"/>
  <c r="Z75" i="10"/>
  <c r="AE75" i="10" s="1"/>
  <c r="T75" i="10"/>
  <c r="S75" i="10"/>
  <c r="D75" i="10"/>
  <c r="AS75" i="10" s="1"/>
  <c r="EY74" i="10"/>
  <c r="EX74" i="10"/>
  <c r="EW74" i="10"/>
  <c r="DE74" i="10"/>
  <c r="CS74" i="10"/>
  <c r="CQ74" i="10"/>
  <c r="CJ74" i="10"/>
  <c r="CE74" i="10"/>
  <c r="CC74" i="10"/>
  <c r="BX74" i="10"/>
  <c r="BV74" i="10"/>
  <c r="BQ74" i="10"/>
  <c r="BO74" i="10"/>
  <c r="BJ74" i="10"/>
  <c r="BH74" i="10"/>
  <c r="BD74" i="10"/>
  <c r="BC74" i="10"/>
  <c r="AZ74" i="10"/>
  <c r="AR74" i="10"/>
  <c r="AV74" i="10" s="1"/>
  <c r="AF74" i="10"/>
  <c r="AJ74" i="10" s="1"/>
  <c r="AC74" i="10"/>
  <c r="AB74" i="10"/>
  <c r="AA74" i="10"/>
  <c r="Z74" i="10"/>
  <c r="AE74" i="10" s="1"/>
  <c r="T74" i="10"/>
  <c r="S74" i="10"/>
  <c r="D74" i="10"/>
  <c r="AS74" i="10" s="1"/>
  <c r="EY73" i="10"/>
  <c r="EX73" i="10"/>
  <c r="EW73" i="10"/>
  <c r="DE73" i="10"/>
  <c r="CS73" i="10"/>
  <c r="CQ73" i="10"/>
  <c r="CJ73" i="10"/>
  <c r="CE73" i="10"/>
  <c r="CC73" i="10"/>
  <c r="BX73" i="10"/>
  <c r="BV73" i="10"/>
  <c r="BQ73" i="10"/>
  <c r="BO73" i="10"/>
  <c r="BJ73" i="10"/>
  <c r="BH73" i="10"/>
  <c r="BD73" i="10"/>
  <c r="BC73" i="10"/>
  <c r="AZ73" i="10"/>
  <c r="AR73" i="10"/>
  <c r="AV73" i="10" s="1"/>
  <c r="AC73" i="10"/>
  <c r="AB73" i="10"/>
  <c r="AF73" i="10" s="1"/>
  <c r="AJ73" i="10" s="1"/>
  <c r="AA73" i="10"/>
  <c r="Z73" i="10"/>
  <c r="AE73" i="10" s="1"/>
  <c r="T73" i="10"/>
  <c r="S73" i="10"/>
  <c r="D73" i="10"/>
  <c r="AS73" i="10" s="1"/>
  <c r="EY72" i="10"/>
  <c r="EX72" i="10"/>
  <c r="EW72" i="10"/>
  <c r="DE72" i="10"/>
  <c r="CS72" i="10"/>
  <c r="CQ72" i="10"/>
  <c r="CJ72" i="10"/>
  <c r="CE72" i="10"/>
  <c r="CC72" i="10"/>
  <c r="BX72" i="10"/>
  <c r="BV72" i="10"/>
  <c r="BQ72" i="10"/>
  <c r="BO72" i="10"/>
  <c r="BJ72" i="10"/>
  <c r="BH72" i="10"/>
  <c r="BD72" i="10"/>
  <c r="BC72" i="10"/>
  <c r="AZ72" i="10"/>
  <c r="AR72" i="10"/>
  <c r="AV72" i="10" s="1"/>
  <c r="AF72" i="10"/>
  <c r="AC72" i="10"/>
  <c r="AB72" i="10"/>
  <c r="AA72" i="10"/>
  <c r="Z72" i="10"/>
  <c r="T72" i="10"/>
  <c r="S72" i="10"/>
  <c r="D72" i="10"/>
  <c r="AS72" i="10" s="1"/>
  <c r="EY71" i="10"/>
  <c r="EX71" i="10"/>
  <c r="EW71" i="10"/>
  <c r="DE71" i="10"/>
  <c r="CS71" i="10"/>
  <c r="CQ71" i="10"/>
  <c r="CJ71" i="10"/>
  <c r="CE71" i="10"/>
  <c r="CC71" i="10"/>
  <c r="BX71" i="10"/>
  <c r="BV71" i="10"/>
  <c r="BQ71" i="10"/>
  <c r="BO71" i="10"/>
  <c r="BJ71" i="10"/>
  <c r="BH71" i="10"/>
  <c r="BD71" i="10"/>
  <c r="BC71" i="10"/>
  <c r="AZ71" i="10"/>
  <c r="AV71" i="10"/>
  <c r="AR71" i="10"/>
  <c r="AC71" i="10"/>
  <c r="AB71" i="10"/>
  <c r="AF71" i="10" s="1"/>
  <c r="AJ71" i="10" s="1"/>
  <c r="AA71" i="10"/>
  <c r="Z71" i="10"/>
  <c r="AE71" i="10" s="1"/>
  <c r="T71" i="10"/>
  <c r="S71" i="10"/>
  <c r="D71" i="10"/>
  <c r="AS71" i="10" s="1"/>
  <c r="EY70" i="10"/>
  <c r="EX70" i="10"/>
  <c r="EW70" i="10"/>
  <c r="DE70" i="10"/>
  <c r="CS70" i="10"/>
  <c r="CQ70" i="10"/>
  <c r="CJ70" i="10"/>
  <c r="CE70" i="10"/>
  <c r="CC70" i="10"/>
  <c r="BX70" i="10"/>
  <c r="BV70" i="10"/>
  <c r="BQ70" i="10"/>
  <c r="BO70" i="10"/>
  <c r="BJ70" i="10"/>
  <c r="BH70" i="10"/>
  <c r="BD70" i="10"/>
  <c r="BC70" i="10"/>
  <c r="AZ70" i="10"/>
  <c r="AS70" i="10"/>
  <c r="AR70" i="10"/>
  <c r="AV70" i="10" s="1"/>
  <c r="AF70" i="10"/>
  <c r="AJ70" i="10" s="1"/>
  <c r="AC70" i="10"/>
  <c r="AB70" i="10"/>
  <c r="AA70" i="10"/>
  <c r="Z70" i="10"/>
  <c r="AE70" i="10" s="1"/>
  <c r="AG70" i="10" s="1"/>
  <c r="AK70" i="10" s="1"/>
  <c r="T70" i="10"/>
  <c r="S70" i="10"/>
  <c r="D70" i="10"/>
  <c r="EY69" i="10"/>
  <c r="EX69" i="10"/>
  <c r="EW69" i="10"/>
  <c r="DE69" i="10"/>
  <c r="CS69" i="10"/>
  <c r="CQ69" i="10"/>
  <c r="CJ69" i="10"/>
  <c r="CE69" i="10"/>
  <c r="CC69" i="10"/>
  <c r="BX69" i="10"/>
  <c r="BV69" i="10"/>
  <c r="BQ69" i="10"/>
  <c r="BO69" i="10"/>
  <c r="BJ69" i="10"/>
  <c r="BH69" i="10"/>
  <c r="BD69" i="10"/>
  <c r="BC69" i="10"/>
  <c r="AZ69" i="10"/>
  <c r="AR69" i="10"/>
  <c r="AV69" i="10" s="1"/>
  <c r="AC69" i="10"/>
  <c r="AB69" i="10"/>
  <c r="AF69" i="10" s="1"/>
  <c r="AJ69" i="10" s="1"/>
  <c r="AA69" i="10"/>
  <c r="Z69" i="10"/>
  <c r="AE69" i="10" s="1"/>
  <c r="AI69" i="10" s="1"/>
  <c r="T69" i="10"/>
  <c r="S69" i="10"/>
  <c r="D69" i="10"/>
  <c r="AS69" i="10" s="1"/>
  <c r="EY68" i="10"/>
  <c r="EX68" i="10"/>
  <c r="EW68" i="10"/>
  <c r="DE68" i="10"/>
  <c r="CS68" i="10"/>
  <c r="CQ68" i="10"/>
  <c r="CJ68" i="10"/>
  <c r="CE68" i="10"/>
  <c r="CC68" i="10"/>
  <c r="BX68" i="10"/>
  <c r="BV68" i="10"/>
  <c r="BQ68" i="10"/>
  <c r="BO68" i="10"/>
  <c r="BJ68" i="10"/>
  <c r="BH68" i="10"/>
  <c r="BD68" i="10"/>
  <c r="BC68" i="10"/>
  <c r="AZ68" i="10"/>
  <c r="AR68" i="10"/>
  <c r="AV68" i="10" s="1"/>
  <c r="AF68" i="10"/>
  <c r="AJ68" i="10" s="1"/>
  <c r="AC68" i="10"/>
  <c r="AB68" i="10"/>
  <c r="AA68" i="10"/>
  <c r="Z68" i="10"/>
  <c r="AE68" i="10" s="1"/>
  <c r="T68" i="10"/>
  <c r="S68" i="10"/>
  <c r="D68" i="10"/>
  <c r="AS68" i="10" s="1"/>
  <c r="EY67" i="10"/>
  <c r="EX67" i="10"/>
  <c r="EW67" i="10"/>
  <c r="DE67" i="10"/>
  <c r="DE80" i="10" s="1"/>
  <c r="CS67" i="10"/>
  <c r="CQ67" i="10"/>
  <c r="CJ67" i="10"/>
  <c r="CE67" i="10"/>
  <c r="CE80" i="10" s="1"/>
  <c r="CC67" i="10"/>
  <c r="BX67" i="10"/>
  <c r="BV67" i="10"/>
  <c r="BQ67" i="10"/>
  <c r="BQ80" i="10" s="1"/>
  <c r="BO67" i="10"/>
  <c r="BJ67" i="10"/>
  <c r="BH67" i="10"/>
  <c r="BD67" i="10"/>
  <c r="BD80" i="10" s="1"/>
  <c r="BC67" i="10"/>
  <c r="AZ67" i="10"/>
  <c r="AV67" i="10"/>
  <c r="AR67" i="10"/>
  <c r="AJ67" i="10"/>
  <c r="AC67" i="10"/>
  <c r="AB67" i="10"/>
  <c r="AF67" i="10" s="1"/>
  <c r="AA67" i="10"/>
  <c r="Z67" i="10"/>
  <c r="T67" i="10"/>
  <c r="S67" i="10"/>
  <c r="D67" i="10"/>
  <c r="EY66" i="10"/>
  <c r="EX66" i="10"/>
  <c r="EW66" i="10"/>
  <c r="DE66" i="10"/>
  <c r="CS66" i="10"/>
  <c r="CQ66" i="10"/>
  <c r="CJ66" i="10"/>
  <c r="CE66" i="10"/>
  <c r="CC66" i="10"/>
  <c r="BX66" i="10"/>
  <c r="BV66" i="10"/>
  <c r="BQ66" i="10"/>
  <c r="BO66" i="10"/>
  <c r="BJ66" i="10"/>
  <c r="BH66" i="10"/>
  <c r="BD66" i="10"/>
  <c r="BC66" i="10"/>
  <c r="AZ66" i="10"/>
  <c r="AS66" i="10"/>
  <c r="AR66" i="10"/>
  <c r="AV66" i="10" s="1"/>
  <c r="AF66" i="10"/>
  <c r="AJ66" i="10" s="1"/>
  <c r="AC66" i="10"/>
  <c r="AB66" i="10"/>
  <c r="AA66" i="10"/>
  <c r="Z66" i="10"/>
  <c r="AE66" i="10" s="1"/>
  <c r="AG66" i="10" s="1"/>
  <c r="AK66" i="10" s="1"/>
  <c r="T66" i="10"/>
  <c r="T80" i="10" s="1"/>
  <c r="S66" i="10"/>
  <c r="D66" i="10"/>
  <c r="EY65" i="10"/>
  <c r="EX65" i="10"/>
  <c r="EW65" i="10"/>
  <c r="DE65" i="10"/>
  <c r="CS65" i="10"/>
  <c r="CE65" i="10"/>
  <c r="BX65" i="10"/>
  <c r="BQ65" i="10"/>
  <c r="BJ65" i="10"/>
  <c r="BD65" i="10"/>
  <c r="BC65" i="10"/>
  <c r="AZ65" i="10"/>
  <c r="AV65" i="10"/>
  <c r="AR65" i="10"/>
  <c r="T65" i="10"/>
  <c r="S65" i="10"/>
  <c r="D65" i="10"/>
  <c r="AS65" i="10" s="1"/>
  <c r="EY64" i="10"/>
  <c r="EX64" i="10"/>
  <c r="EW64" i="10"/>
  <c r="DE64" i="10"/>
  <c r="CS64" i="10"/>
  <c r="CE64" i="10"/>
  <c r="BX64" i="10"/>
  <c r="BQ64" i="10"/>
  <c r="BJ64" i="10"/>
  <c r="BD64" i="10"/>
  <c r="BC64" i="10"/>
  <c r="AZ64" i="10"/>
  <c r="AR64" i="10"/>
  <c r="AV64" i="10" s="1"/>
  <c r="T64" i="10"/>
  <c r="S64" i="10"/>
  <c r="D64" i="10"/>
  <c r="AS64" i="10" s="1"/>
  <c r="EY63" i="10"/>
  <c r="EX63" i="10"/>
  <c r="EW63" i="10"/>
  <c r="DE63" i="10"/>
  <c r="CS63" i="10"/>
  <c r="CE63" i="10"/>
  <c r="BX63" i="10"/>
  <c r="BQ63" i="10"/>
  <c r="BJ63" i="10"/>
  <c r="BD63" i="10"/>
  <c r="BC63" i="10"/>
  <c r="AZ63" i="10"/>
  <c r="AR63" i="10"/>
  <c r="AV63" i="10" s="1"/>
  <c r="T63" i="10"/>
  <c r="S63" i="10"/>
  <c r="D63" i="10"/>
  <c r="AS63" i="10" s="1"/>
  <c r="EY62" i="10"/>
  <c r="EX62" i="10"/>
  <c r="EW62" i="10"/>
  <c r="DE62" i="10"/>
  <c r="CS62" i="10"/>
  <c r="CE62" i="10"/>
  <c r="BX62" i="10"/>
  <c r="BQ62" i="10"/>
  <c r="BJ62" i="10"/>
  <c r="BD62" i="10"/>
  <c r="BC62" i="10"/>
  <c r="AZ62" i="10"/>
  <c r="AV62" i="10"/>
  <c r="AR62" i="10"/>
  <c r="T62" i="10"/>
  <c r="S62" i="10"/>
  <c r="D62" i="10"/>
  <c r="AS62" i="10" s="1"/>
  <c r="EY61" i="10"/>
  <c r="EX61" i="10"/>
  <c r="EW61" i="10"/>
  <c r="DE61" i="10"/>
  <c r="CS61" i="10"/>
  <c r="CE61" i="10"/>
  <c r="BX61" i="10"/>
  <c r="BQ61" i="10"/>
  <c r="BJ61" i="10"/>
  <c r="BD61" i="10"/>
  <c r="BC61" i="10"/>
  <c r="AZ61" i="10"/>
  <c r="AV61" i="10"/>
  <c r="AR61" i="10"/>
  <c r="T61" i="10"/>
  <c r="S61" i="10"/>
  <c r="D61" i="10"/>
  <c r="AS61" i="10" s="1"/>
  <c r="EY60" i="10"/>
  <c r="EX60" i="10"/>
  <c r="EW60" i="10"/>
  <c r="DE60" i="10"/>
  <c r="CS60" i="10"/>
  <c r="CE60" i="10"/>
  <c r="BX60" i="10"/>
  <c r="BQ60" i="10"/>
  <c r="BJ60" i="10"/>
  <c r="BD60" i="10"/>
  <c r="BC60" i="10"/>
  <c r="AZ60" i="10"/>
  <c r="AR60" i="10"/>
  <c r="AV60" i="10" s="1"/>
  <c r="T60" i="10"/>
  <c r="S60" i="10"/>
  <c r="D60" i="10"/>
  <c r="AS60" i="10" s="1"/>
  <c r="EY59" i="10"/>
  <c r="EX59" i="10"/>
  <c r="EW59" i="10"/>
  <c r="DE59" i="10"/>
  <c r="CS59" i="10"/>
  <c r="CE59" i="10"/>
  <c r="BX59" i="10"/>
  <c r="BQ59" i="10"/>
  <c r="BJ59" i="10"/>
  <c r="BD59" i="10"/>
  <c r="BC59" i="10"/>
  <c r="AZ59" i="10"/>
  <c r="AR59" i="10"/>
  <c r="AV59" i="10" s="1"/>
  <c r="T59" i="10"/>
  <c r="S59" i="10"/>
  <c r="D59" i="10"/>
  <c r="AS59" i="10" s="1"/>
  <c r="EY58" i="10"/>
  <c r="EX58" i="10"/>
  <c r="EW58" i="10"/>
  <c r="DE58" i="10"/>
  <c r="CS58" i="10"/>
  <c r="CE58" i="10"/>
  <c r="BX58" i="10"/>
  <c r="BQ58" i="10"/>
  <c r="BJ58" i="10"/>
  <c r="BD58" i="10"/>
  <c r="BC58" i="10"/>
  <c r="AZ58" i="10"/>
  <c r="AV58" i="10"/>
  <c r="AR58" i="10"/>
  <c r="T58" i="10"/>
  <c r="S58" i="10"/>
  <c r="D58" i="10"/>
  <c r="AS58" i="10" s="1"/>
  <c r="EY57" i="10"/>
  <c r="EX57" i="10"/>
  <c r="EW57" i="10"/>
  <c r="DE57" i="10"/>
  <c r="CS57" i="10"/>
  <c r="CE57" i="10"/>
  <c r="BX57" i="10"/>
  <c r="BQ57" i="10"/>
  <c r="BJ57" i="10"/>
  <c r="BD57" i="10"/>
  <c r="BC57" i="10"/>
  <c r="AZ57" i="10"/>
  <c r="AV57" i="10"/>
  <c r="AR57" i="10"/>
  <c r="T57" i="10"/>
  <c r="S57" i="10"/>
  <c r="D57" i="10"/>
  <c r="AS57" i="10" s="1"/>
  <c r="EY56" i="10"/>
  <c r="EX56" i="10"/>
  <c r="EW56" i="10"/>
  <c r="DE56" i="10"/>
  <c r="CS56" i="10"/>
  <c r="CE56" i="10"/>
  <c r="BX56" i="10"/>
  <c r="BQ56" i="10"/>
  <c r="BJ56" i="10"/>
  <c r="BD56" i="10"/>
  <c r="BC56" i="10"/>
  <c r="AZ56" i="10"/>
  <c r="AR56" i="10"/>
  <c r="AV56" i="10" s="1"/>
  <c r="T56" i="10"/>
  <c r="S56" i="10"/>
  <c r="D56" i="10"/>
  <c r="AS56" i="10" s="1"/>
  <c r="EY55" i="10"/>
  <c r="EX55" i="10"/>
  <c r="EW55" i="10"/>
  <c r="DE55" i="10"/>
  <c r="CS55" i="10"/>
  <c r="CL55" i="10"/>
  <c r="CE55" i="10"/>
  <c r="BX55" i="10"/>
  <c r="BQ55" i="10"/>
  <c r="BJ55" i="10"/>
  <c r="BD55" i="10"/>
  <c r="BC55" i="10"/>
  <c r="AZ55" i="10"/>
  <c r="AR55" i="10"/>
  <c r="AV55" i="10" s="1"/>
  <c r="T55" i="10"/>
  <c r="S55" i="10"/>
  <c r="D55" i="10"/>
  <c r="AS55" i="10" s="1"/>
  <c r="EY54" i="10"/>
  <c r="EX54" i="10"/>
  <c r="EW54" i="10"/>
  <c r="DE54" i="10"/>
  <c r="CS54" i="10"/>
  <c r="CL54" i="10"/>
  <c r="CE54" i="10"/>
  <c r="BX54" i="10"/>
  <c r="BQ54" i="10"/>
  <c r="BJ54" i="10"/>
  <c r="BD54" i="10"/>
  <c r="BC54" i="10"/>
  <c r="AZ54" i="10"/>
  <c r="AR54" i="10"/>
  <c r="AV54" i="10" s="1"/>
  <c r="T54" i="10"/>
  <c r="S54" i="10"/>
  <c r="D54" i="10"/>
  <c r="AS54" i="10" s="1"/>
  <c r="EY53" i="10"/>
  <c r="EX53" i="10"/>
  <c r="EW53" i="10"/>
  <c r="DE53" i="10"/>
  <c r="CS53" i="10"/>
  <c r="CL53" i="10"/>
  <c r="CE53" i="10"/>
  <c r="BX53" i="10"/>
  <c r="BQ53" i="10"/>
  <c r="BJ53" i="10"/>
  <c r="BD53" i="10"/>
  <c r="BC53" i="10"/>
  <c r="AZ53" i="10"/>
  <c r="AS53" i="10"/>
  <c r="AR53" i="10"/>
  <c r="AV53" i="10" s="1"/>
  <c r="S53" i="10"/>
  <c r="D53" i="10"/>
  <c r="EY52" i="10"/>
  <c r="EX52" i="10"/>
  <c r="EW52" i="10"/>
  <c r="DE52" i="10"/>
  <c r="CS52" i="10"/>
  <c r="CL52" i="10"/>
  <c r="CE52" i="10"/>
  <c r="BX52" i="10"/>
  <c r="BQ52" i="10"/>
  <c r="BJ52" i="10"/>
  <c r="BD52" i="10"/>
  <c r="BC52" i="10"/>
  <c r="AZ52" i="10"/>
  <c r="AR52" i="10"/>
  <c r="AV52" i="10" s="1"/>
  <c r="S52" i="10"/>
  <c r="D52" i="10"/>
  <c r="AS52" i="10" s="1"/>
  <c r="EY51" i="10"/>
  <c r="EX51" i="10"/>
  <c r="EW51" i="10"/>
  <c r="DE51" i="10"/>
  <c r="CS51" i="10"/>
  <c r="CL51" i="10"/>
  <c r="CE51" i="10"/>
  <c r="BX51" i="10"/>
  <c r="BQ51" i="10"/>
  <c r="BJ51" i="10"/>
  <c r="BD51" i="10"/>
  <c r="BC51" i="10"/>
  <c r="AZ51" i="10"/>
  <c r="AV51" i="10"/>
  <c r="AS51" i="10"/>
  <c r="AR51" i="10"/>
  <c r="S51" i="10"/>
  <c r="D51" i="10"/>
  <c r="EY50" i="10"/>
  <c r="EX50" i="10"/>
  <c r="EW50" i="10"/>
  <c r="DE50" i="10"/>
  <c r="CS50" i="10"/>
  <c r="CL50" i="10"/>
  <c r="CE50" i="10"/>
  <c r="BX50" i="10"/>
  <c r="BQ50" i="10"/>
  <c r="BJ50" i="10"/>
  <c r="BD50" i="10"/>
  <c r="BC50" i="10"/>
  <c r="AZ50" i="10"/>
  <c r="AV50" i="10"/>
  <c r="AR50" i="10"/>
  <c r="S50" i="10"/>
  <c r="D50" i="10"/>
  <c r="AS50" i="10" s="1"/>
  <c r="DE49" i="10"/>
  <c r="CS49" i="10"/>
  <c r="CL49" i="10"/>
  <c r="CE49" i="10"/>
  <c r="BX49" i="10"/>
  <c r="BQ49" i="10"/>
  <c r="BD49" i="10"/>
  <c r="BC49" i="10"/>
  <c r="AZ49" i="10"/>
  <c r="AS49" i="10"/>
  <c r="AR49" i="10"/>
  <c r="AV49" i="10" s="1"/>
  <c r="S49" i="10"/>
  <c r="D49" i="10"/>
  <c r="DE48" i="10"/>
  <c r="CS48" i="10"/>
  <c r="CL48" i="10"/>
  <c r="BX48" i="10"/>
  <c r="BQ48" i="10"/>
  <c r="BJ48" i="10"/>
  <c r="BD48" i="10"/>
  <c r="BC48" i="10"/>
  <c r="AZ48" i="10"/>
  <c r="AR48" i="10"/>
  <c r="AV48" i="10" s="1"/>
  <c r="S48" i="10"/>
  <c r="D48" i="10"/>
  <c r="AS48" i="10" s="1"/>
  <c r="DE47" i="10"/>
  <c r="CS47" i="10"/>
  <c r="CL47" i="10"/>
  <c r="CE47" i="10"/>
  <c r="BX47" i="10"/>
  <c r="BQ47" i="10"/>
  <c r="BJ47" i="10"/>
  <c r="BD47" i="10"/>
  <c r="BC47" i="10"/>
  <c r="AZ47" i="10"/>
  <c r="AR47" i="10"/>
  <c r="AV47" i="10" s="1"/>
  <c r="S47" i="10"/>
  <c r="D47" i="10"/>
  <c r="AS47" i="10" s="1"/>
  <c r="DE46" i="10"/>
  <c r="CS46" i="10"/>
  <c r="CL46" i="10"/>
  <c r="CE46" i="10"/>
  <c r="BX46" i="10"/>
  <c r="BQ46" i="10"/>
  <c r="BJ46" i="10"/>
  <c r="BD46" i="10"/>
  <c r="BC46" i="10"/>
  <c r="AZ46" i="10"/>
  <c r="AR46" i="10"/>
  <c r="AV46" i="10" s="1"/>
  <c r="S46" i="10"/>
  <c r="D46" i="10"/>
  <c r="AS46" i="10" s="1"/>
  <c r="DE45" i="10"/>
  <c r="CS45" i="10"/>
  <c r="CL45" i="10"/>
  <c r="CE45" i="10"/>
  <c r="BX45" i="10"/>
  <c r="BQ45" i="10"/>
  <c r="BJ45" i="10"/>
  <c r="BD45" i="10"/>
  <c r="BC45" i="10"/>
  <c r="BA45" i="10"/>
  <c r="BA46" i="10" s="1"/>
  <c r="BA47" i="10" s="1"/>
  <c r="BA48" i="10" s="1"/>
  <c r="BA49" i="10" s="1"/>
  <c r="BA50" i="10" s="1"/>
  <c r="BA51" i="10" s="1"/>
  <c r="BA52" i="10" s="1"/>
  <c r="BA53" i="10" s="1"/>
  <c r="BA54" i="10" s="1"/>
  <c r="BA55" i="10" s="1"/>
  <c r="BA56" i="10" s="1"/>
  <c r="BA57" i="10" s="1"/>
  <c r="BA58" i="10" s="1"/>
  <c r="BA59" i="10" s="1"/>
  <c r="BA60" i="10" s="1"/>
  <c r="BA61" i="10" s="1"/>
  <c r="BA62" i="10" s="1"/>
  <c r="BA63" i="10" s="1"/>
  <c r="BA64" i="10" s="1"/>
  <c r="BA65" i="10" s="1"/>
  <c r="BA66" i="10" s="1"/>
  <c r="BA67" i="10" s="1"/>
  <c r="BA68" i="10" s="1"/>
  <c r="BA69" i="10" s="1"/>
  <c r="BA70" i="10" s="1"/>
  <c r="BA71" i="10" s="1"/>
  <c r="BA72" i="10" s="1"/>
  <c r="BA73" i="10" s="1"/>
  <c r="BA74" i="10" s="1"/>
  <c r="BA75" i="10" s="1"/>
  <c r="BA76" i="10" s="1"/>
  <c r="BA77" i="10" s="1"/>
  <c r="AZ45" i="10"/>
  <c r="AS45" i="10"/>
  <c r="AR45" i="10"/>
  <c r="S45" i="10"/>
  <c r="D45" i="10"/>
  <c r="DE44" i="10"/>
  <c r="CS44" i="10"/>
  <c r="CL44" i="10"/>
  <c r="CE44" i="10"/>
  <c r="BX44" i="10"/>
  <c r="BQ44" i="10"/>
  <c r="BJ44" i="10"/>
  <c r="BD44" i="10"/>
  <c r="BC44" i="10"/>
  <c r="AZ44" i="10"/>
  <c r="AR44" i="10"/>
  <c r="S44" i="10"/>
  <c r="D44" i="10"/>
  <c r="AS44" i="10" s="1"/>
  <c r="DE43" i="10"/>
  <c r="CS43" i="10"/>
  <c r="CL43" i="10"/>
  <c r="CE43" i="10"/>
  <c r="BX43" i="10"/>
  <c r="BQ43" i="10"/>
  <c r="BJ43" i="10"/>
  <c r="BD43" i="10"/>
  <c r="BC43" i="10"/>
  <c r="AZ43" i="10"/>
  <c r="AS43" i="10"/>
  <c r="AR43" i="10"/>
  <c r="S43" i="10"/>
  <c r="D43" i="10"/>
  <c r="DE42" i="10"/>
  <c r="CS42" i="10"/>
  <c r="CL42" i="10"/>
  <c r="CE42" i="10"/>
  <c r="BX42" i="10"/>
  <c r="BQ42" i="10"/>
  <c r="BJ42" i="10"/>
  <c r="BD42" i="10"/>
  <c r="BC42" i="10"/>
  <c r="AZ42" i="10"/>
  <c r="AR42" i="10"/>
  <c r="S42" i="10"/>
  <c r="D42" i="10"/>
  <c r="AS42" i="10" s="1"/>
  <c r="DE41" i="10"/>
  <c r="CS41" i="10"/>
  <c r="CL41" i="10"/>
  <c r="CE41" i="10"/>
  <c r="BX41" i="10"/>
  <c r="BQ41" i="10"/>
  <c r="BJ41" i="10"/>
  <c r="BD41" i="10"/>
  <c r="BC41" i="10"/>
  <c r="BA41" i="10"/>
  <c r="BA42" i="10" s="1"/>
  <c r="BA43" i="10" s="1"/>
  <c r="BA44" i="10" s="1"/>
  <c r="AZ41" i="10"/>
  <c r="AS41" i="10"/>
  <c r="AR41" i="10"/>
  <c r="S41" i="10"/>
  <c r="D41" i="10"/>
  <c r="DE40" i="10"/>
  <c r="CS40" i="10"/>
  <c r="CL40" i="10"/>
  <c r="CE40" i="10"/>
  <c r="BX40" i="10"/>
  <c r="BQ40" i="10"/>
  <c r="BJ40" i="10"/>
  <c r="BD40" i="10"/>
  <c r="BC40" i="10"/>
  <c r="AZ40" i="10"/>
  <c r="BA40" i="10" s="1"/>
  <c r="AR40" i="10"/>
  <c r="S40" i="10"/>
  <c r="D40" i="10"/>
  <c r="AS40" i="10" s="1"/>
  <c r="DE39" i="10"/>
  <c r="CS39" i="10"/>
  <c r="CL39" i="10"/>
  <c r="CE39" i="10"/>
  <c r="BX39" i="10"/>
  <c r="BQ39" i="10"/>
  <c r="BJ39" i="10"/>
  <c r="AS39" i="10"/>
  <c r="AR39" i="10"/>
  <c r="S39" i="10"/>
  <c r="D39" i="10"/>
  <c r="DE38" i="10"/>
  <c r="CS38" i="10"/>
  <c r="CL38" i="10"/>
  <c r="CE38" i="10"/>
  <c r="BX38" i="10"/>
  <c r="BQ38" i="10"/>
  <c r="BJ38" i="10"/>
  <c r="A38" i="10"/>
  <c r="DE37" i="10"/>
  <c r="CS37" i="10"/>
  <c r="CL37" i="10"/>
  <c r="CE37" i="10"/>
  <c r="BX37" i="10"/>
  <c r="BQ37" i="10"/>
  <c r="BJ37" i="10"/>
  <c r="A37" i="10"/>
  <c r="DE36" i="10"/>
  <c r="CS36" i="10"/>
  <c r="CL36" i="10"/>
  <c r="CE36" i="10"/>
  <c r="BX36" i="10"/>
  <c r="BQ36" i="10"/>
  <c r="BJ36" i="10"/>
  <c r="A36" i="10"/>
  <c r="DE35" i="10"/>
  <c r="CS35" i="10"/>
  <c r="CL35" i="10"/>
  <c r="CE35" i="10"/>
  <c r="BX35" i="10"/>
  <c r="BQ35" i="10"/>
  <c r="BJ35" i="10"/>
  <c r="A35" i="10"/>
  <c r="DE34" i="10"/>
  <c r="CS34" i="10"/>
  <c r="CL34" i="10"/>
  <c r="CE34" i="10"/>
  <c r="BX34" i="10"/>
  <c r="BQ34" i="10"/>
  <c r="BJ34" i="10"/>
  <c r="A34" i="10"/>
  <c r="DE33" i="10"/>
  <c r="CS33" i="10"/>
  <c r="CL33" i="10"/>
  <c r="CE33" i="10"/>
  <c r="BX33" i="10"/>
  <c r="BQ33" i="10"/>
  <c r="BJ33" i="10"/>
  <c r="A33" i="10"/>
  <c r="DE32" i="10"/>
  <c r="CS32" i="10"/>
  <c r="CL32" i="10"/>
  <c r="CE32" i="10"/>
  <c r="BX32" i="10"/>
  <c r="BQ32" i="10"/>
  <c r="BJ32" i="10"/>
  <c r="A32" i="10"/>
  <c r="DE31" i="10"/>
  <c r="CS31" i="10"/>
  <c r="CL31" i="10"/>
  <c r="CE31" i="10"/>
  <c r="BX31" i="10"/>
  <c r="BQ31" i="10"/>
  <c r="BJ31" i="10"/>
  <c r="A31" i="10"/>
  <c r="DE30" i="10"/>
  <c r="CS30" i="10"/>
  <c r="CL30" i="10"/>
  <c r="CE30" i="10"/>
  <c r="BX30" i="10"/>
  <c r="BQ30" i="10"/>
  <c r="BJ30" i="10"/>
  <c r="A30" i="10"/>
  <c r="DE29" i="10"/>
  <c r="CS29" i="10"/>
  <c r="CL29" i="10"/>
  <c r="CE29" i="10"/>
  <c r="BX29" i="10"/>
  <c r="BQ29" i="10"/>
  <c r="BJ29" i="10"/>
  <c r="A29" i="10"/>
  <c r="DE28" i="10"/>
  <c r="CS28" i="10"/>
  <c r="CL28" i="10"/>
  <c r="CE28" i="10"/>
  <c r="BX28" i="10"/>
  <c r="BQ28" i="10"/>
  <c r="BJ28" i="10"/>
  <c r="A28" i="10"/>
  <c r="DE27" i="10"/>
  <c r="CS27" i="10"/>
  <c r="CL27" i="10"/>
  <c r="CE27" i="10"/>
  <c r="BX27" i="10"/>
  <c r="BQ27" i="10"/>
  <c r="BJ27" i="10"/>
  <c r="A27" i="10"/>
  <c r="DE26" i="10"/>
  <c r="CS26" i="10"/>
  <c r="CL26" i="10"/>
  <c r="CE26" i="10"/>
  <c r="BX26" i="10"/>
  <c r="BQ26" i="10"/>
  <c r="BJ26" i="10"/>
  <c r="A26" i="10"/>
  <c r="DE25" i="10"/>
  <c r="CS25" i="10"/>
  <c r="CL25" i="10"/>
  <c r="CE25" i="10"/>
  <c r="BX25" i="10"/>
  <c r="BQ25" i="10"/>
  <c r="BJ25" i="10"/>
  <c r="A25" i="10"/>
  <c r="DE24" i="10"/>
  <c r="CS24" i="10"/>
  <c r="CL24" i="10"/>
  <c r="CE24" i="10"/>
  <c r="BX24" i="10"/>
  <c r="BQ24" i="10"/>
  <c r="BJ24" i="10"/>
  <c r="A24" i="10"/>
  <c r="DE23" i="10"/>
  <c r="CS23" i="10"/>
  <c r="CL23" i="10"/>
  <c r="CE23" i="10"/>
  <c r="BX23" i="10"/>
  <c r="BQ23" i="10"/>
  <c r="BJ23" i="10"/>
  <c r="A23" i="10"/>
  <c r="DE22" i="10"/>
  <c r="CS22" i="10"/>
  <c r="CL22" i="10"/>
  <c r="CE22" i="10"/>
  <c r="BX22" i="10"/>
  <c r="BQ22" i="10"/>
  <c r="BJ22" i="10"/>
  <c r="A22" i="10"/>
  <c r="DE21" i="10"/>
  <c r="CL21" i="10"/>
  <c r="CE21" i="10"/>
  <c r="BX21" i="10"/>
  <c r="BQ21" i="10"/>
  <c r="BJ21" i="10"/>
  <c r="A21" i="10"/>
  <c r="A20" i="10" s="1"/>
  <c r="DE20" i="10"/>
  <c r="CL20" i="10"/>
  <c r="CE20" i="10"/>
  <c r="BX20" i="10"/>
  <c r="BQ20" i="10"/>
  <c r="BJ20" i="10"/>
  <c r="DE19" i="10"/>
  <c r="CL19" i="10"/>
  <c r="CE19" i="10"/>
  <c r="BX19" i="10"/>
  <c r="BQ19" i="10"/>
  <c r="BJ19" i="10"/>
  <c r="A19" i="10"/>
  <c r="A18" i="10" s="1"/>
  <c r="A17" i="10" s="1"/>
  <c r="A16" i="10" s="1"/>
  <c r="A15" i="10" s="1"/>
  <c r="A14" i="10" s="1"/>
  <c r="A13" i="10" s="1"/>
  <c r="A12" i="10" s="1"/>
  <c r="A11" i="10" s="1"/>
  <c r="A10" i="10" s="1"/>
  <c r="A9" i="10" s="1"/>
  <c r="A8" i="10" s="1"/>
  <c r="DE18" i="10"/>
  <c r="CL18" i="10"/>
  <c r="CE18" i="10"/>
  <c r="BX18" i="10"/>
  <c r="BQ18" i="10"/>
  <c r="BJ18" i="10"/>
  <c r="DE17" i="10"/>
  <c r="BX17" i="10"/>
  <c r="BQ17" i="10"/>
  <c r="BJ17" i="10"/>
  <c r="DE16" i="10"/>
  <c r="CS16" i="10"/>
  <c r="CL16" i="10"/>
  <c r="CE16" i="10"/>
  <c r="BX16" i="10"/>
  <c r="BQ16" i="10"/>
  <c r="BJ16" i="10"/>
  <c r="CS15" i="10"/>
  <c r="CL15" i="10"/>
  <c r="CE15" i="10"/>
  <c r="BX15" i="10"/>
  <c r="BQ15" i="10"/>
  <c r="BJ15" i="10"/>
  <c r="CS14" i="10"/>
  <c r="CL14" i="10"/>
  <c r="CE14" i="10"/>
  <c r="BX14" i="10"/>
  <c r="BQ14" i="10"/>
  <c r="BJ14" i="10"/>
  <c r="DE13" i="10"/>
  <c r="CS13" i="10"/>
  <c r="CL13" i="10"/>
  <c r="CE13" i="10"/>
  <c r="BX13" i="10"/>
  <c r="BQ13" i="10"/>
  <c r="BJ13" i="10"/>
  <c r="CS12" i="10"/>
  <c r="CL12" i="10"/>
  <c r="CE12" i="10"/>
  <c r="BQ12" i="10"/>
  <c r="BJ12" i="10"/>
  <c r="CS11" i="10"/>
  <c r="CL11" i="10"/>
  <c r="BQ11" i="10"/>
  <c r="BQ10" i="10"/>
  <c r="CS9" i="10"/>
  <c r="CL9" i="10"/>
  <c r="BQ9" i="10"/>
  <c r="CS8" i="10"/>
  <c r="CL8" i="10"/>
  <c r="BQ8" i="10"/>
  <c r="G41" i="5"/>
  <c r="G40" i="5"/>
  <c r="G39" i="5"/>
  <c r="G38" i="5"/>
  <c r="G37" i="5"/>
  <c r="G36" i="5"/>
  <c r="G35" i="5"/>
  <c r="I33" i="5"/>
  <c r="H33" i="5"/>
  <c r="G33" i="5"/>
  <c r="E49" i="6"/>
  <c r="L48" i="6"/>
  <c r="N47" i="6"/>
  <c r="R47" i="6" s="1"/>
  <c r="T47" i="6" s="1"/>
  <c r="F47" i="6"/>
  <c r="O46" i="6"/>
  <c r="O44" i="6"/>
  <c r="O30" i="6"/>
  <c r="N29" i="6"/>
  <c r="R29" i="6" s="1"/>
  <c r="O28" i="6"/>
  <c r="N27" i="6"/>
  <c r="R27" i="6" s="1"/>
  <c r="N26" i="6"/>
  <c r="R26" i="6" s="1"/>
  <c r="N25" i="6"/>
  <c r="R25" i="6" s="1"/>
  <c r="N22" i="6"/>
  <c r="R22" i="6" s="1"/>
  <c r="T22" i="6" s="1"/>
  <c r="N21" i="6"/>
  <c r="R21" i="6" s="1"/>
  <c r="N17" i="6"/>
  <c r="R17" i="6" s="1"/>
  <c r="N16" i="6"/>
  <c r="R16" i="6" s="1"/>
  <c r="N15" i="6"/>
  <c r="R15" i="6" s="1"/>
  <c r="N14" i="6"/>
  <c r="R14" i="6" s="1"/>
  <c r="N13" i="6"/>
  <c r="R13" i="6" s="1"/>
  <c r="N12" i="6"/>
  <c r="R12" i="6" s="1"/>
  <c r="T12" i="6" s="1"/>
  <c r="N11" i="6"/>
  <c r="R11" i="6" s="1"/>
  <c r="T11" i="6" s="1"/>
  <c r="N10" i="6"/>
  <c r="R10" i="6" s="1"/>
  <c r="N9" i="6"/>
  <c r="R9" i="6" s="1"/>
  <c r="T9" i="6" s="1"/>
  <c r="N8" i="6"/>
  <c r="R8" i="6" s="1"/>
  <c r="T8" i="6" s="1"/>
  <c r="N7" i="6"/>
  <c r="R7" i="6" s="1"/>
  <c r="T7" i="6" s="1"/>
  <c r="O5" i="6"/>
  <c r="F259" i="9"/>
  <c r="F258" i="9"/>
  <c r="F257" i="9"/>
  <c r="F256" i="9"/>
  <c r="F255" i="9"/>
  <c r="F254" i="9"/>
  <c r="F253" i="9"/>
  <c r="F252" i="9"/>
  <c r="F251" i="9"/>
  <c r="F250" i="9"/>
  <c r="F249" i="9"/>
  <c r="F248" i="9"/>
  <c r="F247" i="9"/>
  <c r="F246" i="9"/>
  <c r="F245" i="9"/>
  <c r="F244" i="9"/>
  <c r="F243" i="9"/>
  <c r="F242" i="9"/>
  <c r="F241" i="9"/>
  <c r="F240" i="9"/>
  <c r="F239" i="9"/>
  <c r="F238" i="9"/>
  <c r="F237" i="9"/>
  <c r="F236" i="9"/>
  <c r="F235" i="9"/>
  <c r="F234" i="9"/>
  <c r="F233" i="9"/>
  <c r="F232" i="9"/>
  <c r="F231" i="9"/>
  <c r="F230" i="9"/>
  <c r="F229" i="9"/>
  <c r="F228" i="9"/>
  <c r="F227" i="9"/>
  <c r="F226" i="9"/>
  <c r="F225" i="9"/>
  <c r="F224" i="9"/>
  <c r="F223" i="9"/>
  <c r="F222" i="9"/>
  <c r="F221" i="9"/>
  <c r="F220" i="9"/>
  <c r="F219" i="9"/>
  <c r="F218" i="9"/>
  <c r="F217" i="9"/>
  <c r="F205" i="9"/>
  <c r="F181" i="9"/>
  <c r="F180" i="9"/>
  <c r="F177" i="9"/>
  <c r="F173" i="9"/>
  <c r="F172" i="9"/>
  <c r="F171" i="9"/>
  <c r="F170" i="9"/>
  <c r="F169" i="9"/>
  <c r="F168" i="9"/>
  <c r="F167" i="9"/>
  <c r="F166" i="9"/>
  <c r="F165" i="9"/>
  <c r="F164" i="9"/>
  <c r="F163" i="9"/>
  <c r="F162" i="9"/>
  <c r="F161" i="9"/>
  <c r="F160" i="9"/>
  <c r="F159" i="9"/>
  <c r="F158" i="9"/>
  <c r="F157" i="9"/>
  <c r="F156" i="9"/>
  <c r="F155" i="9"/>
  <c r="F154" i="9"/>
  <c r="F153" i="9"/>
  <c r="F152" i="9"/>
  <c r="F151" i="9"/>
  <c r="F150" i="9"/>
  <c r="F149" i="9"/>
  <c r="F148" i="9"/>
  <c r="F147" i="9"/>
  <c r="F146" i="9"/>
  <c r="F145" i="9"/>
  <c r="F144" i="9"/>
  <c r="F143" i="9"/>
  <c r="F142" i="9"/>
  <c r="F141" i="9"/>
  <c r="F140" i="9"/>
  <c r="F139" i="9"/>
  <c r="F138" i="9"/>
  <c r="F137" i="9"/>
  <c r="F136" i="9"/>
  <c r="F135" i="9"/>
  <c r="F134" i="9"/>
  <c r="F133" i="9"/>
  <c r="F132" i="9"/>
  <c r="F131" i="9"/>
  <c r="F130" i="9"/>
  <c r="F129" i="9"/>
  <c r="F128" i="9"/>
  <c r="F127" i="9"/>
  <c r="F126" i="9"/>
  <c r="F125" i="9"/>
  <c r="F124" i="9"/>
  <c r="F123" i="9"/>
  <c r="F122" i="9"/>
  <c r="F121" i="9"/>
  <c r="F120" i="9"/>
  <c r="F119" i="9"/>
  <c r="F118" i="9"/>
  <c r="F117" i="9"/>
  <c r="F116" i="9"/>
  <c r="F115" i="9"/>
  <c r="F114" i="9"/>
  <c r="F113" i="9"/>
  <c r="F112" i="9"/>
  <c r="F111" i="9"/>
  <c r="F110" i="9"/>
  <c r="F109" i="9"/>
  <c r="F108" i="9"/>
  <c r="F107" i="9"/>
  <c r="F106" i="9"/>
  <c r="F105" i="9"/>
  <c r="F104" i="9"/>
  <c r="F103" i="9"/>
  <c r="F102" i="9"/>
  <c r="F101" i="9"/>
  <c r="F100" i="9"/>
  <c r="F99" i="9"/>
  <c r="F98" i="9"/>
  <c r="F97" i="9"/>
  <c r="F96" i="9"/>
  <c r="F95" i="9"/>
  <c r="F94" i="9"/>
  <c r="F93" i="9"/>
  <c r="F92" i="9"/>
  <c r="F91" i="9"/>
  <c r="F90" i="9"/>
  <c r="F89" i="9"/>
  <c r="F88" i="9"/>
  <c r="F87" i="9"/>
  <c r="F82" i="9"/>
  <c r="F69" i="9"/>
  <c r="F67" i="9"/>
  <c r="F66" i="9"/>
  <c r="F65" i="9"/>
  <c r="F64" i="9"/>
  <c r="F63" i="9"/>
  <c r="F62" i="9"/>
  <c r="F61" i="9"/>
  <c r="F60" i="9"/>
  <c r="F59" i="9"/>
  <c r="F58" i="9"/>
  <c r="F57" i="9"/>
  <c r="F56" i="9"/>
  <c r="F55" i="9"/>
  <c r="F54" i="9"/>
  <c r="F53" i="9"/>
  <c r="F52" i="9"/>
  <c r="F51" i="9"/>
  <c r="F50" i="9"/>
  <c r="F49" i="9"/>
  <c r="F48" i="9"/>
  <c r="F47" i="9"/>
  <c r="F46" i="9"/>
  <c r="F45" i="9"/>
  <c r="F44" i="9"/>
  <c r="F26" i="9"/>
  <c r="F24" i="9"/>
  <c r="F23" i="9"/>
  <c r="F22" i="9"/>
  <c r="F19" i="9"/>
  <c r="F18" i="9"/>
  <c r="F14" i="9"/>
  <c r="F13" i="9"/>
  <c r="F12" i="9"/>
  <c r="F11" i="9"/>
  <c r="F10" i="9"/>
  <c r="F9" i="9"/>
  <c r="F8" i="9"/>
  <c r="F7" i="9"/>
  <c r="F6" i="9"/>
  <c r="F5" i="9"/>
  <c r="F4" i="9"/>
  <c r="AI48" i="1"/>
  <c r="F64" i="1"/>
  <c r="AG47" i="1"/>
  <c r="AF66" i="1" s="1"/>
  <c r="F63" i="1"/>
  <c r="AJ46" i="1"/>
  <c r="AJ47" i="1" s="1"/>
  <c r="AJ48" i="1" s="1"/>
  <c r="AG45" i="1"/>
  <c r="AI42" i="1"/>
  <c r="AJ40" i="1"/>
  <c r="C7" i="8" s="1"/>
  <c r="AA48" i="1"/>
  <c r="AA79" i="1" s="1"/>
  <c r="Y48" i="1"/>
  <c r="Y79" i="1" s="1"/>
  <c r="X48" i="1"/>
  <c r="Z47" i="1"/>
  <c r="F216" i="9" s="1"/>
  <c r="Z46" i="1"/>
  <c r="F215" i="9" s="1"/>
  <c r="W46" i="1"/>
  <c r="F86" i="9" s="1"/>
  <c r="V46" i="1"/>
  <c r="F46" i="6" s="1"/>
  <c r="Z45" i="1"/>
  <c r="F214" i="9" s="1"/>
  <c r="W45" i="1"/>
  <c r="F85" i="9" s="1"/>
  <c r="V45" i="1"/>
  <c r="AG62" i="1"/>
  <c r="AH62" i="1" s="1"/>
  <c r="Z44" i="1"/>
  <c r="F213" i="9" s="1"/>
  <c r="W44" i="1"/>
  <c r="F84" i="9" s="1"/>
  <c r="V44" i="1"/>
  <c r="N44" i="6" s="1"/>
  <c r="R44" i="6" s="1"/>
  <c r="T44" i="6" s="1"/>
  <c r="Z43" i="1"/>
  <c r="F212" i="9" s="1"/>
  <c r="W43" i="1"/>
  <c r="F83" i="9" s="1"/>
  <c r="V43" i="1"/>
  <c r="AF60" i="1"/>
  <c r="AF63" i="1" s="1"/>
  <c r="Z42" i="1"/>
  <c r="F211" i="9" s="1"/>
  <c r="V42" i="1"/>
  <c r="Z41" i="1"/>
  <c r="F210" i="9" s="1"/>
  <c r="W41" i="1"/>
  <c r="F81" i="9" s="1"/>
  <c r="V41" i="1"/>
  <c r="AG54" i="1"/>
  <c r="Z40" i="1"/>
  <c r="F209" i="9" s="1"/>
  <c r="W40" i="1"/>
  <c r="F80" i="9" s="1"/>
  <c r="V40" i="1"/>
  <c r="N40" i="6" s="1"/>
  <c r="Z39" i="1"/>
  <c r="F208" i="9" s="1"/>
  <c r="W39" i="1"/>
  <c r="F79" i="9" s="1"/>
  <c r="V39" i="1"/>
  <c r="AF52" i="1"/>
  <c r="AF55" i="1" s="1"/>
  <c r="Z38" i="1"/>
  <c r="F207" i="9" s="1"/>
  <c r="W38" i="1"/>
  <c r="F78" i="9" s="1"/>
  <c r="V38" i="1"/>
  <c r="F35" i="9" s="1"/>
  <c r="Z37" i="1"/>
  <c r="F206" i="9" s="1"/>
  <c r="W37" i="1"/>
  <c r="F77" i="9" s="1"/>
  <c r="V37" i="1"/>
  <c r="N37" i="6" s="1"/>
  <c r="Z36" i="1"/>
  <c r="W36" i="1"/>
  <c r="F76" i="9" s="1"/>
  <c r="V36" i="1"/>
  <c r="N36" i="6" s="1"/>
  <c r="Z35" i="1"/>
  <c r="F204" i="9" s="1"/>
  <c r="W35" i="1"/>
  <c r="F75" i="9" s="1"/>
  <c r="V35" i="1"/>
  <c r="AK33" i="1"/>
  <c r="AJ33" i="1"/>
  <c r="AI33" i="1"/>
  <c r="AL33" i="1" s="1"/>
  <c r="R35" i="8" s="1"/>
  <c r="R33" i="8" s="1"/>
  <c r="S32" i="8" s="1"/>
  <c r="R31" i="8" s="1"/>
  <c r="Z34" i="1"/>
  <c r="F203" i="9" s="1"/>
  <c r="W34" i="1"/>
  <c r="F74" i="9" s="1"/>
  <c r="V34" i="1"/>
  <c r="F31" i="9" s="1"/>
  <c r="Z33" i="1"/>
  <c r="F202" i="9" s="1"/>
  <c r="W33" i="1"/>
  <c r="F73" i="9" s="1"/>
  <c r="V33" i="1"/>
  <c r="N33" i="6" s="1"/>
  <c r="Z32" i="1"/>
  <c r="F201" i="9" s="1"/>
  <c r="W32" i="1"/>
  <c r="F72" i="9" s="1"/>
  <c r="V32" i="1"/>
  <c r="N32" i="6" s="1"/>
  <c r="Z31" i="1"/>
  <c r="F200" i="9" s="1"/>
  <c r="W31" i="1"/>
  <c r="F71" i="9" s="1"/>
  <c r="V31" i="1"/>
  <c r="Z30" i="1"/>
  <c r="F199" i="9" s="1"/>
  <c r="W30" i="1"/>
  <c r="F70" i="9" s="1"/>
  <c r="V30" i="1"/>
  <c r="F27" i="9" s="1"/>
  <c r="Z29" i="1"/>
  <c r="F198" i="9" s="1"/>
  <c r="F197" i="9"/>
  <c r="W28" i="1"/>
  <c r="V28" i="1"/>
  <c r="N28" i="6" s="1"/>
  <c r="Z27" i="1"/>
  <c r="F196" i="9" s="1"/>
  <c r="Z26" i="1"/>
  <c r="F195" i="9" s="1"/>
  <c r="Z25" i="1"/>
  <c r="F194" i="9" s="1"/>
  <c r="Z24" i="1"/>
  <c r="F193" i="9" s="1"/>
  <c r="V24" i="1"/>
  <c r="N24" i="6" s="1"/>
  <c r="R24" i="6" s="1"/>
  <c r="T24" i="6" s="1"/>
  <c r="Z23" i="1"/>
  <c r="F192" i="9" s="1"/>
  <c r="V23" i="1"/>
  <c r="Z22" i="1"/>
  <c r="F191" i="9" s="1"/>
  <c r="Z21" i="1"/>
  <c r="F190" i="9" s="1"/>
  <c r="Z20" i="1"/>
  <c r="F189" i="9" s="1"/>
  <c r="V20" i="1"/>
  <c r="N20" i="6" s="1"/>
  <c r="R20" i="6" s="1"/>
  <c r="T20" i="6" s="1"/>
  <c r="Z19" i="1"/>
  <c r="F188" i="9" s="1"/>
  <c r="V19" i="1"/>
  <c r="Z18" i="1"/>
  <c r="F187" i="9" s="1"/>
  <c r="V18" i="1"/>
  <c r="N18" i="6" s="1"/>
  <c r="R18" i="6" s="1"/>
  <c r="T18" i="6" s="1"/>
  <c r="Z17" i="1"/>
  <c r="F186" i="9" s="1"/>
  <c r="Z16" i="1"/>
  <c r="F185" i="9" s="1"/>
  <c r="Z15" i="1"/>
  <c r="F184" i="9" s="1"/>
  <c r="Z14" i="1"/>
  <c r="F183" i="9" s="1"/>
  <c r="Z13" i="1"/>
  <c r="F182" i="9" s="1"/>
  <c r="Z10" i="1"/>
  <c r="F179" i="9" s="1"/>
  <c r="Z9" i="1"/>
  <c r="F178" i="9" s="1"/>
  <c r="Z8" i="1"/>
  <c r="Z7" i="1"/>
  <c r="F176" i="9" s="1"/>
  <c r="Z6" i="1"/>
  <c r="F175" i="9" s="1"/>
  <c r="V6" i="1"/>
  <c r="N6" i="6" s="1"/>
  <c r="R6" i="6" s="1"/>
  <c r="T6" i="6" s="1"/>
  <c r="Z5" i="1"/>
  <c r="V5" i="1"/>
  <c r="S30" i="8" l="1"/>
  <c r="R29" i="8" s="1"/>
  <c r="AI58" i="1"/>
  <c r="AI56" i="1" s="1"/>
  <c r="AI59" i="1" s="1"/>
  <c r="P32" i="6"/>
  <c r="R32" i="6"/>
  <c r="T32" i="6" s="1"/>
  <c r="P40" i="6"/>
  <c r="R40" i="6"/>
  <c r="T40" i="6" s="1"/>
  <c r="P33" i="6"/>
  <c r="R33" i="6"/>
  <c r="T33" i="6" s="1"/>
  <c r="P36" i="6"/>
  <c r="R36" i="6"/>
  <c r="T36" i="6" s="1"/>
  <c r="P28" i="6"/>
  <c r="R28" i="6"/>
  <c r="T28" i="6" s="1"/>
  <c r="P37" i="6"/>
  <c r="R37" i="6"/>
  <c r="T37" i="6" s="1"/>
  <c r="E32" i="1"/>
  <c r="J5" i="8"/>
  <c r="E34" i="1"/>
  <c r="R5" i="8"/>
  <c r="AI65" i="1" s="1"/>
  <c r="F68" i="9"/>
  <c r="W48" i="1"/>
  <c r="S28" i="8"/>
  <c r="R27" i="8" s="1"/>
  <c r="I26" i="8"/>
  <c r="C24" i="8"/>
  <c r="E7" i="8"/>
  <c r="I7" i="8"/>
  <c r="C17" i="8"/>
  <c r="C5" i="8"/>
  <c r="N46" i="6"/>
  <c r="P44" i="6"/>
  <c r="F17" i="9"/>
  <c r="F32" i="6"/>
  <c r="F25" i="9"/>
  <c r="F41" i="9"/>
  <c r="F44" i="6"/>
  <c r="F43" i="9"/>
  <c r="AI71" i="10"/>
  <c r="AG71" i="10"/>
  <c r="AK71" i="10" s="1"/>
  <c r="AF70" i="1"/>
  <c r="AG48" i="1"/>
  <c r="N45" i="6"/>
  <c r="F42" i="9"/>
  <c r="AJ80" i="10"/>
  <c r="AI68" i="10"/>
  <c r="AG68" i="10"/>
  <c r="AK68" i="10" s="1"/>
  <c r="AG69" i="10"/>
  <c r="AK69" i="10" s="1"/>
  <c r="AI74" i="10"/>
  <c r="AG74" i="10"/>
  <c r="AK74" i="10" s="1"/>
  <c r="F35" i="8"/>
  <c r="M76" i="1"/>
  <c r="F41" i="6"/>
  <c r="F38" i="9"/>
  <c r="AG66" i="1"/>
  <c r="AF80" i="10"/>
  <c r="AI70" i="10"/>
  <c r="N42" i="6"/>
  <c r="F42" i="6"/>
  <c r="F16" i="9"/>
  <c r="N19" i="6"/>
  <c r="R19" i="6" s="1"/>
  <c r="T19" i="6" s="1"/>
  <c r="F32" i="9"/>
  <c r="N35" i="6"/>
  <c r="F35" i="6"/>
  <c r="F36" i="9"/>
  <c r="N39" i="6"/>
  <c r="F39" i="6"/>
  <c r="N5" i="6"/>
  <c r="R5" i="6" s="1"/>
  <c r="T5" i="6" s="1"/>
  <c r="V48" i="1"/>
  <c r="N30" i="6"/>
  <c r="F30" i="6"/>
  <c r="F28" i="9"/>
  <c r="N31" i="6"/>
  <c r="F31" i="6"/>
  <c r="F33" i="6"/>
  <c r="F30" i="9"/>
  <c r="N34" i="6"/>
  <c r="F34" i="6"/>
  <c r="N38" i="6"/>
  <c r="F38" i="6"/>
  <c r="F40" i="9"/>
  <c r="N43" i="6"/>
  <c r="F43" i="6"/>
  <c r="AJ42" i="1"/>
  <c r="F29" i="9"/>
  <c r="F37" i="9"/>
  <c r="F40" i="6"/>
  <c r="G42" i="5"/>
  <c r="AV80" i="10"/>
  <c r="F33" i="9"/>
  <c r="F174" i="9"/>
  <c r="Z48" i="1"/>
  <c r="Z79" i="1" s="1"/>
  <c r="N23" i="6"/>
  <c r="R23" i="6" s="1"/>
  <c r="T23" i="6" s="1"/>
  <c r="F20" i="9"/>
  <c r="F37" i="6"/>
  <c r="F34" i="9"/>
  <c r="F2" i="9"/>
  <c r="F15" i="9"/>
  <c r="F21" i="9"/>
  <c r="F39" i="9"/>
  <c r="F28" i="6"/>
  <c r="F36" i="6"/>
  <c r="N41" i="6"/>
  <c r="F45" i="6"/>
  <c r="AI66" i="10"/>
  <c r="Z80" i="10"/>
  <c r="AE67" i="10"/>
  <c r="D80" i="10"/>
  <c r="AA80" i="10"/>
  <c r="AA81" i="10" s="1"/>
  <c r="BH80" i="10"/>
  <c r="O20" i="6" s="1"/>
  <c r="P20" i="6" s="1"/>
  <c r="BV80" i="10"/>
  <c r="O19" i="6" s="1"/>
  <c r="CJ80" i="10"/>
  <c r="O22" i="6" s="1"/>
  <c r="P22" i="6" s="1"/>
  <c r="AE72" i="10"/>
  <c r="AJ72" i="10"/>
  <c r="AJ83" i="10" s="1"/>
  <c r="AB80" i="10"/>
  <c r="AR82" i="10"/>
  <c r="AR81" i="10"/>
  <c r="AR80" i="10"/>
  <c r="BJ80" i="10"/>
  <c r="BX80" i="10"/>
  <c r="CQ80" i="10"/>
  <c r="O18" i="6" s="1"/>
  <c r="P18" i="6" s="1"/>
  <c r="AI73" i="10"/>
  <c r="AG73" i="10"/>
  <c r="AK73" i="10" s="1"/>
  <c r="AG76" i="10"/>
  <c r="AK76" i="10" s="1"/>
  <c r="AI76" i="10"/>
  <c r="S80" i="10"/>
  <c r="AC80" i="10"/>
  <c r="AS67" i="10"/>
  <c r="BC80" i="10"/>
  <c r="BO80" i="10"/>
  <c r="O24" i="6" s="1"/>
  <c r="P24" i="6" s="1"/>
  <c r="CC80" i="10"/>
  <c r="O23" i="6" s="1"/>
  <c r="CS80" i="10"/>
  <c r="AI75" i="10"/>
  <c r="AG75" i="10"/>
  <c r="AK75" i="10" s="1"/>
  <c r="H83" i="10"/>
  <c r="C83" i="10"/>
  <c r="P41" i="6" l="1"/>
  <c r="R41" i="6"/>
  <c r="P45" i="6"/>
  <c r="R45" i="6"/>
  <c r="T45" i="6" s="1"/>
  <c r="P46" i="6"/>
  <c r="R46" i="6"/>
  <c r="T46" i="6" s="1"/>
  <c r="P38" i="6"/>
  <c r="R38" i="6"/>
  <c r="T38" i="6" s="1"/>
  <c r="P35" i="6"/>
  <c r="R35" i="6"/>
  <c r="T35" i="6" s="1"/>
  <c r="P43" i="6"/>
  <c r="R43" i="6"/>
  <c r="T43" i="6" s="1"/>
  <c r="P30" i="6"/>
  <c r="R30" i="6"/>
  <c r="T30" i="6" s="1"/>
  <c r="P39" i="6"/>
  <c r="R39" i="6"/>
  <c r="T39" i="6" s="1"/>
  <c r="P42" i="6"/>
  <c r="R42" i="6"/>
  <c r="T42" i="6" s="1"/>
  <c r="P34" i="6"/>
  <c r="R34" i="6"/>
  <c r="T34" i="6" s="1"/>
  <c r="P31" i="6"/>
  <c r="R31" i="6"/>
  <c r="T31" i="6" s="1"/>
  <c r="AG65" i="1"/>
  <c r="AG64" i="1" s="1"/>
  <c r="AG67" i="1" s="1"/>
  <c r="J6" i="8"/>
  <c r="K6" i="8" s="1"/>
  <c r="E33" i="1"/>
  <c r="N5" i="8"/>
  <c r="AH65" i="1" s="1"/>
  <c r="S26" i="8"/>
  <c r="R24" i="8" s="1"/>
  <c r="J35" i="8"/>
  <c r="F33" i="8"/>
  <c r="AF65" i="1"/>
  <c r="AF64" i="1" s="1"/>
  <c r="AF67" i="1" s="1"/>
  <c r="F5" i="8"/>
  <c r="F6" i="8" s="1"/>
  <c r="P19" i="6"/>
  <c r="V79" i="1"/>
  <c r="E31" i="1" s="1"/>
  <c r="F49" i="6"/>
  <c r="AG72" i="10"/>
  <c r="AK72" i="10" s="1"/>
  <c r="AI72" i="10"/>
  <c r="P5" i="6"/>
  <c r="N49" i="6"/>
  <c r="AG70" i="1"/>
  <c r="AE80" i="10"/>
  <c r="AI67" i="10"/>
  <c r="AG67" i="10"/>
  <c r="AG42" i="1"/>
  <c r="F76" i="1" s="1"/>
  <c r="AJ82" i="10"/>
  <c r="F83" i="10"/>
  <c r="I83" i="10" s="1"/>
  <c r="K83" i="10" s="1"/>
  <c r="K84" i="10" s="1"/>
  <c r="AS82" i="10"/>
  <c r="AS81" i="10"/>
  <c r="AS80" i="10"/>
  <c r="P23" i="6"/>
  <c r="T41" i="6" l="1"/>
  <c r="R49" i="6"/>
  <c r="T49" i="6"/>
  <c r="S49" i="6" s="1"/>
  <c r="S25" i="8"/>
  <c r="S39" i="8" s="1"/>
  <c r="N35" i="8"/>
  <c r="N33" i="8" s="1"/>
  <c r="J33" i="8"/>
  <c r="K32" i="8" s="1"/>
  <c r="J31" i="8" s="1"/>
  <c r="G32" i="8"/>
  <c r="F31" i="8" s="1"/>
  <c r="C31" i="8" s="1"/>
  <c r="AF58" i="1" s="1"/>
  <c r="AF56" i="1" s="1"/>
  <c r="AF59" i="1" s="1"/>
  <c r="N6" i="8"/>
  <c r="R6" i="8"/>
  <c r="F8" i="8"/>
  <c r="F10" i="8" s="1"/>
  <c r="G6" i="8"/>
  <c r="M83" i="10"/>
  <c r="AG80" i="10"/>
  <c r="AK67" i="10"/>
  <c r="AK80" i="10" s="1"/>
  <c r="P49" i="6"/>
  <c r="O49" i="6" s="1"/>
  <c r="AI83" i="10"/>
  <c r="AI82" i="10"/>
  <c r="AI80" i="10"/>
  <c r="K30" i="8" l="1"/>
  <c r="J29" i="8" s="1"/>
  <c r="K28" i="8" s="1"/>
  <c r="AG58" i="1"/>
  <c r="J27" i="8"/>
  <c r="O32" i="8"/>
  <c r="N31" i="8" s="1"/>
  <c r="AH58" i="1" s="1"/>
  <c r="AH56" i="1" s="1"/>
  <c r="AH59" i="1" s="1"/>
  <c r="G30" i="8"/>
  <c r="F29" i="8" s="1"/>
  <c r="G28" i="8" s="1"/>
  <c r="R8" i="8"/>
  <c r="S6" i="8"/>
  <c r="N8" i="8"/>
  <c r="AH61" i="1" s="1"/>
  <c r="AH60" i="1" s="1"/>
  <c r="AH63" i="1" s="1"/>
  <c r="O6" i="8"/>
  <c r="G9" i="8"/>
  <c r="G19" i="8" s="1"/>
  <c r="F12" i="8"/>
  <c r="G7" i="8"/>
  <c r="J8" i="8" s="1"/>
  <c r="U83" i="10"/>
  <c r="T83" i="10"/>
  <c r="T84" i="10" s="1"/>
  <c r="T85" i="10" s="1"/>
  <c r="O30" i="8" l="1"/>
  <c r="N29" i="8" s="1"/>
  <c r="F27" i="8"/>
  <c r="G26" i="8" s="1"/>
  <c r="K26" i="8"/>
  <c r="K25" i="8" s="1"/>
  <c r="K39" i="8" s="1"/>
  <c r="S7" i="8"/>
  <c r="R10" i="8"/>
  <c r="O7" i="8"/>
  <c r="N10" i="8"/>
  <c r="J10" i="8"/>
  <c r="K7" i="8"/>
  <c r="AI61" i="1"/>
  <c r="AI60" i="1" s="1"/>
  <c r="AI63" i="1" s="1"/>
  <c r="AG61" i="1"/>
  <c r="AG60" i="1" s="1"/>
  <c r="AG63" i="1" s="1"/>
  <c r="J24" i="8" l="1"/>
  <c r="G25" i="8"/>
  <c r="G39" i="8" s="1"/>
  <c r="F24" i="8"/>
  <c r="O28" i="8"/>
  <c r="N27" i="8" s="1"/>
  <c r="N12" i="8"/>
  <c r="O9" i="8"/>
  <c r="O19" i="8" s="1"/>
  <c r="R12" i="8"/>
  <c r="S9" i="8"/>
  <c r="S19" i="8" s="1"/>
  <c r="K9" i="8"/>
  <c r="K19" i="8" s="1"/>
  <c r="G11" i="8"/>
  <c r="J12" i="8" s="1"/>
  <c r="AG57" i="1" s="1"/>
  <c r="AG56" i="1" s="1"/>
  <c r="AG59" i="1" s="1"/>
  <c r="O26" i="8" l="1"/>
  <c r="N24" i="8" s="1"/>
  <c r="R13" i="8"/>
  <c r="S11" i="8"/>
  <c r="N13" i="8"/>
  <c r="O11" i="8"/>
  <c r="J13" i="8"/>
  <c r="K11" i="8"/>
  <c r="O25" i="8" l="1"/>
  <c r="O39" i="8" s="1"/>
  <c r="N15" i="8"/>
  <c r="O13" i="8"/>
  <c r="R15" i="8"/>
  <c r="S13" i="8"/>
  <c r="K13" i="8"/>
  <c r="F13" i="8"/>
  <c r="S14" i="8" l="1"/>
  <c r="S17" i="8" s="1"/>
  <c r="S18" i="8" s="1"/>
  <c r="S20" i="8"/>
  <c r="O14" i="8"/>
  <c r="O17" i="8" s="1"/>
  <c r="O18" i="8" s="1"/>
  <c r="O20" i="8"/>
  <c r="F15" i="8"/>
  <c r="G14" i="8" s="1"/>
  <c r="G17" i="8" s="1"/>
  <c r="AF69" i="1" s="1"/>
  <c r="AF68" i="1" s="1"/>
  <c r="AF71" i="1" s="1"/>
  <c r="G13" i="8"/>
  <c r="G18" i="8" l="1"/>
  <c r="J15" i="8"/>
  <c r="G20" i="8"/>
  <c r="AH53" i="1"/>
  <c r="K14" i="8" l="1"/>
  <c r="K17" i="8" s="1"/>
  <c r="K18" i="8" s="1"/>
  <c r="K20" i="8"/>
  <c r="AG53" i="1"/>
  <c r="AG52" i="1" s="1"/>
  <c r="AG55" i="1" s="1"/>
  <c r="AI53" i="1"/>
  <c r="AH69" i="1"/>
  <c r="AG69" i="1" l="1"/>
  <c r="AG68" i="1" s="1"/>
  <c r="AG71" i="1" s="1"/>
  <c r="AI69" i="1"/>
  <c r="AK38" i="1" s="1"/>
  <c r="AK42" i="1" s="1"/>
  <c r="AH54" i="1" l="1"/>
  <c r="AH52" i="1" s="1"/>
  <c r="AH55" i="1" s="1"/>
  <c r="AI54" i="1"/>
  <c r="AI52" i="1" l="1"/>
  <c r="AI55" i="1" s="1"/>
  <c r="O37" i="8" l="1"/>
  <c r="K37" i="8" l="1"/>
  <c r="K38" i="8" s="1"/>
  <c r="S37" i="8"/>
  <c r="O40" i="8"/>
  <c r="O38" i="8"/>
  <c r="AH70" i="1"/>
  <c r="S38" i="8" l="1"/>
  <c r="AI70" i="1"/>
  <c r="AH68" i="1"/>
  <c r="AH71" i="1" s="1"/>
  <c r="AH66" i="1"/>
  <c r="K40" i="8"/>
  <c r="S40" i="8" l="1"/>
  <c r="AI66" i="1"/>
  <c r="AH64" i="1"/>
  <c r="AH67" i="1" s="1"/>
  <c r="AI68" i="1"/>
  <c r="AI71" i="1" s="1"/>
  <c r="AK44" i="1"/>
  <c r="AK48" i="1" s="1"/>
  <c r="AI64" i="1" l="1"/>
  <c r="AI67" i="1" s="1"/>
  <c r="G37" i="8"/>
  <c r="G38" i="8" s="1"/>
  <c r="G40"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Tucker Jones</author>
  </authors>
  <commentList>
    <comment ref="AA52" authorId="0" shapeId="0" xr:uid="{72AADEAF-E836-4AA3-96C3-CEE399198EFE}">
      <text>
        <r>
          <rPr>
            <b/>
            <sz val="9"/>
            <color indexed="81"/>
            <rFont val="Tahoma"/>
            <family val="2"/>
          </rPr>
          <t>Tucker Jones:</t>
        </r>
        <r>
          <rPr>
            <sz val="9"/>
            <color indexed="81"/>
            <rFont val="Tahoma"/>
            <family val="2"/>
          </rPr>
          <t xml:space="preserve">
Based on VSP BSR, all populations within MPG are achieving the minimum low extinction risk (95% persistence probability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I1" authorId="0" shapeId="0" xr:uid="{00000000-0006-0000-0600-000003000000}">
      <text>
        <r>
          <rPr>
            <b/>
            <u/>
            <sz val="9"/>
            <color indexed="81"/>
            <rFont val="Tahoma"/>
            <family val="2"/>
          </rPr>
          <t>Natural Production (eg)</t>
        </r>
        <r>
          <rPr>
            <b/>
            <sz val="9"/>
            <color indexed="81"/>
            <rFont val="Tahoma"/>
            <family val="2"/>
          </rPr>
          <t xml:space="preserve">
(current)
spawning ground survey 
dam count
weir count
EDT model (patient)
expert judgement
(historical)
Reference period estimate
EDT model (template)
Other model
Harvest expansion
???
(goals)
</t>
        </r>
        <r>
          <rPr>
            <b/>
            <u/>
            <sz val="9"/>
            <color indexed="81"/>
            <rFont val="Tahoma"/>
            <family val="2"/>
          </rPr>
          <t>Hatchery</t>
        </r>
        <r>
          <rPr>
            <b/>
            <sz val="9"/>
            <color indexed="81"/>
            <rFont val="Tahoma"/>
            <family val="2"/>
          </rPr>
          <t xml:space="preserve">
release
adult return</t>
        </r>
      </text>
    </comment>
    <comment ref="J1" authorId="0" shapeId="0" xr:uid="{00000000-0006-0000-0600-000004000000}">
      <text>
        <r>
          <rPr>
            <b/>
            <sz val="9"/>
            <color indexed="81"/>
            <rFont val="Tahoma"/>
            <family val="2"/>
          </rPr>
          <t>if applicable</t>
        </r>
      </text>
    </comment>
    <comment ref="L1" authorId="0" shapeId="0" xr:uid="{00000000-0006-0000-0600-000005000000}">
      <text>
        <r>
          <rPr>
            <b/>
            <u/>
            <sz val="9"/>
            <color indexed="81"/>
            <rFont val="Tahoma"/>
            <family val="2"/>
          </rPr>
          <t>Reference (short form)</t>
        </r>
        <r>
          <rPr>
            <b/>
            <sz val="9"/>
            <color indexed="81"/>
            <rFont val="Tahoma"/>
            <family val="2"/>
          </rPr>
          <t xml:space="preserve">
Recovery plan
Subbasin plan
Technical report
Website
Agency unpublished
etc.</t>
        </r>
      </text>
    </comment>
    <comment ref="J58" authorId="0" shapeId="0" xr:uid="{33C78FC1-769A-40A7-95D0-99370D855F8F}">
      <text>
        <r>
          <rPr>
            <b/>
            <sz val="9"/>
            <color indexed="81"/>
            <rFont val="Tahoma"/>
            <family val="2"/>
          </rPr>
          <t>not every year in range may be included</t>
        </r>
      </text>
    </comment>
    <comment ref="J59" authorId="0" shapeId="0" xr:uid="{7422EE13-AAC5-4261-B5AA-396A543D77ED}">
      <text>
        <r>
          <rPr>
            <b/>
            <sz val="9"/>
            <color indexed="81"/>
            <rFont val="Tahoma"/>
            <family val="2"/>
          </rPr>
          <t>not every year in range may be included</t>
        </r>
      </text>
    </comment>
    <comment ref="J60" authorId="0" shapeId="0" xr:uid="{09A2CFAA-580E-4407-A52C-58A6F6AFF6D7}">
      <text>
        <r>
          <rPr>
            <b/>
            <sz val="9"/>
            <color indexed="81"/>
            <rFont val="Tahoma"/>
            <family val="2"/>
          </rPr>
          <t>not every year in range may be included</t>
        </r>
      </text>
    </comment>
    <comment ref="J62" authorId="0" shapeId="0" xr:uid="{A76E7A84-8ABB-4157-A79F-1C7AE886205F}">
      <text>
        <r>
          <rPr>
            <b/>
            <sz val="9"/>
            <color indexed="81"/>
            <rFont val="Tahoma"/>
            <family val="2"/>
          </rPr>
          <t>not every year in range may be included</t>
        </r>
      </text>
    </comment>
    <comment ref="J63" authorId="0" shapeId="0" xr:uid="{8663F320-C351-495C-93A5-545D8EF1304A}">
      <text>
        <r>
          <rPr>
            <b/>
            <sz val="9"/>
            <color indexed="81"/>
            <rFont val="Tahoma"/>
            <family val="2"/>
          </rPr>
          <t>not every year in range may be included</t>
        </r>
      </text>
    </comment>
    <comment ref="J64" authorId="0" shapeId="0" xr:uid="{4DAC8E3E-E1B2-4C59-9435-3D2EDD73BBEE}">
      <text>
        <r>
          <rPr>
            <b/>
            <sz val="9"/>
            <color indexed="81"/>
            <rFont val="Tahoma"/>
            <family val="2"/>
          </rPr>
          <t>not every year in range may be included</t>
        </r>
      </text>
    </comment>
    <comment ref="J65" authorId="0" shapeId="0" xr:uid="{DFEF4BF5-895D-409D-A90C-A2692C38054E}">
      <text>
        <r>
          <rPr>
            <b/>
            <sz val="9"/>
            <color indexed="81"/>
            <rFont val="Tahoma"/>
            <family val="2"/>
          </rPr>
          <t>not every year in range may be included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K4" authorId="0" shapeId="0" xr:uid="{DB5C8556-BC6F-4F79-8411-95B9400B339A}">
      <text>
        <r>
          <rPr>
            <b/>
            <sz val="9"/>
            <color indexed="81"/>
            <rFont val="Tahoma"/>
            <family val="2"/>
          </rPr>
          <t>includes spawning escapement &amp; harvest</t>
        </r>
      </text>
    </comment>
    <comment ref="N4" authorId="0" shapeId="0" xr:uid="{EF3CF223-CAB8-43A2-A771-05617E9476CD}">
      <text>
        <r>
          <rPr>
            <b/>
            <sz val="9"/>
            <color indexed="81"/>
            <rFont val="Tahoma"/>
            <family val="2"/>
          </rPr>
          <t>these from CAS data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Ray Beamesderfer</author>
  </authors>
  <commentList>
    <comment ref="F33" authorId="0" shapeId="0" xr:uid="{00000000-0006-0000-0200-000001000000}">
      <text>
        <r>
          <rPr>
            <b/>
            <sz val="8"/>
            <color indexed="81"/>
            <rFont val="Tahoma"/>
            <family val="2"/>
          </rPr>
          <t>Ray Beamesderfer:</t>
        </r>
        <r>
          <rPr>
            <sz val="8"/>
            <color indexed="81"/>
            <rFont val="Tahoma"/>
            <family val="2"/>
          </rPr>
          <t xml:space="preserve">
more than the sum of the individual values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3" authorId="0" shapeId="0" xr:uid="{E6A497CE-784F-42C6-9535-02131DCAFD91}">
      <text>
        <r>
          <rPr>
            <b/>
            <sz val="9"/>
            <color indexed="81"/>
            <rFont val="Tahoma"/>
            <family val="2"/>
          </rPr>
          <t>this value more representative of stock-scale impact</t>
        </r>
      </text>
    </comment>
    <comment ref="D4" authorId="0" shapeId="0" xr:uid="{6A88607A-DF5D-4B0A-B4D2-1DE2F42AC2F3}">
      <text>
        <r>
          <rPr>
            <b/>
            <sz val="9"/>
            <color indexed="81"/>
            <rFont val="Tahoma"/>
            <family val="2"/>
          </rPr>
          <t>this value is skewed by a few large supplemented populations with high pHOS</t>
        </r>
      </text>
    </comment>
    <comment ref="C8" authorId="0" shapeId="0" xr:uid="{C2BFB378-1A13-4F82-BF24-53F1B0D5BE4B}">
      <text>
        <r>
          <rPr>
            <b/>
            <sz val="9"/>
            <color indexed="81"/>
            <rFont val="Tahoma"/>
            <family val="2"/>
          </rPr>
          <t>may not be complete</t>
        </r>
      </text>
    </comment>
    <comment ref="D21" authorId="0" shapeId="0" xr:uid="{2CB584F5-E5D1-47F9-B24E-D2093D371506}">
      <text>
        <r>
          <rPr>
            <b/>
            <sz val="9"/>
            <color indexed="81"/>
            <rFont val="Tahoma"/>
            <family val="2"/>
          </rPr>
          <t>hatchery fish not passed above hatchery weir?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xxx</author>
    <author>Sullivan,Chris</author>
  </authors>
  <commentList>
    <comment ref="AO2" authorId="0" shapeId="0" xr:uid="{291AD63A-9384-45B2-B255-245235FA285C}">
      <text>
        <r>
          <rPr>
            <b/>
            <sz val="9"/>
            <color indexed="81"/>
            <rFont val="Tahoma"/>
            <family val="2"/>
          </rPr>
          <t>Adult returns of salmon and steelhead to the uppermost Snake River dam
(Ice Harbor 1962-68, Lower Monumental 1969, Little Goose 1970-74, Lower Granite 1975 - present)</t>
        </r>
      </text>
    </comment>
    <comment ref="AQ6" authorId="0" shapeId="0" xr:uid="{00000000-0006-0000-0400-000002000000}">
      <text>
        <r>
          <rPr>
            <sz val="9"/>
            <color indexed="81"/>
            <rFont val="Tahoma"/>
            <family val="2"/>
          </rPr>
          <t xml:space="preserve">sport fishery is mark-selective
</t>
        </r>
      </text>
    </comment>
    <comment ref="EK69" authorId="0" shapeId="0" xr:uid="{5C6B2FA2-C196-4506-B68D-9BFF019F99B1}">
      <text>
        <r>
          <rPr>
            <b/>
            <sz val="9"/>
            <color indexed="81"/>
            <rFont val="Tahoma"/>
            <family val="2"/>
          </rPr>
          <t>these don't match Jay's</t>
        </r>
      </text>
    </comment>
    <comment ref="O77" authorId="1" shapeId="0" xr:uid="{1A60899A-51AE-4DEA-BD5C-44F39C4CA0F1}">
      <text>
        <r>
          <rPr>
            <b/>
            <sz val="9"/>
            <color indexed="81"/>
            <rFont val="Tahoma"/>
            <family val="2"/>
          </rPr>
          <t>Sullivan,Chris:</t>
        </r>
        <r>
          <rPr>
            <sz val="9"/>
            <color indexed="81"/>
            <rFont val="Tahoma"/>
            <family val="2"/>
          </rPr>
          <t xml:space="preserve">
Forecast for 2018</t>
        </r>
      </text>
    </comment>
    <comment ref="P77" authorId="1" shapeId="0" xr:uid="{5D8917A9-ED90-41D2-8CB8-7475D111F7D6}">
      <text>
        <r>
          <rPr>
            <b/>
            <sz val="9"/>
            <color indexed="81"/>
            <rFont val="Tahoma"/>
            <family val="2"/>
          </rPr>
          <t>Sullivan,Chris:</t>
        </r>
        <r>
          <rPr>
            <sz val="9"/>
            <color indexed="81"/>
            <rFont val="Tahoma"/>
            <family val="2"/>
          </rPr>
          <t xml:space="preserve">
Forecast for 2018</t>
        </r>
      </text>
    </comment>
    <comment ref="FA77" authorId="0" shapeId="0" xr:uid="{E31B0458-DE6C-4EFB-A13B-B380446063C0}">
      <text>
        <r>
          <rPr>
            <b/>
            <sz val="9"/>
            <color indexed="81"/>
            <rFont val="Tahoma"/>
            <family val="2"/>
          </rPr>
          <t>this is translation factor from geomean to mean</t>
        </r>
      </text>
    </comment>
    <comment ref="AM80" authorId="0" shapeId="0" xr:uid="{00000000-0006-0000-0400-000003000000}">
      <text>
        <r>
          <rPr>
            <b/>
            <sz val="9"/>
            <color indexed="81"/>
            <rFont val="Tahoma"/>
            <family val="2"/>
          </rPr>
          <t>Paul's presentation used 17,300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E9" authorId="0" shapeId="0" xr:uid="{41247A64-9061-4FE0-8698-1251669F23BD}">
      <text>
        <r>
          <rPr>
            <b/>
            <sz val="9"/>
            <color indexed="81"/>
            <rFont val="Tahoma"/>
            <family val="2"/>
          </rPr>
          <t>solved</t>
        </r>
      </text>
    </comment>
    <comment ref="E13" authorId="0" shapeId="0" xr:uid="{00000000-0006-0000-0500-00000E000000}">
      <text>
        <r>
          <rPr>
            <b/>
            <sz val="9"/>
            <color indexed="81"/>
            <rFont val="Tahoma"/>
            <family val="2"/>
          </rPr>
          <t>Based on pinniped predation. Note that TAC CR mouth redturn and exploitation rates do not include a coversion for this</t>
        </r>
      </text>
    </comment>
    <comment ref="I13" authorId="0" shapeId="0" xr:uid="{D0F64079-6056-44A5-904B-E5530B0DCC3F}">
      <text>
        <r>
          <rPr>
            <b/>
            <sz val="9"/>
            <color indexed="81"/>
            <rFont val="Tahoma"/>
            <family val="2"/>
          </rPr>
          <t>Based on pinniped predation. Note that TAC CR mouth redturn and exploitation rates do not include a coversion for this</t>
        </r>
      </text>
    </comment>
    <comment ref="M13" authorId="0" shapeId="0" xr:uid="{00000000-0006-0000-0500-000010000000}">
      <text>
        <r>
          <rPr>
            <b/>
            <sz val="9"/>
            <color indexed="81"/>
            <rFont val="Tahoma"/>
            <family val="2"/>
          </rPr>
          <t>Based on pinniped predation. Note that TAC CR mouth redturn and exploitation rates do not include a coversion for this</t>
        </r>
      </text>
    </comment>
    <comment ref="Q13" authorId="0" shapeId="0" xr:uid="{00000000-0006-0000-0500-000011000000}">
      <text>
        <r>
          <rPr>
            <b/>
            <sz val="9"/>
            <color indexed="81"/>
            <rFont val="Tahoma"/>
            <family val="2"/>
          </rPr>
          <t>Based on pinniped predation. Note that TAC CR mouth redturn and exploitation rates do not include a coversion for this</t>
        </r>
      </text>
    </comment>
  </commentList>
</comments>
</file>

<file path=xl/sharedStrings.xml><?xml version="1.0" encoding="utf-8"?>
<sst xmlns="http://schemas.openxmlformats.org/spreadsheetml/2006/main" count="3892" uniqueCount="476">
  <si>
    <t>ESA: Threatened</t>
  </si>
  <si>
    <t>Snake River Spring/Summer Chinook</t>
  </si>
  <si>
    <t>Natural Production</t>
  </si>
  <si>
    <t>Potential Goal Range</t>
  </si>
  <si>
    <t>MPG</t>
  </si>
  <si>
    <t>Population</t>
  </si>
  <si>
    <t>Recent</t>
  </si>
  <si>
    <t>Low</t>
  </si>
  <si>
    <t>Med</t>
  </si>
  <si>
    <t>High</t>
  </si>
  <si>
    <t>@ Columbia R Mouth</t>
  </si>
  <si>
    <t>Artificial Production</t>
  </si>
  <si>
    <t>Location (Program)</t>
  </si>
  <si>
    <t>Brood</t>
  </si>
  <si>
    <t>Return</t>
  </si>
  <si>
    <t>Goal</t>
  </si>
  <si>
    <t>Subtotal</t>
  </si>
  <si>
    <t>Fisheries / Harvest</t>
  </si>
  <si>
    <t>Current</t>
  </si>
  <si>
    <t>Location</t>
  </si>
  <si>
    <t>Total</t>
  </si>
  <si>
    <t>Hatchery</t>
  </si>
  <si>
    <t>L. Snake</t>
  </si>
  <si>
    <t>Tucannon</t>
  </si>
  <si>
    <t>Yankee Fork Salmon River</t>
  </si>
  <si>
    <t>Upper Salmon</t>
  </si>
  <si>
    <t>Middle Fork Salmon</t>
  </si>
  <si>
    <t>South Fork Salmon</t>
  </si>
  <si>
    <t>Grande Ronde / Imnaha</t>
  </si>
  <si>
    <t>Dry Clearwater</t>
  </si>
  <si>
    <t>Wet Clearwater</t>
  </si>
  <si>
    <t>Wenaha</t>
  </si>
  <si>
    <t>Minam</t>
  </si>
  <si>
    <t>Catherine</t>
  </si>
  <si>
    <t>Lostine/Wallowa</t>
  </si>
  <si>
    <t>U Grande Ronde</t>
  </si>
  <si>
    <t>Imnaha</t>
  </si>
  <si>
    <t>Little Salmon</t>
  </si>
  <si>
    <t>Secesh</t>
  </si>
  <si>
    <t>East Fork South Fork</t>
  </si>
  <si>
    <t>Chamberlain</t>
  </si>
  <si>
    <t>Big</t>
  </si>
  <si>
    <t>Lower Middle Fork</t>
  </si>
  <si>
    <t>Camas</t>
  </si>
  <si>
    <t>Loon</t>
  </si>
  <si>
    <t>Upper Middle Fork Salmon</t>
  </si>
  <si>
    <t>Sulphur</t>
  </si>
  <si>
    <t>Bear Valley</t>
  </si>
  <si>
    <t>Marsh</t>
  </si>
  <si>
    <t>North Fork Salmon</t>
  </si>
  <si>
    <t>Lemhi</t>
  </si>
  <si>
    <t>Pahsimeroi</t>
  </si>
  <si>
    <t>East Fork Salmon</t>
  </si>
  <si>
    <t>Valley</t>
  </si>
  <si>
    <t>Upper Mainstem Salmon</t>
  </si>
  <si>
    <t>Asotin (ext)</t>
  </si>
  <si>
    <t>Potlatch (ext)</t>
  </si>
  <si>
    <t>Lapwai/Big Canyon (ext)</t>
  </si>
  <si>
    <t>Lawyer (ext)</t>
  </si>
  <si>
    <t>Upper South Fork (ext)</t>
  </si>
  <si>
    <t>Lolo (ext)</t>
  </si>
  <si>
    <t>Lochsa (ext)</t>
  </si>
  <si>
    <t>Meadow (ext)</t>
  </si>
  <si>
    <t>Moose (ext)</t>
  </si>
  <si>
    <t>Upper Selway (ext)</t>
  </si>
  <si>
    <t>Lookingglass (ext)</t>
  </si>
  <si>
    <t>Big Sheep (ext)</t>
  </si>
  <si>
    <t>Panther (ext)</t>
  </si>
  <si>
    <t>Upper Snake</t>
  </si>
  <si>
    <t>Lower Mainstem Salmon</t>
  </si>
  <si>
    <t>N Fk Lower mainstem (ext)</t>
  </si>
  <si>
    <t>N Fk Upper mainstem (ext)</t>
  </si>
  <si>
    <t>Smolts</t>
  </si>
  <si>
    <t>Other</t>
  </si>
  <si>
    <t>Type</t>
  </si>
  <si>
    <t>Johnson Cr</t>
  </si>
  <si>
    <t>S Fk Salmon</t>
  </si>
  <si>
    <t>Curtis/Cabin Cr.</t>
  </si>
  <si>
    <t>Walla Walla</t>
  </si>
  <si>
    <t>Asotin Cr</t>
  </si>
  <si>
    <t>Catherine Cr</t>
  </si>
  <si>
    <t xml:space="preserve">Lostine </t>
  </si>
  <si>
    <t>lookingglass Cr</t>
  </si>
  <si>
    <t>Rapid</t>
  </si>
  <si>
    <t>Hells Cyn Snake R</t>
  </si>
  <si>
    <t>Salmon R</t>
  </si>
  <si>
    <t>Meadow (Selway)</t>
  </si>
  <si>
    <t>Newsome Cr</t>
  </si>
  <si>
    <t>Clearwater R</t>
  </si>
  <si>
    <t>U Selway R</t>
  </si>
  <si>
    <t>NF Clearwater R</t>
  </si>
  <si>
    <t>Clear Cr</t>
  </si>
  <si>
    <t>Other locations</t>
  </si>
  <si>
    <t>Red River</t>
  </si>
  <si>
    <t>Summer</t>
  </si>
  <si>
    <t>Panther Cr</t>
  </si>
  <si>
    <t>Spring</t>
  </si>
  <si>
    <t>Pahsimeroi Hatchery</t>
  </si>
  <si>
    <t>McCall Hatchery</t>
  </si>
  <si>
    <t>TBD</t>
  </si>
  <si>
    <t>Carson NFH</t>
  </si>
  <si>
    <t>Tucannon/Lyons Ferry</t>
  </si>
  <si>
    <t>Lookingglass Hatchery</t>
  </si>
  <si>
    <t>Rapid River Hatchery</t>
  </si>
  <si>
    <t>Sawtooth Hatchery</t>
  </si>
  <si>
    <t>Crystal Spr/Sawtooth</t>
  </si>
  <si>
    <t>Release</t>
  </si>
  <si>
    <t>Lolo Cr</t>
  </si>
  <si>
    <t>NPTH / Dworshak NFH</t>
  </si>
  <si>
    <t>Dworshak NFH</t>
  </si>
  <si>
    <t>Kooskia Hatchery</t>
  </si>
  <si>
    <t>Clearwater Hatchery</t>
  </si>
  <si>
    <t>1950s</t>
  </si>
  <si>
    <t>Harvest from mouth to BON</t>
  </si>
  <si>
    <t>Natl loss from LGr to terminal area</t>
  </si>
  <si>
    <t>Harvest from LGR to terminal area</t>
  </si>
  <si>
    <t>Natl loss from mouth to BON</t>
  </si>
  <si>
    <t>mort</t>
  </si>
  <si>
    <t>diff</t>
  </si>
  <si>
    <t>Year</t>
  </si>
  <si>
    <t>Non-Treaty</t>
  </si>
  <si>
    <t>Treaty</t>
  </si>
  <si>
    <t>Wild</t>
  </si>
  <si>
    <t>No.</t>
  </si>
  <si>
    <t>% of Run</t>
  </si>
  <si>
    <t>Return to</t>
  </si>
  <si>
    <t>Columbia River</t>
  </si>
  <si>
    <t>Wild Catch</t>
  </si>
  <si>
    <t>Exploitation rate</t>
  </si>
  <si>
    <t>NT comm</t>
  </si>
  <si>
    <t>NT spt</t>
  </si>
  <si>
    <t>total</t>
  </si>
  <si>
    <t>Ocean</t>
  </si>
  <si>
    <t>5.5-17%</t>
  </si>
  <si>
    <t>Mainstem Treaty</t>
  </si>
  <si>
    <t>Hatch</t>
  </si>
  <si>
    <t>Hatch &amp; wild combined)</t>
  </si>
  <si>
    <t>Harvest</t>
  </si>
  <si>
    <t>These are approximate</t>
  </si>
  <si>
    <t>Harvest (hatchery)</t>
  </si>
  <si>
    <t>NT</t>
  </si>
  <si>
    <t>Tr</t>
  </si>
  <si>
    <t>Exploitation rate - hatchery only)</t>
  </si>
  <si>
    <t>conversion</t>
  </si>
  <si>
    <t>CR-LGR</t>
  </si>
  <si>
    <t>Historical</t>
  </si>
  <si>
    <t>% hatchery</t>
  </si>
  <si>
    <t>@ goals</t>
  </si>
  <si>
    <t>Future</t>
  </si>
  <si>
    <t>production</t>
  </si>
  <si>
    <t>Current Production</t>
  </si>
  <si>
    <t>Avg.</t>
  </si>
  <si>
    <t>10 yr avg</t>
  </si>
  <si>
    <t>--</t>
  </si>
  <si>
    <t>Natl escape</t>
  </si>
  <si>
    <t>Low goal</t>
  </si>
  <si>
    <t>Med goal</t>
  </si>
  <si>
    <t>High goal</t>
  </si>
  <si>
    <t>Exploitation rates</t>
  </si>
  <si>
    <t>Nez Perce Tribal Hat.</t>
  </si>
  <si>
    <t>v Col R.</t>
  </si>
  <si>
    <t>v L Gr</t>
  </si>
  <si>
    <t>Yankee Fk Salmon</t>
  </si>
  <si>
    <t>Mainstem Non-trty</t>
  </si>
  <si>
    <t>Mainstem Trty</t>
  </si>
  <si>
    <t>Salmon</t>
  </si>
  <si>
    <t>Grande Ronde</t>
  </si>
  <si>
    <t>Clearwater</t>
  </si>
  <si>
    <t>Lower Granite Dam</t>
  </si>
  <si>
    <t>Snake R</t>
  </si>
  <si>
    <t>Snake R Sport</t>
  </si>
  <si>
    <t>Snake R Tribes</t>
  </si>
  <si>
    <t>Treaty mainstem</t>
  </si>
  <si>
    <t>Snake sport</t>
  </si>
  <si>
    <t>Snake tribal</t>
  </si>
  <si>
    <t>5.5-19%</t>
  </si>
  <si>
    <t>Limits</t>
  </si>
  <si>
    <t>#</t>
  </si>
  <si>
    <t>Total harvest</t>
  </si>
  <si>
    <t>ER v mouth</t>
  </si>
  <si>
    <t>Conversion loss</t>
  </si>
  <si>
    <t>%</t>
  </si>
  <si>
    <t>current</t>
  </si>
  <si>
    <t>Medium</t>
  </si>
  <si>
    <t>wild</t>
  </si>
  <si>
    <t>ER goal</t>
  </si>
  <si>
    <t>hatchery</t>
  </si>
  <si>
    <t>These are aspirational harvest rates identified to provide progressively reasonable opportunity</t>
  </si>
  <si>
    <t>Subjective assumptions for how much hatchery harvest rates might increase relative to wild rates</t>
  </si>
  <si>
    <t>harv rates adjusted to maintain similar hatchery escapement</t>
  </si>
  <si>
    <t>Stock</t>
  </si>
  <si>
    <t>Record type</t>
  </si>
  <si>
    <t>Subject</t>
  </si>
  <si>
    <t>Variable</t>
  </si>
  <si>
    <t>Value</t>
  </si>
  <si>
    <t>Metric</t>
  </si>
  <si>
    <t>Method</t>
  </si>
  <si>
    <t>Years</t>
  </si>
  <si>
    <t>Reference</t>
  </si>
  <si>
    <t>Reference Link</t>
  </si>
  <si>
    <t>Notes</t>
  </si>
  <si>
    <t>na</t>
  </si>
  <si>
    <t>same</t>
  </si>
  <si>
    <t>0-4%</t>
  </si>
  <si>
    <t>Non-trty mainstem</t>
  </si>
  <si>
    <t>Escapements</t>
  </si>
  <si>
    <t>ER</t>
  </si>
  <si>
    <t>LGR + Tucannon esc</t>
  </si>
  <si>
    <t>Shoshone Bannock Tribes Harvest Totals 1981 - Present</t>
  </si>
  <si>
    <t>net</t>
  </si>
  <si>
    <t>less harv</t>
  </si>
  <si>
    <t>sport harv &gt; Lgr (hatchery only)</t>
  </si>
  <si>
    <t>Tribal</t>
  </si>
  <si>
    <t>guess at</t>
  </si>
  <si>
    <r>
      <t>Wild Catch</t>
    </r>
    <r>
      <rPr>
        <vertAlign val="superscript"/>
        <sz val="11"/>
        <color rgb="FF000000"/>
        <rFont val="Calibri"/>
        <family val="2"/>
        <scheme val="minor"/>
      </rPr>
      <t>1</t>
    </r>
    <r>
      <rPr>
        <sz val="11"/>
        <color rgb="FF000000"/>
        <rFont val="Calibri"/>
        <family val="2"/>
        <scheme val="minor"/>
      </rPr>
      <t xml:space="preserve"> </t>
    </r>
  </si>
  <si>
    <r>
      <t>Wild Catch</t>
    </r>
    <r>
      <rPr>
        <vertAlign val="superscript"/>
        <sz val="11"/>
        <color rgb="FF000000"/>
        <rFont val="Calibri"/>
        <family val="2"/>
        <scheme val="minor"/>
      </rPr>
      <t>2</t>
    </r>
    <r>
      <rPr>
        <sz val="11"/>
        <color rgb="FF000000"/>
        <rFont val="Calibri"/>
        <family val="2"/>
        <scheme val="minor"/>
      </rPr>
      <t xml:space="preserve"> </t>
    </r>
  </si>
  <si>
    <r>
      <t>Passage Loss</t>
    </r>
    <r>
      <rPr>
        <vertAlign val="superscript"/>
        <sz val="11"/>
        <color rgb="FF000000"/>
        <rFont val="Calibri"/>
        <family val="2"/>
        <scheme val="minor"/>
      </rPr>
      <t>3</t>
    </r>
    <r>
      <rPr>
        <sz val="11"/>
        <color rgb="FF000000"/>
        <rFont val="Calibri"/>
        <family val="2"/>
        <scheme val="minor"/>
      </rPr>
      <t xml:space="preserve"> </t>
    </r>
  </si>
  <si>
    <r>
      <t>Escapement</t>
    </r>
    <r>
      <rPr>
        <vertAlign val="superscript"/>
        <sz val="11"/>
        <color theme="1"/>
        <rFont val="Calibri"/>
        <family val="2"/>
        <scheme val="minor"/>
      </rPr>
      <t>4</t>
    </r>
    <r>
      <rPr>
        <sz val="11"/>
        <color theme="1"/>
        <rFont val="Calibri"/>
        <family val="2"/>
        <scheme val="minor"/>
      </rPr>
      <t xml:space="preserve"> </t>
    </r>
  </si>
  <si>
    <t>harv</t>
  </si>
  <si>
    <t>ER v LGr</t>
  </si>
  <si>
    <t>Catherine crk</t>
  </si>
  <si>
    <t>Wallowa-Lostine</t>
  </si>
  <si>
    <t>Harv</t>
  </si>
  <si>
    <t>v LGR</t>
  </si>
  <si>
    <t>v Col R</t>
  </si>
  <si>
    <t>&gt;LGR</t>
  </si>
  <si>
    <t>ER sport</t>
  </si>
  <si>
    <t>Natural</t>
  </si>
  <si>
    <t>Cumulative</t>
  </si>
  <si>
    <t>Natl orig</t>
  </si>
  <si>
    <t>pHOS</t>
  </si>
  <si>
    <t>min</t>
  </si>
  <si>
    <t>max</t>
  </si>
  <si>
    <t>Life History: Stream-type rearing</t>
  </si>
  <si>
    <t>Hatchery Production</t>
  </si>
  <si>
    <t>Potential</t>
  </si>
  <si>
    <t>Anticipated</t>
  </si>
  <si>
    <t>Quantitative Goal Rules</t>
  </si>
  <si>
    <t>Snake River Spring-Summer Chinook</t>
  </si>
  <si>
    <t>Historical (1950s)</t>
  </si>
  <si>
    <t>spawning ground survey</t>
  </si>
  <si>
    <t>Historically extirpated population</t>
  </si>
  <si>
    <t>http://www.nptfisheries.org/portals/0/images/dfrm/home/fisheries-management-plan-final-sm.pdf</t>
  </si>
  <si>
    <t>no value identified in NPT management plan for tis populations</t>
  </si>
  <si>
    <t>no value identified in NPT management plan for this populations</t>
  </si>
  <si>
    <t xml:space="preserve"> </t>
  </si>
  <si>
    <t>NPT (Nez Perce Tribe). 2013. Fisheries resources management plan 2013-2028. Department of Fisheries.  Lapwai, Idaho.</t>
  </si>
  <si>
    <t>NPT ecological escapement objective used as population-specific historical values were not otherwise available, NPT values assumed to be less than or equal historical potential</t>
  </si>
  <si>
    <t>Expert judgement</t>
  </si>
  <si>
    <t>not applicable</t>
  </si>
  <si>
    <t>Minimum abundance threshold</t>
  </si>
  <si>
    <t xml:space="preserve">NMFS (National Marine Fisheries Service). 2017. ESA Recovery Plan for Snake River Spring/Summer Chinook (Oncorhynchus tshawytscha) and Snake River Steelhead (Oncorhynchus mykiss). </t>
  </si>
  <si>
    <t>http://www.westcoast.fisheries.noaa.gov/protected_species/salmon_steelhead/recovery_planning_and_implementation/snake_river/snake_river_sp-su_chinook_steelhead.html</t>
  </si>
  <si>
    <t>P Kline, IDFG, unpublished</t>
  </si>
  <si>
    <t>Dry Clearwater MPG, extirpated population being reintroduced</t>
  </si>
  <si>
    <t>Wet Clearwater MPG, extirpated population being reintroduced</t>
  </si>
  <si>
    <t>Mid-way between low- and high-range goals</t>
  </si>
  <si>
    <t>High range - 2</t>
  </si>
  <si>
    <t>Medium range - 2</t>
  </si>
  <si>
    <t>4x MAT based on aggregate of historical redd counts</t>
  </si>
  <si>
    <t>Low range - 2</t>
  </si>
  <si>
    <t>http://odfwrecoverytracker.org</t>
  </si>
  <si>
    <t>ODFW</t>
  </si>
  <si>
    <t>2008-2017</t>
  </si>
  <si>
    <t>1950-1959</t>
  </si>
  <si>
    <t>EDT</t>
  </si>
  <si>
    <t>Patient</t>
  </si>
  <si>
    <t>Template</t>
  </si>
  <si>
    <t>NPT</t>
  </si>
  <si>
    <t>ecological</t>
  </si>
  <si>
    <t>10-yr</t>
  </si>
  <si>
    <t>ad &amp; jks</t>
  </si>
  <si>
    <t>ad only</t>
  </si>
  <si>
    <t/>
  </si>
  <si>
    <t>reference: ODFW recovery tracker data download, PSMFC CAS</t>
  </si>
  <si>
    <t>from subbasin plan</t>
  </si>
  <si>
    <t>redds</t>
  </si>
  <si>
    <t>fish/</t>
  </si>
  <si>
    <t>redd</t>
  </si>
  <si>
    <t>spawners</t>
  </si>
  <si>
    <t>broodstock</t>
  </si>
  <si>
    <t>prespn</t>
  </si>
  <si>
    <t>run</t>
  </si>
  <si>
    <t>% nat</t>
  </si>
  <si>
    <t>from CAS</t>
  </si>
  <si>
    <t>https://www.streamnet.org/ca-priority-data/</t>
  </si>
  <si>
    <t>includes adults &amp; jacks</t>
  </si>
  <si>
    <t>Asotin</t>
  </si>
  <si>
    <t>Kline</t>
  </si>
  <si>
    <t>2008-17</t>
  </si>
  <si>
    <t>geomean</t>
  </si>
  <si>
    <t>1950's avg</t>
  </si>
  <si>
    <t>1950's geomn</t>
  </si>
  <si>
    <t>1957-59</t>
  </si>
  <si>
    <t>avg</t>
  </si>
  <si>
    <t>WDFW data</t>
  </si>
  <si>
    <t>2008-2016</t>
  </si>
  <si>
    <t>IDFG data</t>
  </si>
  <si>
    <t>ODFW data</t>
  </si>
  <si>
    <t>Units</t>
  </si>
  <si>
    <t>1957-1959</t>
  </si>
  <si>
    <t>orig Kline numbers were avgs and may have included jacks</t>
  </si>
  <si>
    <t>≤70%</t>
  </si>
  <si>
    <t># (avg)</t>
  </si>
  <si>
    <t>sustainable escapement objective</t>
  </si>
  <si>
    <t>access blocked by Dworshak Dam</t>
  </si>
  <si>
    <t>LGR count</t>
  </si>
  <si>
    <t>H+W</t>
  </si>
  <si>
    <t>upstream</t>
  </si>
  <si>
    <t>harvest</t>
  </si>
  <si>
    <t>subbasin plan</t>
  </si>
  <si>
    <t>natural origin spawners adults</t>
  </si>
  <si>
    <t>NPT ecological goal</t>
  </si>
  <si>
    <t>NPT ecological</t>
  </si>
  <si>
    <t>goal</t>
  </si>
  <si>
    <t>Wild
Sp/Su
Chinook Adults</t>
  </si>
  <si>
    <t>Hatchery
Sp/Su
Chinook Adults</t>
  </si>
  <si>
    <t>Total
Sp/Su
Chinook Adults</t>
  </si>
  <si>
    <t>P Kline IDFG</t>
  </si>
  <si>
    <t>hat</t>
  </si>
  <si>
    <t>LGR</t>
  </si>
  <si>
    <t>Snake R Dam Count</t>
  </si>
  <si>
    <t>LSRCP</t>
  </si>
  <si>
    <t>average</t>
  </si>
  <si>
    <t>Population-specific estimates not available</t>
  </si>
  <si>
    <t>Abundance (mean)</t>
  </si>
  <si>
    <t>(2008-2017)</t>
  </si>
  <si>
    <t>@ LGR</t>
  </si>
  <si>
    <t>@BON</t>
  </si>
  <si>
    <t>CR run</t>
  </si>
  <si>
    <t>20-60%</t>
  </si>
  <si>
    <t>releases</t>
  </si>
  <si>
    <t>SAR</t>
  </si>
  <si>
    <t>million</t>
  </si>
  <si>
    <t>Harvest (Columbia basin)</t>
  </si>
  <si>
    <t>Subyearlings</t>
  </si>
  <si>
    <t>Asotin*</t>
  </si>
  <si>
    <t>Potlatch*</t>
  </si>
  <si>
    <t>Lapwai/Big Canyon*</t>
  </si>
  <si>
    <t>Lawyer*</t>
  </si>
  <si>
    <t>Upper South Fork*</t>
  </si>
  <si>
    <t>N Fk Lower mainstem*</t>
  </si>
  <si>
    <t>N Fk Upper mainstem*</t>
  </si>
  <si>
    <t>Lolo*</t>
  </si>
  <si>
    <t>Lochsa*</t>
  </si>
  <si>
    <t>Meadow*</t>
  </si>
  <si>
    <t>Moose*</t>
  </si>
  <si>
    <t>Upper Selway*</t>
  </si>
  <si>
    <t>Lookingglass*</t>
  </si>
  <si>
    <t>Big Sheep*</t>
  </si>
  <si>
    <t>Panther*</t>
  </si>
  <si>
    <t>* Functionally extirpated (some of which are being reintroduced).</t>
  </si>
  <si>
    <t>Grande Ronde subbasin plan</t>
  </si>
  <si>
    <t>natl spnr</t>
  </si>
  <si>
    <t>total spnr</t>
  </si>
  <si>
    <t>Burnt River</t>
  </si>
  <si>
    <t>Eagle Creek</t>
  </si>
  <si>
    <t>Pine Creek</t>
  </si>
  <si>
    <t>Powder River</t>
  </si>
  <si>
    <t>Wildhorse Creek</t>
  </si>
  <si>
    <t>Malheur</t>
  </si>
  <si>
    <t>North Fork Malheur</t>
  </si>
  <si>
    <t>Upper Malheur</t>
  </si>
  <si>
    <t>North Fork Payette</t>
  </si>
  <si>
    <t>South Fork Payette</t>
  </si>
  <si>
    <t>Owyhee</t>
  </si>
  <si>
    <t>Little Owyhee</t>
  </si>
  <si>
    <t>Lower Owyhee</t>
  </si>
  <si>
    <t>South Fork Owyhee</t>
  </si>
  <si>
    <t>Upper Owyhee</t>
  </si>
  <si>
    <t>Lower Bruneau</t>
  </si>
  <si>
    <t>Upper Bruneau</t>
  </si>
  <si>
    <t>Crane Creek/Lower Weiser</t>
  </si>
  <si>
    <t>Little Weiser</t>
  </si>
  <si>
    <t>Upper Weiser</t>
  </si>
  <si>
    <t>Payette/ Boise</t>
  </si>
  <si>
    <t>Big/Little Willow Creeks</t>
  </si>
  <si>
    <t>Squaw Creek</t>
  </si>
  <si>
    <t>Boise River</t>
  </si>
  <si>
    <t>Willow Creek/Lower Malheur</t>
  </si>
  <si>
    <t>Canyon Creek</t>
  </si>
  <si>
    <t>Salmon Falls</t>
  </si>
  <si>
    <t>Rock Creek (Upper Salmon)</t>
  </si>
  <si>
    <t>Middle Snake (Pine to Weiser)</t>
  </si>
  <si>
    <t>USRT near-term</t>
  </si>
  <si>
    <t>harvest goal**</t>
  </si>
  <si>
    <t>** Upper Snake River Tribes near-term harvest goal identified for outplanting of unlisted hatchery-origin adults.</t>
  </si>
  <si>
    <t>Total Return (averages)</t>
  </si>
  <si>
    <t>500-2,000**</t>
  </si>
  <si>
    <t>2000**</t>
  </si>
  <si>
    <t>2,000-3,000**</t>
  </si>
  <si>
    <t>500-1,000**</t>
  </si>
  <si>
    <t>3,000-4,000**</t>
  </si>
  <si>
    <t>1,000**</t>
  </si>
  <si>
    <t>500**</t>
  </si>
  <si>
    <t>9.500-13,500**</t>
  </si>
  <si>
    <t>Downstream from Hells Canyon Dam</t>
  </si>
  <si>
    <t>Upstream from Hells Canyon Dam</t>
  </si>
  <si>
    <t>Tributary return</t>
  </si>
  <si>
    <t>Hat</t>
  </si>
  <si>
    <t>Natl</t>
  </si>
  <si>
    <t xml:space="preserve">Natl loss </t>
  </si>
  <si>
    <t>rates</t>
  </si>
  <si>
    <t>escapement</t>
  </si>
  <si>
    <t>Harvest from BON to LGR</t>
  </si>
  <si>
    <t>Natl loss from BON to LGR</t>
  </si>
  <si>
    <t>***Until delisting occurs, these numbers represent outplanting of unlisted hatchery-origin adults. Upon delisting, the medium and high range goals</t>
  </si>
  <si>
    <t xml:space="preserve">       represent natural production goals.</t>
  </si>
  <si>
    <r>
      <t>Potential Goal Range</t>
    </r>
    <r>
      <rPr>
        <b/>
        <sz val="11"/>
        <rFont val="Calibri"/>
        <family val="2"/>
        <scheme val="minor"/>
      </rPr>
      <t>***</t>
    </r>
  </si>
  <si>
    <t>@ Bonneville Dam</t>
  </si>
  <si>
    <t>2010-2019 from J Hesse</t>
  </si>
  <si>
    <t>prelim calc</t>
  </si>
  <si>
    <t>updated (from J Hesse data)</t>
  </si>
  <si>
    <t>X</t>
  </si>
  <si>
    <t>?</t>
  </si>
  <si>
    <t>rel?</t>
  </si>
  <si>
    <t>2010-2019</t>
  </si>
  <si>
    <t>ESU_DPS</t>
  </si>
  <si>
    <t>Salmon, Chinook (Snake River spring/summer-run ESU)</t>
  </si>
  <si>
    <t>BESTVALUE</t>
  </si>
  <si>
    <t>Yes</t>
  </si>
  <si>
    <t>TRTMETHOD</t>
  </si>
  <si>
    <t>Max of PHOSIJ</t>
  </si>
  <si>
    <t>SPAWNINGYEAR</t>
  </si>
  <si>
    <t>POPULATIONNAME</t>
  </si>
  <si>
    <t>Grand Total</t>
  </si>
  <si>
    <t>Bear Valley Creek - spring Chinook salmon</t>
  </si>
  <si>
    <t>Big Creek - spring/summer Chinook salmon</t>
  </si>
  <si>
    <t>Big Sheep Creek - spring Chinook salmon</t>
  </si>
  <si>
    <t>Camas Creek - spring/summer Chinook salmon</t>
  </si>
  <si>
    <t>Catherine Creek - spring Chinook salmon</t>
  </si>
  <si>
    <t>Chamberlain Creek - spring Chinook salmon</t>
  </si>
  <si>
    <t>East Fork Salmon River - spring/summer Chinook salmon</t>
  </si>
  <si>
    <t>East Fork South Fork Salmon River - summer Chinook salmon</t>
  </si>
  <si>
    <t>Grande Ronde River Upper Mainstem - spring Chinook salmon</t>
  </si>
  <si>
    <t>Imnaha River Mainstem - spring/summer Chinook salmon</t>
  </si>
  <si>
    <t>Lemhi River - spring Chinook salmon</t>
  </si>
  <si>
    <t>Little Salmon River - spring/summer Chinook salmon</t>
  </si>
  <si>
    <t>Lookingglass Creek - Chinook salmon</t>
  </si>
  <si>
    <t>Loon Creek - spring/summer Chinook salmon</t>
  </si>
  <si>
    <t>Marsh Creek - spring Chinook salmon</t>
  </si>
  <si>
    <t>Middle Fork Salmon River Lower Mainstem - spring/summer Chinook salmon</t>
  </si>
  <si>
    <t>Middle Fork Salmon River Upper Mainstem - spring Chinook salmon</t>
  </si>
  <si>
    <t>Minam River - spring Chinook salmon</t>
  </si>
  <si>
    <t>North Fork Salmon River - spring Chinook salmon</t>
  </si>
  <si>
    <t>Pahsimeroi River - summer Chinook salmon</t>
  </si>
  <si>
    <t>Panther Creek - Chinook salmon</t>
  </si>
  <si>
    <t>Salmon River Lower Mainstem - spring/summer Chinook salmon</t>
  </si>
  <si>
    <t>Salmon River Upper Mainstem - spring Chinook salmon</t>
  </si>
  <si>
    <t>Secesh River - summer Chinook salmon</t>
  </si>
  <si>
    <t>South Fork Salmon River - summer Chinook salmon</t>
  </si>
  <si>
    <t>Sulphur Creek - spring Chinook salmon</t>
  </si>
  <si>
    <t>Tucannon River - spring Chinook salmon</t>
  </si>
  <si>
    <t>Valley Creek - spring/summer Chinook salmon</t>
  </si>
  <si>
    <t>Wallowa/Lostine Rivers - spring Chinook salmon</t>
  </si>
  <si>
    <t>Wenaha River - spring Chinook salmon</t>
  </si>
  <si>
    <t>Yankee Fork - spring Chinook salmon</t>
  </si>
  <si>
    <t>from Jay</t>
  </si>
  <si>
    <t>pHOS IJ</t>
  </si>
  <si>
    <t>Max of NOSAIJ</t>
  </si>
  <si>
    <t>NOS IJ</t>
  </si>
  <si>
    <t>Total spnrs</t>
  </si>
  <si>
    <t>avg of populations</t>
  </si>
  <si>
    <t>total all populations</t>
  </si>
  <si>
    <t>avg weighted by pop size</t>
  </si>
  <si>
    <t>2019 averages</t>
  </si>
  <si>
    <t>median</t>
  </si>
  <si>
    <t>&lt;.1</t>
  </si>
  <si>
    <t>&lt;.2</t>
  </si>
  <si>
    <t>&lt;.3</t>
  </si>
  <si>
    <t>&lt;.4</t>
  </si>
  <si>
    <t>&lt;.5</t>
  </si>
  <si>
    <t>&lt;.6</t>
  </si>
  <si>
    <t>&lt;.7</t>
  </si>
  <si>
    <t>&lt;.8</t>
  </si>
  <si>
    <t>&lt;.9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</si>
</sst>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
    <numFmt numFmtId="166" formatCode="#,##0.0"/>
    <numFmt numFmtId="167" formatCode="_(* #,##0_);_(* \(#,##0\);_(* &quot;-&quot;??_);_(@_)"/>
    <numFmt numFmtId="168" formatCode="0.0"/>
  </numFmts>
  <fonts count="37"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11"/>
      <name val="Calibri"/>
      <family val="2"/>
      <scheme val="minor"/>
    </font>
    <font>
      <b/>
      <i/>
      <sz val="11"/>
      <color theme="1"/>
      <name val="Calibri"/>
      <family val="2"/>
      <scheme val="minor"/>
    </font>
    <font>
      <b/>
      <sz val="8"/>
      <color indexed="81"/>
      <name val="Tahoma"/>
      <family val="2"/>
    </font>
    <font>
      <sz val="8"/>
      <color indexed="81"/>
      <name val="Tahoma"/>
      <family val="2"/>
    </font>
    <font>
      <sz val="11"/>
      <color theme="1"/>
      <name val="Calibri"/>
      <family val="2"/>
    </font>
    <font>
      <sz val="10"/>
      <name val="Arial"/>
      <family val="2"/>
    </font>
    <font>
      <b/>
      <sz val="10"/>
      <color theme="1"/>
      <name val="Calibri"/>
      <family val="2"/>
      <scheme val="minor"/>
    </font>
    <font>
      <b/>
      <sz val="11"/>
      <name val="Calibri"/>
      <family val="2"/>
      <scheme val="minor"/>
    </font>
    <font>
      <b/>
      <u/>
      <sz val="11"/>
      <name val="Calibri"/>
      <family val="2"/>
      <scheme val="minor"/>
    </font>
    <font>
      <b/>
      <i/>
      <sz val="11"/>
      <color rgb="FFFF0000"/>
      <name val="Calibri"/>
      <family val="2"/>
      <scheme val="minor"/>
    </font>
    <font>
      <sz val="11"/>
      <color theme="1"/>
      <name val="Calibri"/>
      <family val="2"/>
      <scheme val="minor"/>
    </font>
    <font>
      <b/>
      <sz val="9"/>
      <color indexed="81"/>
      <name val="Tahoma"/>
      <family val="2"/>
    </font>
    <font>
      <sz val="11"/>
      <color rgb="FF000000"/>
      <name val="Times New Roman"/>
      <family val="1"/>
    </font>
    <font>
      <sz val="12"/>
      <color theme="1"/>
      <name val="Calibri"/>
      <family val="2"/>
      <scheme val="minor"/>
    </font>
    <font>
      <b/>
      <sz val="12"/>
      <color theme="1"/>
      <name val="Calibri"/>
      <family val="2"/>
      <scheme val="minor"/>
    </font>
    <font>
      <i/>
      <sz val="11"/>
      <color theme="1"/>
      <name val="Calibri"/>
      <family val="2"/>
      <scheme val="minor"/>
    </font>
    <font>
      <sz val="11"/>
      <color rgb="FF000000"/>
      <name val="Calibri"/>
      <family val="2"/>
    </font>
    <font>
      <b/>
      <u/>
      <sz val="9"/>
      <color indexed="81"/>
      <name val="Tahoma"/>
      <family val="2"/>
    </font>
    <font>
      <sz val="11"/>
      <color rgb="FF000000"/>
      <name val="Calibri"/>
      <family val="2"/>
      <scheme val="minor"/>
    </font>
    <font>
      <vertAlign val="superscript"/>
      <sz val="11"/>
      <color rgb="FF000000"/>
      <name val="Calibri"/>
      <family val="2"/>
      <scheme val="minor"/>
    </font>
    <font>
      <vertAlign val="superscript"/>
      <sz val="11"/>
      <color theme="1"/>
      <name val="Calibri"/>
      <family val="2"/>
      <scheme val="minor"/>
    </font>
    <font>
      <sz val="10"/>
      <name val="Calibri"/>
      <family val="2"/>
      <scheme val="minor"/>
    </font>
    <font>
      <sz val="9"/>
      <color indexed="81"/>
      <name val="Tahoma"/>
      <family val="2"/>
    </font>
    <font>
      <u/>
      <sz val="11"/>
      <color theme="10"/>
      <name val="Calibri"/>
      <family val="2"/>
      <scheme val="minor"/>
    </font>
    <font>
      <sz val="11"/>
      <color rgb="FFC00000"/>
      <name val="Calibri"/>
      <family val="2"/>
      <scheme val="minor"/>
    </font>
    <font>
      <sz val="10"/>
      <color theme="1"/>
      <name val="Calibri"/>
      <family val="2"/>
      <scheme val="minor"/>
    </font>
    <font>
      <sz val="14"/>
      <color theme="0"/>
      <name val="Calibri"/>
      <family val="2"/>
      <scheme val="minor"/>
    </font>
    <font>
      <sz val="14"/>
      <color theme="1"/>
      <name val="Calibri"/>
      <family val="2"/>
      <scheme val="minor"/>
    </font>
    <font>
      <b/>
      <sz val="14"/>
      <name val="Calibri"/>
      <family val="2"/>
      <scheme val="minor"/>
    </font>
    <font>
      <sz val="14"/>
      <name val="Calibri"/>
      <family val="2"/>
      <scheme val="minor"/>
    </font>
    <font>
      <b/>
      <sz val="14"/>
      <color theme="1"/>
      <name val="Calibri"/>
      <family val="2"/>
      <scheme val="minor"/>
    </font>
    <font>
      <b/>
      <sz val="20"/>
      <color theme="1"/>
      <name val="Calibri"/>
      <family val="2"/>
      <scheme val="minor"/>
    </font>
  </fonts>
  <fills count="19">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F2C400"/>
        <bgColor indexed="64"/>
      </patternFill>
    </fill>
    <fill>
      <patternFill patternType="solid">
        <fgColor rgb="FFFFE161"/>
        <bgColor indexed="64"/>
      </patternFill>
    </fill>
    <fill>
      <patternFill patternType="solid">
        <fgColor rgb="FFD2AA00"/>
        <bgColor indexed="64"/>
      </patternFill>
    </fill>
    <fill>
      <patternFill patternType="solid">
        <fgColor rgb="FFFFFF00"/>
        <bgColor indexed="64"/>
      </patternFill>
    </fill>
    <fill>
      <patternFill patternType="solid">
        <fgColor rgb="FFFF99FF"/>
        <bgColor indexed="64"/>
      </patternFill>
    </fill>
  </fills>
  <borders count="2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ck">
        <color rgb="FF000000"/>
      </top>
      <bottom/>
      <diagonal/>
    </border>
    <border>
      <left/>
      <right/>
      <top/>
      <bottom style="thick">
        <color rgb="FF000000"/>
      </bottom>
      <diagonal/>
    </border>
    <border>
      <left style="thin">
        <color rgb="FFD0D7E5"/>
      </left>
      <right style="thin">
        <color rgb="FFD0D7E5"/>
      </right>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diagonal/>
    </border>
    <border>
      <left style="thin">
        <color rgb="FFD0D7E5"/>
      </left>
      <right style="thin">
        <color rgb="FFD0D7E5"/>
      </right>
      <top/>
      <bottom/>
      <diagonal/>
    </border>
  </borders>
  <cellStyleXfs count="6">
    <xf numFmtId="0" fontId="0" fillId="0" borderId="0"/>
    <xf numFmtId="0" fontId="10" fillId="0" borderId="0"/>
    <xf numFmtId="9" fontId="15" fillId="0" borderId="0" applyFont="0" applyFill="0" applyBorder="0" applyAlignment="0" applyProtection="0"/>
    <xf numFmtId="0" fontId="10" fillId="0" borderId="0"/>
    <xf numFmtId="0" fontId="28" fillId="0" borderId="0" applyNumberFormat="0" applyFill="0" applyBorder="0" applyAlignment="0" applyProtection="0"/>
    <xf numFmtId="43" fontId="15" fillId="0" borderId="0" applyFont="0" applyFill="0" applyBorder="0" applyAlignment="0" applyProtection="0"/>
  </cellStyleXfs>
  <cellXfs count="405">
    <xf numFmtId="0" fontId="0" fillId="0" borderId="0" xfId="0"/>
    <xf numFmtId="0" fontId="2" fillId="2" borderId="1" xfId="0" applyFont="1" applyFill="1" applyBorder="1"/>
    <xf numFmtId="0" fontId="0" fillId="2" borderId="2" xfId="0" applyFill="1" applyBorder="1"/>
    <xf numFmtId="0" fontId="2" fillId="3" borderId="1" xfId="0" applyFont="1" applyFill="1" applyBorder="1" applyAlignment="1">
      <alignment horizontal="center" vertical="center"/>
    </xf>
    <xf numFmtId="3" fontId="0" fillId="0" borderId="3" xfId="0" applyNumberFormat="1" applyBorder="1" applyAlignment="1">
      <alignment horizontal="right"/>
    </xf>
    <xf numFmtId="3" fontId="0" fillId="0" borderId="5" xfId="0" applyNumberFormat="1" applyBorder="1" applyAlignment="1">
      <alignment horizontal="right"/>
    </xf>
    <xf numFmtId="3" fontId="0" fillId="0" borderId="6" xfId="0" applyNumberFormat="1" applyBorder="1" applyAlignment="1">
      <alignment horizontal="right"/>
    </xf>
    <xf numFmtId="0" fontId="2" fillId="0" borderId="3" xfId="0" applyFont="1" applyBorder="1"/>
    <xf numFmtId="0" fontId="2" fillId="6" borderId="1" xfId="0" applyFont="1" applyFill="1" applyBorder="1"/>
    <xf numFmtId="0" fontId="0" fillId="5" borderId="0" xfId="0" applyFill="1"/>
    <xf numFmtId="0" fontId="3" fillId="5" borderId="0" xfId="0" applyFont="1" applyFill="1"/>
    <xf numFmtId="0" fontId="0" fillId="0" borderId="8" xfId="0" applyBorder="1"/>
    <xf numFmtId="0" fontId="0" fillId="0" borderId="9" xfId="0" applyBorder="1"/>
    <xf numFmtId="0" fontId="0" fillId="0" borderId="10" xfId="0" applyBorder="1"/>
    <xf numFmtId="0" fontId="9" fillId="0" borderId="8" xfId="0" applyFont="1" applyBorder="1"/>
    <xf numFmtId="0" fontId="9" fillId="0" borderId="9" xfId="0" applyFont="1" applyBorder="1"/>
    <xf numFmtId="0" fontId="9" fillId="0" borderId="10" xfId="0" applyFont="1" applyBorder="1"/>
    <xf numFmtId="3" fontId="0" fillId="0" borderId="0" xfId="0" applyNumberFormat="1" applyAlignment="1">
      <alignment horizontal="center"/>
    </xf>
    <xf numFmtId="3" fontId="0" fillId="0" borderId="0" xfId="0" quotePrefix="1" applyNumberFormat="1" applyAlignment="1">
      <alignment horizontal="right"/>
    </xf>
    <xf numFmtId="0" fontId="0" fillId="0" borderId="6" xfId="0" applyBorder="1"/>
    <xf numFmtId="0" fontId="0" fillId="0" borderId="12" xfId="0" applyBorder="1"/>
    <xf numFmtId="0" fontId="0" fillId="0" borderId="3" xfId="0" applyBorder="1"/>
    <xf numFmtId="0" fontId="0" fillId="0" borderId="0" xfId="0" applyAlignment="1">
      <alignment horizontal="center"/>
    </xf>
    <xf numFmtId="0" fontId="0" fillId="0" borderId="11" xfId="0" applyBorder="1"/>
    <xf numFmtId="0" fontId="5" fillId="5" borderId="0" xfId="0" applyFont="1" applyFill="1"/>
    <xf numFmtId="0" fontId="5" fillId="0" borderId="0" xfId="0" applyFont="1"/>
    <xf numFmtId="3" fontId="0" fillId="0" borderId="0" xfId="0" applyNumberFormat="1" applyAlignment="1">
      <alignment horizontal="right"/>
    </xf>
    <xf numFmtId="3" fontId="0" fillId="0" borderId="11" xfId="0" applyNumberFormat="1" applyBorder="1" applyAlignment="1">
      <alignment horizontal="right"/>
    </xf>
    <xf numFmtId="3" fontId="0" fillId="0" borderId="0" xfId="0" applyNumberFormat="1"/>
    <xf numFmtId="2" fontId="0" fillId="0" borderId="0" xfId="0" applyNumberFormat="1"/>
    <xf numFmtId="3" fontId="0" fillId="0" borderId="15" xfId="0" applyNumberFormat="1" applyBorder="1"/>
    <xf numFmtId="0" fontId="0" fillId="0" borderId="0" xfId="0" applyAlignment="1">
      <alignment horizontal="right"/>
    </xf>
    <xf numFmtId="9" fontId="0" fillId="0" borderId="0" xfId="2" applyFont="1"/>
    <xf numFmtId="0" fontId="17" fillId="0" borderId="0" xfId="0" applyFont="1" applyAlignment="1">
      <alignment horizontal="center" vertical="center" wrapText="1"/>
    </xf>
    <xf numFmtId="165" fontId="0" fillId="0" borderId="0" xfId="0" applyNumberFormat="1"/>
    <xf numFmtId="164" fontId="0" fillId="0" borderId="0" xfId="0" quotePrefix="1" applyNumberFormat="1" applyAlignment="1">
      <alignment horizontal="center"/>
    </xf>
    <xf numFmtId="0" fontId="17" fillId="0" borderId="0" xfId="0" applyFont="1" applyAlignment="1">
      <alignment horizontal="right" vertical="center" wrapText="1"/>
    </xf>
    <xf numFmtId="3" fontId="17" fillId="0" borderId="0" xfId="0" applyNumberFormat="1" applyFont="1" applyAlignment="1">
      <alignment vertical="center" wrapText="1"/>
    </xf>
    <xf numFmtId="164" fontId="0" fillId="0" borderId="0" xfId="0" applyNumberFormat="1" applyAlignment="1">
      <alignment horizontal="center"/>
    </xf>
    <xf numFmtId="0" fontId="0" fillId="0" borderId="0" xfId="0" applyAlignment="1">
      <alignment horizontal="left"/>
    </xf>
    <xf numFmtId="3" fontId="0" fillId="0" borderId="7" xfId="0" applyNumberFormat="1" applyBorder="1" applyAlignment="1">
      <alignment horizontal="center"/>
    </xf>
    <xf numFmtId="0" fontId="0" fillId="0" borderId="5" xfId="0" applyBorder="1"/>
    <xf numFmtId="0" fontId="0" fillId="0" borderId="5" xfId="0" applyBorder="1" applyAlignment="1">
      <alignment horizontal="center"/>
    </xf>
    <xf numFmtId="0" fontId="2" fillId="7" borderId="11" xfId="0" applyFont="1" applyFill="1" applyBorder="1" applyAlignment="1">
      <alignment horizontal="center"/>
    </xf>
    <xf numFmtId="9" fontId="0" fillId="0" borderId="11" xfId="2" applyFont="1" applyBorder="1" applyAlignment="1">
      <alignment horizontal="center"/>
    </xf>
    <xf numFmtId="9" fontId="0" fillId="0" borderId="13" xfId="2" applyFont="1" applyBorder="1" applyAlignment="1">
      <alignment horizontal="center"/>
    </xf>
    <xf numFmtId="0" fontId="2" fillId="0" borderId="3" xfId="0" quotePrefix="1" applyFont="1" applyBorder="1" applyAlignment="1">
      <alignment horizontal="left"/>
    </xf>
    <xf numFmtId="0" fontId="2" fillId="4" borderId="1" xfId="0" applyFont="1" applyFill="1" applyBorder="1"/>
    <xf numFmtId="0" fontId="0" fillId="4" borderId="2" xfId="0" applyFill="1" applyBorder="1"/>
    <xf numFmtId="0" fontId="0" fillId="10" borderId="5" xfId="0" applyFill="1" applyBorder="1"/>
    <xf numFmtId="0" fontId="2" fillId="10" borderId="0" xfId="0" applyFont="1" applyFill="1" applyAlignment="1">
      <alignment horizontal="center"/>
    </xf>
    <xf numFmtId="0" fontId="2" fillId="10" borderId="0" xfId="0" quotePrefix="1" applyFont="1" applyFill="1" applyAlignment="1">
      <alignment horizontal="center"/>
    </xf>
    <xf numFmtId="0" fontId="2" fillId="10" borderId="4" xfId="0" applyFont="1" applyFill="1" applyBorder="1" applyAlignment="1">
      <alignment horizontal="center"/>
    </xf>
    <xf numFmtId="3" fontId="2" fillId="10" borderId="0" xfId="0" applyNumberFormat="1" applyFont="1" applyFill="1" applyAlignment="1">
      <alignment horizontal="center"/>
    </xf>
    <xf numFmtId="3" fontId="0" fillId="0" borderId="0" xfId="0" applyNumberFormat="1" applyAlignment="1">
      <alignment vertical="center"/>
    </xf>
    <xf numFmtId="3" fontId="0" fillId="0" borderId="0" xfId="0" applyNumberFormat="1" applyAlignment="1">
      <alignment horizontal="right" vertical="center"/>
    </xf>
    <xf numFmtId="0" fontId="0" fillId="0" borderId="0" xfId="0" applyAlignment="1">
      <alignment vertical="center"/>
    </xf>
    <xf numFmtId="0" fontId="2" fillId="10" borderId="7" xfId="0" applyFont="1" applyFill="1" applyBorder="1" applyAlignment="1">
      <alignment horizontal="center"/>
    </xf>
    <xf numFmtId="3" fontId="0" fillId="0" borderId="5" xfId="0" applyNumberFormat="1" applyBorder="1"/>
    <xf numFmtId="3" fontId="0" fillId="0" borderId="5" xfId="0" applyNumberFormat="1" applyBorder="1" applyAlignment="1">
      <alignment vertical="center"/>
    </xf>
    <xf numFmtId="0" fontId="0" fillId="0" borderId="4" xfId="0" applyBorder="1"/>
    <xf numFmtId="0" fontId="0" fillId="0" borderId="7" xfId="0" applyBorder="1"/>
    <xf numFmtId="0" fontId="0" fillId="10" borderId="5" xfId="0" applyFill="1" applyBorder="1" applyAlignment="1">
      <alignment horizontal="centerContinuous"/>
    </xf>
    <xf numFmtId="0" fontId="4" fillId="10" borderId="5" xfId="0" applyFont="1" applyFill="1" applyBorder="1" applyAlignment="1">
      <alignment horizontal="centerContinuous"/>
    </xf>
    <xf numFmtId="0" fontId="4" fillId="7" borderId="4" xfId="0" applyFont="1" applyFill="1" applyBorder="1" applyAlignment="1">
      <alignment horizontal="centerContinuous"/>
    </xf>
    <xf numFmtId="0" fontId="2" fillId="7" borderId="11" xfId="0" applyFont="1" applyFill="1" applyBorder="1"/>
    <xf numFmtId="0" fontId="2" fillId="7" borderId="13" xfId="0" applyFont="1" applyFill="1" applyBorder="1" applyAlignment="1">
      <alignment horizontal="center"/>
    </xf>
    <xf numFmtId="0" fontId="6" fillId="7" borderId="1" xfId="0" applyFont="1" applyFill="1" applyBorder="1" applyAlignment="1">
      <alignment vertical="center"/>
    </xf>
    <xf numFmtId="164" fontId="6" fillId="7" borderId="14" xfId="2" applyNumberFormat="1" applyFont="1" applyFill="1" applyBorder="1" applyAlignment="1">
      <alignment horizontal="center"/>
    </xf>
    <xf numFmtId="164" fontId="6" fillId="7" borderId="14" xfId="0" applyNumberFormat="1" applyFont="1" applyFill="1" applyBorder="1" applyAlignment="1">
      <alignment horizontal="center"/>
    </xf>
    <xf numFmtId="3" fontId="6" fillId="7" borderId="14" xfId="0" applyNumberFormat="1" applyFont="1" applyFill="1" applyBorder="1" applyAlignment="1">
      <alignment horizontal="center"/>
    </xf>
    <xf numFmtId="3" fontId="6" fillId="7" borderId="14" xfId="0" quotePrefix="1" applyNumberFormat="1" applyFont="1" applyFill="1" applyBorder="1" applyAlignment="1">
      <alignment horizontal="center"/>
    </xf>
    <xf numFmtId="0" fontId="2" fillId="10" borderId="0" xfId="0" applyFont="1" applyFill="1"/>
    <xf numFmtId="0" fontId="2" fillId="10" borderId="5" xfId="0" applyFont="1" applyFill="1" applyBorder="1" applyAlignment="1">
      <alignment horizontal="centerContinuous"/>
    </xf>
    <xf numFmtId="3" fontId="0" fillId="5" borderId="0" xfId="0" applyNumberFormat="1" applyFill="1"/>
    <xf numFmtId="0" fontId="4" fillId="7" borderId="5" xfId="0" applyFont="1" applyFill="1" applyBorder="1" applyAlignment="1">
      <alignment horizontal="centerContinuous"/>
    </xf>
    <xf numFmtId="0" fontId="5" fillId="7" borderId="11" xfId="0" applyFont="1" applyFill="1" applyBorder="1"/>
    <xf numFmtId="0" fontId="5" fillId="7" borderId="14" xfId="0" applyFont="1" applyFill="1" applyBorder="1" applyAlignment="1">
      <alignment horizontal="center"/>
    </xf>
    <xf numFmtId="0" fontId="0" fillId="11" borderId="2" xfId="0" applyFill="1" applyBorder="1"/>
    <xf numFmtId="0" fontId="2" fillId="10" borderId="1" xfId="0" applyFont="1" applyFill="1" applyBorder="1"/>
    <xf numFmtId="0" fontId="0" fillId="10" borderId="14" xfId="0" applyFill="1" applyBorder="1"/>
    <xf numFmtId="0" fontId="0" fillId="6" borderId="2" xfId="0" applyFill="1" applyBorder="1"/>
    <xf numFmtId="0" fontId="0" fillId="10" borderId="3" xfId="0" applyFill="1" applyBorder="1"/>
    <xf numFmtId="0" fontId="0" fillId="7" borderId="12" xfId="0" applyFill="1" applyBorder="1"/>
    <xf numFmtId="0" fontId="6" fillId="11" borderId="1" xfId="0" applyFont="1" applyFill="1" applyBorder="1"/>
    <xf numFmtId="0" fontId="6" fillId="11" borderId="14" xfId="0" applyFont="1" applyFill="1" applyBorder="1"/>
    <xf numFmtId="3" fontId="6" fillId="11" borderId="14" xfId="0" applyNumberFormat="1" applyFont="1" applyFill="1" applyBorder="1" applyAlignment="1">
      <alignment horizontal="center"/>
    </xf>
    <xf numFmtId="3" fontId="14" fillId="11" borderId="14" xfId="0" applyNumberFormat="1" applyFont="1" applyFill="1" applyBorder="1" applyAlignment="1">
      <alignment horizontal="right"/>
    </xf>
    <xf numFmtId="3" fontId="6" fillId="11" borderId="14" xfId="0" applyNumberFormat="1" applyFont="1" applyFill="1" applyBorder="1" applyAlignment="1">
      <alignment horizontal="right"/>
    </xf>
    <xf numFmtId="0" fontId="0" fillId="11" borderId="14" xfId="0" applyFill="1" applyBorder="1"/>
    <xf numFmtId="0" fontId="1" fillId="0" borderId="0" xfId="0" applyFont="1"/>
    <xf numFmtId="164" fontId="1" fillId="0" borderId="0" xfId="2" applyNumberFormat="1" applyFont="1"/>
    <xf numFmtId="0" fontId="2" fillId="0" borderId="3" xfId="0" quotePrefix="1" applyFont="1" applyBorder="1"/>
    <xf numFmtId="0" fontId="2" fillId="10" borderId="3" xfId="0" applyFont="1" applyFill="1" applyBorder="1"/>
    <xf numFmtId="0" fontId="6" fillId="7" borderId="14" xfId="0" applyFont="1" applyFill="1" applyBorder="1" applyAlignment="1">
      <alignment vertical="center"/>
    </xf>
    <xf numFmtId="0" fontId="5" fillId="0" borderId="5" xfId="0" quotePrefix="1" applyFont="1" applyBorder="1" applyAlignment="1">
      <alignment horizontal="center"/>
    </xf>
    <xf numFmtId="9" fontId="0" fillId="0" borderId="5" xfId="0" quotePrefix="1" applyNumberFormat="1" applyBorder="1" applyAlignment="1">
      <alignment horizontal="center"/>
    </xf>
    <xf numFmtId="0" fontId="0" fillId="0" borderId="5" xfId="0" quotePrefix="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9" fontId="5" fillId="5" borderId="0" xfId="2" applyFont="1" applyFill="1"/>
    <xf numFmtId="0" fontId="0" fillId="0" borderId="4" xfId="0" quotePrefix="1" applyBorder="1" applyAlignment="1">
      <alignment horizontal="center"/>
    </xf>
    <xf numFmtId="0" fontId="2" fillId="7" borderId="5" xfId="0" applyFont="1" applyFill="1" applyBorder="1" applyAlignment="1">
      <alignment horizontal="centerContinuous"/>
    </xf>
    <xf numFmtId="0" fontId="4" fillId="7" borderId="5" xfId="0" applyFont="1" applyFill="1" applyBorder="1"/>
    <xf numFmtId="3" fontId="2" fillId="0" borderId="5" xfId="0" applyNumberFormat="1" applyFont="1" applyBorder="1" applyAlignment="1">
      <alignment horizontal="center"/>
    </xf>
    <xf numFmtId="3" fontId="2" fillId="0" borderId="4" xfId="0" applyNumberFormat="1" applyFont="1" applyBorder="1" applyAlignment="1">
      <alignment horizontal="center"/>
    </xf>
    <xf numFmtId="3" fontId="5" fillId="0" borderId="0" xfId="0" applyNumberFormat="1" applyFont="1" applyAlignment="1">
      <alignment horizontal="center"/>
    </xf>
    <xf numFmtId="0" fontId="20" fillId="5" borderId="0" xfId="0" applyFont="1" applyFill="1"/>
    <xf numFmtId="3" fontId="6" fillId="7" borderId="2" xfId="0" applyNumberFormat="1" applyFont="1" applyFill="1" applyBorder="1" applyAlignment="1">
      <alignment horizontal="center"/>
    </xf>
    <xf numFmtId="3" fontId="0" fillId="10" borderId="0" xfId="0" applyNumberFormat="1" applyFill="1"/>
    <xf numFmtId="9" fontId="0" fillId="0" borderId="0" xfId="2" applyFont="1" applyAlignment="1">
      <alignment horizontal="right"/>
    </xf>
    <xf numFmtId="2" fontId="0" fillId="12" borderId="0" xfId="0" applyNumberFormat="1" applyFill="1"/>
    <xf numFmtId="164" fontId="0" fillId="0" borderId="0" xfId="2" applyNumberFormat="1" applyFont="1"/>
    <xf numFmtId="165" fontId="0" fillId="12" borderId="0" xfId="0" applyNumberFormat="1" applyFill="1"/>
    <xf numFmtId="165" fontId="1" fillId="0" borderId="0" xfId="0" applyNumberFormat="1" applyFont="1"/>
    <xf numFmtId="0" fontId="0" fillId="0" borderId="0" xfId="0" applyAlignment="1">
      <alignment horizontal="center" vertical="center"/>
    </xf>
    <xf numFmtId="0" fontId="9" fillId="0" borderId="0" xfId="0" quotePrefix="1" applyFont="1" applyAlignment="1">
      <alignment horizontal="center" vertical="center"/>
    </xf>
    <xf numFmtId="0" fontId="2" fillId="13" borderId="0" xfId="0" applyFont="1" applyFill="1"/>
    <xf numFmtId="0" fontId="2" fillId="13" borderId="0" xfId="0" applyFont="1" applyFill="1" applyAlignment="1">
      <alignment horizontal="center"/>
    </xf>
    <xf numFmtId="0" fontId="2" fillId="0" borderId="0" xfId="0" applyFont="1" applyAlignment="1">
      <alignment horizontal="center" vertical="center"/>
    </xf>
    <xf numFmtId="3" fontId="0" fillId="0" borderId="11" xfId="0" quotePrefix="1" applyNumberFormat="1" applyBorder="1" applyAlignment="1">
      <alignment horizontal="right"/>
    </xf>
    <xf numFmtId="3" fontId="0" fillId="0" borderId="4" xfId="0" applyNumberFormat="1" applyBorder="1" applyAlignment="1">
      <alignment horizontal="center"/>
    </xf>
    <xf numFmtId="0" fontId="5" fillId="0" borderId="11" xfId="0" applyFont="1" applyBorder="1"/>
    <xf numFmtId="0" fontId="5" fillId="0" borderId="11" xfId="0" quotePrefix="1" applyFont="1" applyBorder="1" applyAlignment="1">
      <alignment horizontal="right"/>
    </xf>
    <xf numFmtId="3" fontId="0" fillId="0" borderId="13" xfId="0" applyNumberFormat="1" applyBorder="1" applyAlignment="1">
      <alignment horizontal="center"/>
    </xf>
    <xf numFmtId="0" fontId="5" fillId="0" borderId="6" xfId="0" applyFont="1" applyBorder="1"/>
    <xf numFmtId="0" fontId="2" fillId="3" borderId="14" xfId="0" applyFont="1" applyFill="1" applyBorder="1" applyAlignment="1">
      <alignment horizontal="center" vertical="center"/>
    </xf>
    <xf numFmtId="0" fontId="2" fillId="3" borderId="11" xfId="0" applyFont="1" applyFill="1" applyBorder="1" applyAlignment="1">
      <alignment horizontal="center" vertical="center"/>
    </xf>
    <xf numFmtId="0" fontId="17" fillId="0" borderId="0" xfId="0" applyFont="1" applyAlignment="1">
      <alignment vertical="center" wrapText="1"/>
    </xf>
    <xf numFmtId="0" fontId="6" fillId="0" borderId="0" xfId="0" applyFont="1" applyAlignment="1">
      <alignment horizontal="left"/>
    </xf>
    <xf numFmtId="0" fontId="23" fillId="0" borderId="0" xfId="0" applyFont="1" applyAlignment="1">
      <alignment horizontal="center" vertical="center" wrapText="1"/>
    </xf>
    <xf numFmtId="0" fontId="23" fillId="0" borderId="17" xfId="0" applyFont="1" applyBorder="1" applyAlignment="1">
      <alignment horizontal="center" vertical="center" wrapText="1"/>
    </xf>
    <xf numFmtId="0" fontId="23" fillId="0" borderId="0" xfId="0" applyFont="1" applyAlignment="1">
      <alignment horizontal="left" vertical="center"/>
    </xf>
    <xf numFmtId="0" fontId="0" fillId="0" borderId="17" xfId="0" applyBorder="1" applyAlignment="1">
      <alignment horizontal="center" vertical="center" wrapText="1"/>
    </xf>
    <xf numFmtId="0" fontId="0" fillId="0" borderId="17" xfId="0" applyBorder="1" applyAlignment="1">
      <alignment horizontal="right" vertical="center" wrapText="1"/>
    </xf>
    <xf numFmtId="3" fontId="23" fillId="0" borderId="0" xfId="0" applyNumberFormat="1" applyFont="1" applyAlignment="1">
      <alignment horizontal="right" vertical="center" wrapText="1"/>
    </xf>
    <xf numFmtId="0" fontId="23" fillId="0" borderId="16" xfId="0" applyFont="1" applyBorder="1" applyAlignment="1">
      <alignment horizontal="right" vertical="center" wrapText="1"/>
    </xf>
    <xf numFmtId="0" fontId="23" fillId="0" borderId="16" xfId="0" applyFont="1" applyBorder="1" applyAlignment="1">
      <alignment vertical="center" wrapText="1"/>
    </xf>
    <xf numFmtId="3" fontId="23" fillId="0" borderId="16" xfId="0" applyNumberFormat="1" applyFont="1" applyBorder="1" applyAlignment="1">
      <alignment horizontal="right" vertical="center" wrapText="1"/>
    </xf>
    <xf numFmtId="3" fontId="0" fillId="0" borderId="16" xfId="0" applyNumberFormat="1" applyBorder="1" applyAlignment="1">
      <alignment horizontal="right" vertical="center" wrapText="1"/>
    </xf>
    <xf numFmtId="0" fontId="0" fillId="0" borderId="16" xfId="0" applyBorder="1" applyAlignment="1">
      <alignment vertical="center" wrapText="1"/>
    </xf>
    <xf numFmtId="9" fontId="17" fillId="0" borderId="0" xfId="2" applyFont="1" applyAlignment="1">
      <alignment vertical="center" wrapText="1"/>
    </xf>
    <xf numFmtId="0" fontId="23" fillId="0" borderId="0" xfId="0" applyFont="1" applyAlignment="1">
      <alignment vertical="center" wrapText="1"/>
    </xf>
    <xf numFmtId="3" fontId="26" fillId="0" borderId="0" xfId="3" applyNumberFormat="1" applyFont="1" applyAlignment="1">
      <alignment horizontal="center"/>
    </xf>
    <xf numFmtId="3" fontId="26" fillId="0" borderId="0" xfId="0" applyNumberFormat="1" applyFont="1" applyAlignment="1">
      <alignment horizontal="center"/>
    </xf>
    <xf numFmtId="0" fontId="23" fillId="0" borderId="0" xfId="0" applyFont="1" applyAlignment="1">
      <alignment horizontal="right" vertical="center" wrapText="1"/>
    </xf>
    <xf numFmtId="3" fontId="0" fillId="0" borderId="0" xfId="0" applyNumberFormat="1" applyAlignment="1">
      <alignment horizontal="right" vertical="center" wrapText="1"/>
    </xf>
    <xf numFmtId="0" fontId="0" fillId="0" borderId="0" xfId="0" applyAlignment="1">
      <alignment vertical="center" wrapText="1"/>
    </xf>
    <xf numFmtId="165" fontId="23" fillId="0" borderId="0" xfId="0" applyNumberFormat="1" applyFont="1" applyAlignment="1">
      <alignment vertical="center" wrapText="1"/>
    </xf>
    <xf numFmtId="1" fontId="23" fillId="0" borderId="0" xfId="0" applyNumberFormat="1" applyFont="1" applyAlignment="1">
      <alignment vertical="center" wrapText="1"/>
    </xf>
    <xf numFmtId="3" fontId="23" fillId="0" borderId="0" xfId="0" applyNumberFormat="1" applyFont="1" applyAlignment="1">
      <alignment vertical="center" wrapText="1"/>
    </xf>
    <xf numFmtId="164" fontId="23" fillId="0" borderId="0" xfId="2" applyNumberFormat="1" applyFont="1" applyAlignment="1">
      <alignment vertical="center" wrapText="1"/>
    </xf>
    <xf numFmtId="9" fontId="23" fillId="0" borderId="0" xfId="2" applyFont="1" applyAlignment="1">
      <alignment vertical="center" wrapText="1"/>
    </xf>
    <xf numFmtId="1" fontId="21" fillId="0" borderId="18" xfId="0" applyNumberFormat="1" applyFont="1" applyBorder="1" applyAlignment="1">
      <alignment horizontal="right" vertical="center"/>
    </xf>
    <xf numFmtId="9" fontId="21" fillId="0" borderId="18" xfId="2" applyFont="1" applyBorder="1" applyAlignment="1">
      <alignment horizontal="right" vertical="center"/>
    </xf>
    <xf numFmtId="1" fontId="21" fillId="0" borderId="19" xfId="0" applyNumberFormat="1" applyFont="1" applyBorder="1" applyAlignment="1">
      <alignment horizontal="right" vertical="center"/>
    </xf>
    <xf numFmtId="166" fontId="0" fillId="0" borderId="0" xfId="0" applyNumberFormat="1"/>
    <xf numFmtId="9" fontId="0" fillId="0" borderId="0" xfId="0" applyNumberFormat="1"/>
    <xf numFmtId="3" fontId="2" fillId="0" borderId="0" xfId="0" applyNumberFormat="1" applyFont="1"/>
    <xf numFmtId="164" fontId="1" fillId="0" borderId="0" xfId="0" applyNumberFormat="1" applyFont="1"/>
    <xf numFmtId="164" fontId="0" fillId="0" borderId="0" xfId="0" applyNumberFormat="1"/>
    <xf numFmtId="1" fontId="0" fillId="0" borderId="0" xfId="0" applyNumberFormat="1"/>
    <xf numFmtId="0" fontId="2" fillId="5" borderId="0" xfId="0" applyFont="1" applyFill="1" applyAlignment="1">
      <alignment vertical="center" textRotation="90"/>
    </xf>
    <xf numFmtId="3" fontId="0" fillId="0" borderId="0" xfId="0" quotePrefix="1" applyNumberFormat="1" applyAlignment="1">
      <alignment horizontal="center"/>
    </xf>
    <xf numFmtId="0" fontId="1" fillId="0" borderId="11" xfId="0" applyFont="1" applyBorder="1"/>
    <xf numFmtId="3" fontId="0" fillId="0" borderId="11" xfId="0" applyNumberFormat="1" applyBorder="1" applyAlignment="1">
      <alignment horizontal="right" vertical="center"/>
    </xf>
    <xf numFmtId="3" fontId="0" fillId="0" borderId="5" xfId="0" applyNumberFormat="1" applyBorder="1" applyAlignment="1">
      <alignment horizontal="right" vertical="center"/>
    </xf>
    <xf numFmtId="3" fontId="5" fillId="0" borderId="3" xfId="0" quotePrefix="1" applyNumberFormat="1" applyFont="1" applyBorder="1" applyAlignment="1">
      <alignment horizontal="right"/>
    </xf>
    <xf numFmtId="3" fontId="5" fillId="0" borderId="5" xfId="0" applyNumberFormat="1" applyFont="1" applyBorder="1" applyAlignment="1">
      <alignment horizontal="right"/>
    </xf>
    <xf numFmtId="3" fontId="5" fillId="0" borderId="12" xfId="0" quotePrefix="1" applyNumberFormat="1" applyFont="1" applyBorder="1" applyAlignment="1">
      <alignment horizontal="right"/>
    </xf>
    <xf numFmtId="3" fontId="5" fillId="0" borderId="11" xfId="0" applyNumberFormat="1" applyFont="1" applyBorder="1" applyAlignment="1">
      <alignment horizontal="right"/>
    </xf>
    <xf numFmtId="3" fontId="5" fillId="0" borderId="13" xfId="0" quotePrefix="1" applyNumberFormat="1" applyFont="1" applyBorder="1" applyAlignment="1">
      <alignment horizontal="right"/>
    </xf>
    <xf numFmtId="3" fontId="5" fillId="0" borderId="4" xfId="0" quotePrefix="1" applyNumberFormat="1" applyFont="1" applyBorder="1" applyAlignment="1">
      <alignment horizontal="right"/>
    </xf>
    <xf numFmtId="3" fontId="5" fillId="0" borderId="6" xfId="0" quotePrefix="1" applyNumberFormat="1" applyFont="1" applyBorder="1" applyAlignment="1">
      <alignment horizontal="right"/>
    </xf>
    <xf numFmtId="3" fontId="5" fillId="0" borderId="0" xfId="0" applyNumberFormat="1" applyFont="1" applyAlignment="1">
      <alignment horizontal="right"/>
    </xf>
    <xf numFmtId="3" fontId="5" fillId="0" borderId="7" xfId="0" applyNumberFormat="1" applyFont="1" applyBorder="1" applyAlignment="1">
      <alignment horizontal="right"/>
    </xf>
    <xf numFmtId="3" fontId="5" fillId="0" borderId="7" xfId="0" quotePrefix="1" applyNumberFormat="1" applyFont="1" applyBorder="1" applyAlignment="1">
      <alignment horizontal="right"/>
    </xf>
    <xf numFmtId="3" fontId="6" fillId="11" borderId="2" xfId="0" applyNumberFormat="1" applyFont="1" applyFill="1" applyBorder="1" applyAlignment="1">
      <alignment horizontal="center"/>
    </xf>
    <xf numFmtId="164" fontId="0" fillId="0" borderId="11" xfId="0" applyNumberFormat="1" applyBorder="1" applyAlignment="1">
      <alignment horizontal="center"/>
    </xf>
    <xf numFmtId="3" fontId="0" fillId="0" borderId="11" xfId="0" applyNumberFormat="1" applyBorder="1" applyAlignment="1">
      <alignment horizontal="center"/>
    </xf>
    <xf numFmtId="3" fontId="12" fillId="2" borderId="14" xfId="0" applyNumberFormat="1" applyFont="1" applyFill="1" applyBorder="1" applyAlignment="1">
      <alignment horizontal="right"/>
    </xf>
    <xf numFmtId="0" fontId="9" fillId="0" borderId="0" xfId="0" applyFont="1"/>
    <xf numFmtId="3" fontId="0" fillId="9" borderId="0" xfId="0" applyNumberFormat="1" applyFill="1" applyAlignment="1">
      <alignment horizontal="right"/>
    </xf>
    <xf numFmtId="0" fontId="0" fillId="0" borderId="11" xfId="0" applyBorder="1" applyAlignment="1">
      <alignment horizontal="center"/>
    </xf>
    <xf numFmtId="0" fontId="28" fillId="0" borderId="0" xfId="4"/>
    <xf numFmtId="0" fontId="0" fillId="0" borderId="0" xfId="0" applyAlignment="1">
      <alignment horizontal="center" vertical="center" wrapText="1"/>
    </xf>
    <xf numFmtId="0" fontId="0" fillId="0" borderId="0" xfId="0" applyAlignment="1">
      <alignment horizontal="right" vertical="center" wrapText="1"/>
    </xf>
    <xf numFmtId="1" fontId="1" fillId="0" borderId="0" xfId="0" applyNumberFormat="1" applyFont="1"/>
    <xf numFmtId="3" fontId="0" fillId="10" borderId="15" xfId="0" applyNumberFormat="1" applyFill="1" applyBorder="1"/>
    <xf numFmtId="1" fontId="21" fillId="0" borderId="20" xfId="0" applyNumberFormat="1" applyFont="1" applyBorder="1" applyAlignment="1">
      <alignment horizontal="right" vertical="center"/>
    </xf>
    <xf numFmtId="9" fontId="21" fillId="0" borderId="21" xfId="2" applyFont="1" applyBorder="1" applyAlignment="1">
      <alignment horizontal="right" vertical="center"/>
    </xf>
    <xf numFmtId="3" fontId="21" fillId="0" borderId="21" xfId="2" applyNumberFormat="1" applyFont="1" applyBorder="1" applyAlignment="1">
      <alignment horizontal="right" vertical="center"/>
    </xf>
    <xf numFmtId="1" fontId="21" fillId="0" borderId="0" xfId="0" applyNumberFormat="1" applyFont="1" applyAlignment="1">
      <alignment horizontal="right" vertical="center"/>
    </xf>
    <xf numFmtId="9" fontId="21" fillId="0" borderId="0" xfId="2" applyFont="1" applyAlignment="1">
      <alignment horizontal="right" vertical="center"/>
    </xf>
    <xf numFmtId="3" fontId="21" fillId="0" borderId="0" xfId="2" applyNumberFormat="1" applyFont="1" applyAlignment="1">
      <alignment horizontal="right" vertical="center"/>
    </xf>
    <xf numFmtId="3" fontId="21" fillId="0" borderId="18" xfId="2" applyNumberFormat="1" applyFont="1" applyBorder="1" applyAlignment="1">
      <alignment horizontal="right" vertical="center"/>
    </xf>
    <xf numFmtId="1" fontId="9" fillId="0" borderId="21" xfId="2" applyNumberFormat="1" applyFont="1" applyBorder="1" applyAlignment="1">
      <alignment horizontal="right" vertical="center"/>
    </xf>
    <xf numFmtId="9" fontId="0" fillId="0" borderId="0" xfId="2" applyFont="1" applyAlignment="1">
      <alignment horizontal="left"/>
    </xf>
    <xf numFmtId="3" fontId="29" fillId="10" borderId="15" xfId="0" applyNumberFormat="1" applyFont="1" applyFill="1" applyBorder="1"/>
    <xf numFmtId="0" fontId="17" fillId="0" borderId="11" xfId="0" applyFont="1" applyBorder="1" applyAlignment="1">
      <alignment horizontal="center" vertical="center" wrapText="1"/>
    </xf>
    <xf numFmtId="0" fontId="23"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right" vertical="center" wrapText="1"/>
    </xf>
    <xf numFmtId="0" fontId="17" fillId="0" borderId="11" xfId="0" applyFont="1" applyBorder="1" applyAlignment="1">
      <alignment horizontal="right" vertical="center" wrapText="1"/>
    </xf>
    <xf numFmtId="3" fontId="0" fillId="0" borderId="11" xfId="0" applyNumberFormat="1" applyBorder="1"/>
    <xf numFmtId="165" fontId="0" fillId="0" borderId="11" xfId="0" applyNumberFormat="1" applyBorder="1"/>
    <xf numFmtId="9" fontId="0" fillId="0" borderId="11" xfId="2" applyFont="1" applyBorder="1"/>
    <xf numFmtId="3" fontId="0" fillId="0" borderId="3" xfId="0" quotePrefix="1" applyNumberFormat="1" applyBorder="1" applyAlignment="1">
      <alignment horizontal="right"/>
    </xf>
    <xf numFmtId="3" fontId="0" fillId="0" borderId="5" xfId="0" quotePrefix="1" applyNumberFormat="1" applyBorder="1" applyAlignment="1">
      <alignment horizontal="right"/>
    </xf>
    <xf numFmtId="3" fontId="0" fillId="0" borderId="4" xfId="0" quotePrefix="1" applyNumberFormat="1" applyBorder="1" applyAlignment="1">
      <alignment horizontal="right"/>
    </xf>
    <xf numFmtId="3" fontId="0" fillId="0" borderId="6" xfId="0" quotePrefix="1" applyNumberFormat="1" applyBorder="1" applyAlignment="1">
      <alignment horizontal="right"/>
    </xf>
    <xf numFmtId="3" fontId="0" fillId="0" borderId="7" xfId="0" quotePrefix="1" applyNumberFormat="1" applyBorder="1" applyAlignment="1">
      <alignment horizontal="right"/>
    </xf>
    <xf numFmtId="3" fontId="30" fillId="0" borderId="0" xfId="0" applyNumberFormat="1" applyFont="1" applyAlignment="1">
      <alignment horizontal="center"/>
    </xf>
    <xf numFmtId="0" fontId="0" fillId="0" borderId="11" xfId="0" applyBorder="1" applyAlignment="1">
      <alignment horizontal="centerContinuous"/>
    </xf>
    <xf numFmtId="0" fontId="0" fillId="0" borderId="0" xfId="0" applyAlignment="1">
      <alignment horizontal="centerContinuous"/>
    </xf>
    <xf numFmtId="3" fontId="0" fillId="0" borderId="12" xfId="0" applyNumberFormat="1" applyBorder="1" applyAlignment="1">
      <alignment horizontal="right"/>
    </xf>
    <xf numFmtId="0" fontId="0" fillId="0" borderId="0" xfId="0" quotePrefix="1"/>
    <xf numFmtId="0" fontId="28" fillId="0" borderId="11" xfId="4" applyBorder="1"/>
    <xf numFmtId="0" fontId="4" fillId="15" borderId="3" xfId="0" applyFont="1" applyFill="1" applyBorder="1" applyAlignment="1">
      <alignment horizontal="centerContinuous"/>
    </xf>
    <xf numFmtId="0" fontId="0" fillId="15" borderId="5" xfId="0" applyFill="1" applyBorder="1" applyAlignment="1">
      <alignment horizontal="centerContinuous"/>
    </xf>
    <xf numFmtId="0" fontId="2" fillId="15" borderId="5" xfId="0" applyFont="1" applyFill="1" applyBorder="1" applyAlignment="1">
      <alignment horizontal="centerContinuous"/>
    </xf>
    <xf numFmtId="0" fontId="12" fillId="15" borderId="5" xfId="0" applyFont="1" applyFill="1" applyBorder="1" applyAlignment="1">
      <alignment horizontal="centerContinuous"/>
    </xf>
    <xf numFmtId="0" fontId="12" fillId="15" borderId="4" xfId="0" applyFont="1" applyFill="1" applyBorder="1" applyAlignment="1">
      <alignment horizontal="centerContinuous"/>
    </xf>
    <xf numFmtId="0" fontId="2" fillId="15" borderId="11" xfId="0" applyFont="1" applyFill="1" applyBorder="1" applyAlignment="1">
      <alignment horizontal="center" vertical="center"/>
    </xf>
    <xf numFmtId="0" fontId="12" fillId="15" borderId="11" xfId="0" applyFont="1" applyFill="1" applyBorder="1" applyAlignment="1">
      <alignment horizontal="center" vertical="center"/>
    </xf>
    <xf numFmtId="0" fontId="12" fillId="15" borderId="13" xfId="0" applyFont="1" applyFill="1" applyBorder="1" applyAlignment="1">
      <alignment horizontal="center" vertical="center"/>
    </xf>
    <xf numFmtId="0" fontId="2" fillId="15" borderId="1" xfId="0" applyFont="1" applyFill="1" applyBorder="1" applyAlignment="1">
      <alignment horizontal="center" vertical="center"/>
    </xf>
    <xf numFmtId="0" fontId="2" fillId="15" borderId="14" xfId="0" applyFont="1" applyFill="1" applyBorder="1" applyAlignment="1">
      <alignment horizontal="center" vertical="center"/>
    </xf>
    <xf numFmtId="0" fontId="2" fillId="14" borderId="1" xfId="0" applyFont="1" applyFill="1" applyBorder="1"/>
    <xf numFmtId="0" fontId="0" fillId="14" borderId="2" xfId="0" applyFill="1" applyBorder="1"/>
    <xf numFmtId="0" fontId="0" fillId="15" borderId="14" xfId="0" applyFill="1" applyBorder="1" applyAlignment="1">
      <alignment horizontal="centerContinuous"/>
    </xf>
    <xf numFmtId="3" fontId="2" fillId="15" borderId="1" xfId="0" applyNumberFormat="1" applyFont="1" applyFill="1" applyBorder="1" applyAlignment="1">
      <alignment horizontal="right"/>
    </xf>
    <xf numFmtId="3" fontId="12" fillId="15" borderId="14" xfId="0" applyNumberFormat="1" applyFont="1" applyFill="1" applyBorder="1" applyAlignment="1">
      <alignment horizontal="right"/>
    </xf>
    <xf numFmtId="3" fontId="12" fillId="15" borderId="1" xfId="0" applyNumberFormat="1" applyFont="1" applyFill="1" applyBorder="1" applyAlignment="1">
      <alignment horizontal="right"/>
    </xf>
    <xf numFmtId="3" fontId="12" fillId="15" borderId="2" xfId="0" applyNumberFormat="1" applyFont="1" applyFill="1" applyBorder="1" applyAlignment="1">
      <alignment horizontal="right"/>
    </xf>
    <xf numFmtId="0" fontId="2" fillId="3" borderId="3" xfId="0" applyFont="1" applyFill="1" applyBorder="1" applyAlignment="1">
      <alignment horizontal="center"/>
    </xf>
    <xf numFmtId="0" fontId="0" fillId="3" borderId="14" xfId="0" applyFill="1" applyBorder="1"/>
    <xf numFmtId="0" fontId="2" fillId="3" borderId="14" xfId="0" quotePrefix="1" applyFont="1" applyFill="1" applyBorder="1" applyAlignment="1">
      <alignment horizontal="center"/>
    </xf>
    <xf numFmtId="0" fontId="0" fillId="3" borderId="2" xfId="0" applyFill="1" applyBorder="1"/>
    <xf numFmtId="0" fontId="2" fillId="3" borderId="12" xfId="0" applyFont="1" applyFill="1" applyBorder="1" applyAlignment="1">
      <alignment horizontal="center"/>
    </xf>
    <xf numFmtId="0" fontId="2" fillId="3" borderId="13" xfId="0" applyFont="1" applyFill="1" applyBorder="1" applyAlignment="1">
      <alignment horizontal="center" vertical="center"/>
    </xf>
    <xf numFmtId="0" fontId="31" fillId="5" borderId="0" xfId="0" applyFont="1" applyFill="1"/>
    <xf numFmtId="0" fontId="32" fillId="5" borderId="0" xfId="0" applyFont="1" applyFill="1"/>
    <xf numFmtId="0" fontId="33" fillId="5" borderId="1" xfId="0" applyFont="1" applyFill="1" applyBorder="1" applyAlignment="1">
      <alignment horizontal="center"/>
    </xf>
    <xf numFmtId="164" fontId="33" fillId="5" borderId="2" xfId="0" applyNumberFormat="1" applyFont="1" applyFill="1" applyBorder="1" applyAlignment="1">
      <alignment horizontal="center"/>
    </xf>
    <xf numFmtId="0" fontId="34" fillId="5" borderId="0" xfId="0" applyFont="1" applyFill="1"/>
    <xf numFmtId="0" fontId="33" fillId="5" borderId="1" xfId="0" applyFont="1" applyFill="1" applyBorder="1" applyAlignment="1">
      <alignment horizontal="right"/>
    </xf>
    <xf numFmtId="0" fontId="32" fillId="0" borderId="0" xfId="0" applyFont="1"/>
    <xf numFmtId="166" fontId="33" fillId="5" borderId="14" xfId="0" applyNumberFormat="1" applyFont="1" applyFill="1" applyBorder="1" applyAlignment="1">
      <alignment horizontal="center"/>
    </xf>
    <xf numFmtId="0" fontId="35" fillId="5" borderId="2" xfId="0" applyFont="1" applyFill="1" applyBorder="1" applyAlignment="1">
      <alignment horizontal="center"/>
    </xf>
    <xf numFmtId="3" fontId="2" fillId="14" borderId="14" xfId="0" applyNumberFormat="1" applyFont="1" applyFill="1" applyBorder="1"/>
    <xf numFmtId="3" fontId="2" fillId="14" borderId="1" xfId="0" applyNumberFormat="1" applyFont="1" applyFill="1" applyBorder="1"/>
    <xf numFmtId="3" fontId="2" fillId="14" borderId="2" xfId="0" applyNumberFormat="1" applyFont="1" applyFill="1" applyBorder="1"/>
    <xf numFmtId="0" fontId="0" fillId="0" borderId="0" xfId="0" applyFill="1"/>
    <xf numFmtId="0" fontId="32" fillId="0" borderId="0" xfId="0" applyFont="1" applyFill="1"/>
    <xf numFmtId="0" fontId="19" fillId="16" borderId="0" xfId="0" applyFont="1" applyFill="1" applyAlignment="1">
      <alignment vertical="center"/>
    </xf>
    <xf numFmtId="0" fontId="18" fillId="16" borderId="0" xfId="0" applyFont="1" applyFill="1" applyAlignment="1">
      <alignment vertical="center"/>
    </xf>
    <xf numFmtId="0" fontId="19" fillId="16" borderId="0" xfId="0" applyFont="1" applyFill="1" applyAlignment="1">
      <alignment horizontal="left" vertical="center"/>
    </xf>
    <xf numFmtId="0" fontId="19" fillId="16" borderId="0" xfId="0" applyFont="1" applyFill="1" applyAlignment="1">
      <alignment horizontal="right" vertical="center"/>
    </xf>
    <xf numFmtId="0" fontId="18" fillId="16" borderId="0" xfId="0" applyFont="1" applyFill="1"/>
    <xf numFmtId="0" fontId="0" fillId="16" borderId="0" xfId="0" applyFill="1"/>
    <xf numFmtId="0" fontId="0" fillId="0" borderId="0" xfId="0"/>
    <xf numFmtId="0" fontId="0" fillId="0" borderId="0" xfId="0" applyFont="1"/>
    <xf numFmtId="167" fontId="0" fillId="0" borderId="0" xfId="5" applyNumberFormat="1" applyFont="1" applyAlignment="1">
      <alignment horizontal="right"/>
    </xf>
    <xf numFmtId="167" fontId="0" fillId="0" borderId="7" xfId="5" applyNumberFormat="1" applyFont="1" applyBorder="1" applyAlignment="1">
      <alignment horizontal="right"/>
    </xf>
    <xf numFmtId="0" fontId="0" fillId="0" borderId="12" xfId="0" applyFont="1" applyBorder="1"/>
    <xf numFmtId="167" fontId="0" fillId="0" borderId="11" xfId="5" applyNumberFormat="1" applyFont="1" applyBorder="1" applyAlignment="1">
      <alignment horizontal="right"/>
    </xf>
    <xf numFmtId="167" fontId="0" fillId="0" borderId="13" xfId="5" applyNumberFormat="1" applyFont="1" applyBorder="1" applyAlignment="1">
      <alignment horizontal="right"/>
    </xf>
    <xf numFmtId="0" fontId="2" fillId="15" borderId="1" xfId="0" applyFont="1" applyFill="1" applyBorder="1" applyAlignment="1">
      <alignment horizontal="left"/>
    </xf>
    <xf numFmtId="0" fontId="0" fillId="15" borderId="14" xfId="0" applyNumberFormat="1" applyFill="1" applyBorder="1" applyAlignment="1">
      <alignment horizontal="centerContinuous"/>
    </xf>
    <xf numFmtId="3" fontId="2" fillId="14" borderId="2" xfId="0" quotePrefix="1" applyNumberFormat="1" applyFont="1" applyFill="1" applyBorder="1" applyAlignment="1">
      <alignment horizontal="center"/>
    </xf>
    <xf numFmtId="3" fontId="12" fillId="15" borderId="1" xfId="0" quotePrefix="1" applyNumberFormat="1" applyFont="1" applyFill="1" applyBorder="1" applyAlignment="1">
      <alignment horizontal="center"/>
    </xf>
    <xf numFmtId="167" fontId="0" fillId="0" borderId="5" xfId="5" applyNumberFormat="1" applyFont="1" applyBorder="1" applyAlignment="1">
      <alignment horizontal="right"/>
    </xf>
    <xf numFmtId="167" fontId="0" fillId="0" borderId="4" xfId="5" applyNumberFormat="1" applyFont="1" applyBorder="1" applyAlignment="1">
      <alignment horizontal="right"/>
    </xf>
    <xf numFmtId="167" fontId="0" fillId="0" borderId="0" xfId="5" applyNumberFormat="1" applyFont="1" applyBorder="1" applyAlignment="1">
      <alignment horizontal="right"/>
    </xf>
    <xf numFmtId="3" fontId="0" fillId="0" borderId="4" xfId="0" quotePrefix="1" applyNumberFormat="1" applyFont="1" applyBorder="1" applyAlignment="1">
      <alignment horizontal="right"/>
    </xf>
    <xf numFmtId="3" fontId="0" fillId="0" borderId="0" xfId="0" quotePrefix="1" applyNumberFormat="1" applyFont="1" applyBorder="1" applyAlignment="1">
      <alignment horizontal="center"/>
    </xf>
    <xf numFmtId="3" fontId="0" fillId="0" borderId="11" xfId="0" quotePrefix="1" applyNumberFormat="1" applyFont="1" applyBorder="1" applyAlignment="1">
      <alignment horizontal="center"/>
    </xf>
    <xf numFmtId="3" fontId="0" fillId="0" borderId="5" xfId="0" quotePrefix="1" applyNumberFormat="1" applyFont="1" applyBorder="1" applyAlignment="1">
      <alignment horizontal="center"/>
    </xf>
    <xf numFmtId="3" fontId="12" fillId="15" borderId="11" xfId="0" quotePrefix="1" applyNumberFormat="1" applyFont="1" applyFill="1" applyBorder="1" applyAlignment="1">
      <alignment horizontal="right"/>
    </xf>
    <xf numFmtId="3" fontId="0" fillId="0" borderId="3" xfId="0" applyNumberFormat="1" applyFont="1" applyBorder="1" applyAlignment="1">
      <alignment horizontal="center"/>
    </xf>
    <xf numFmtId="3" fontId="0" fillId="0" borderId="5" xfId="0" applyNumberFormat="1" applyFont="1" applyBorder="1" applyAlignment="1">
      <alignment horizontal="center"/>
    </xf>
    <xf numFmtId="3" fontId="0" fillId="0" borderId="6" xfId="0" applyNumberFormat="1" applyFont="1" applyBorder="1" applyAlignment="1">
      <alignment horizontal="center"/>
    </xf>
    <xf numFmtId="3" fontId="0" fillId="0" borderId="0" xfId="0" applyNumberFormat="1" applyFont="1" applyBorder="1" applyAlignment="1">
      <alignment horizontal="center"/>
    </xf>
    <xf numFmtId="3" fontId="0" fillId="0" borderId="12" xfId="0" applyNumberFormat="1" applyFont="1" applyBorder="1" applyAlignment="1">
      <alignment horizontal="center"/>
    </xf>
    <xf numFmtId="3" fontId="0" fillId="0" borderId="11" xfId="0" applyNumberFormat="1" applyFont="1" applyBorder="1" applyAlignment="1">
      <alignment horizontal="center"/>
    </xf>
    <xf numFmtId="3" fontId="12" fillId="15" borderId="1" xfId="0" applyNumberFormat="1" applyFont="1" applyFill="1" applyBorder="1" applyAlignment="1">
      <alignment horizontal="center"/>
    </xf>
    <xf numFmtId="3" fontId="12" fillId="15" borderId="11" xfId="0" applyNumberFormat="1" applyFont="1" applyFill="1" applyBorder="1" applyAlignment="1">
      <alignment horizontal="center"/>
    </xf>
    <xf numFmtId="3" fontId="2" fillId="14" borderId="1" xfId="0" applyNumberFormat="1" applyFont="1" applyFill="1" applyBorder="1" applyAlignment="1">
      <alignment horizontal="center"/>
    </xf>
    <xf numFmtId="3" fontId="2" fillId="14" borderId="14" xfId="0" applyNumberFormat="1" applyFont="1" applyFill="1" applyBorder="1" applyAlignment="1">
      <alignment horizontal="center"/>
    </xf>
    <xf numFmtId="3" fontId="0" fillId="0" borderId="7" xfId="0" quotePrefix="1" applyNumberFormat="1" applyFont="1" applyBorder="1" applyAlignment="1">
      <alignment horizontal="right"/>
    </xf>
    <xf numFmtId="3" fontId="0" fillId="0" borderId="13" xfId="0" quotePrefix="1" applyNumberFormat="1" applyFont="1" applyBorder="1" applyAlignment="1">
      <alignment horizontal="right"/>
    </xf>
    <xf numFmtId="0" fontId="2" fillId="14" borderId="14" xfId="0" applyFont="1" applyFill="1" applyBorder="1"/>
    <xf numFmtId="0" fontId="0" fillId="0" borderId="0" xfId="0"/>
    <xf numFmtId="3" fontId="23" fillId="0" borderId="11" xfId="0" applyNumberFormat="1" applyFont="1" applyBorder="1" applyAlignment="1">
      <alignment horizontal="right" vertical="center" wrapText="1"/>
    </xf>
    <xf numFmtId="0" fontId="23" fillId="0" borderId="11" xfId="0" applyFont="1" applyBorder="1" applyAlignment="1">
      <alignment horizontal="right" vertical="center" wrapText="1"/>
    </xf>
    <xf numFmtId="0" fontId="23" fillId="0" borderId="11" xfId="0" applyFont="1" applyBorder="1" applyAlignment="1">
      <alignment vertical="center" wrapText="1"/>
    </xf>
    <xf numFmtId="3" fontId="0" fillId="0" borderId="11" xfId="0" applyNumberFormat="1" applyBorder="1" applyAlignment="1">
      <alignment horizontal="right" vertical="center" wrapText="1"/>
    </xf>
    <xf numFmtId="0" fontId="0" fillId="0" borderId="11" xfId="0" applyBorder="1" applyAlignment="1">
      <alignment vertical="center" wrapText="1"/>
    </xf>
    <xf numFmtId="3" fontId="26" fillId="0" borderId="11" xfId="3" applyNumberFormat="1" applyFont="1" applyBorder="1" applyAlignment="1">
      <alignment horizontal="center"/>
    </xf>
    <xf numFmtId="3" fontId="26" fillId="0" borderId="11" xfId="0" applyNumberFormat="1" applyFont="1" applyBorder="1" applyAlignment="1">
      <alignment horizontal="center"/>
    </xf>
    <xf numFmtId="3" fontId="0" fillId="0" borderId="0" xfId="0" applyNumberFormat="1" applyBorder="1"/>
    <xf numFmtId="3" fontId="0" fillId="10" borderId="0" xfId="0" applyNumberFormat="1" applyFill="1" applyBorder="1"/>
    <xf numFmtId="0" fontId="0" fillId="10" borderId="0" xfId="0" applyFill="1"/>
    <xf numFmtId="2" fontId="0" fillId="10" borderId="0" xfId="0" applyNumberFormat="1" applyFill="1"/>
    <xf numFmtId="165" fontId="0" fillId="10" borderId="0" xfId="0" applyNumberFormat="1" applyFont="1" applyFill="1"/>
    <xf numFmtId="168" fontId="0" fillId="0" borderId="0" xfId="0" applyNumberFormat="1"/>
    <xf numFmtId="2" fontId="0" fillId="0" borderId="0" xfId="0" applyNumberFormat="1" applyFill="1" applyBorder="1"/>
    <xf numFmtId="165" fontId="0" fillId="0" borderId="0" xfId="0" applyNumberFormat="1" applyFill="1"/>
    <xf numFmtId="2" fontId="0" fillId="0" borderId="0" xfId="0" applyNumberFormat="1" applyFill="1"/>
    <xf numFmtId="165" fontId="0" fillId="10" borderId="0" xfId="0" applyNumberFormat="1" applyFill="1"/>
    <xf numFmtId="0" fontId="12" fillId="5" borderId="0" xfId="0" applyFont="1" applyFill="1" applyBorder="1" applyAlignment="1">
      <alignment horizontal="center" vertical="center"/>
    </xf>
    <xf numFmtId="3" fontId="5" fillId="5" borderId="0" xfId="0" applyNumberFormat="1" applyFont="1" applyFill="1" applyBorder="1" applyAlignment="1">
      <alignment horizontal="right"/>
    </xf>
    <xf numFmtId="3" fontId="5" fillId="5" borderId="0" xfId="0" quotePrefix="1" applyNumberFormat="1" applyFont="1" applyFill="1" applyBorder="1" applyAlignment="1">
      <alignment horizontal="right"/>
    </xf>
    <xf numFmtId="3" fontId="0" fillId="5" borderId="0" xfId="0" quotePrefix="1" applyNumberFormat="1" applyFill="1" applyBorder="1" applyAlignment="1">
      <alignment horizontal="right"/>
    </xf>
    <xf numFmtId="3" fontId="12" fillId="5" borderId="0" xfId="0" applyNumberFormat="1" applyFont="1" applyFill="1" applyBorder="1" applyAlignment="1">
      <alignment horizontal="right"/>
    </xf>
    <xf numFmtId="167" fontId="0" fillId="5" borderId="0" xfId="5" applyNumberFormat="1" applyFont="1" applyFill="1" applyBorder="1" applyAlignment="1">
      <alignment horizontal="right"/>
    </xf>
    <xf numFmtId="3" fontId="2" fillId="5" borderId="0" xfId="0" applyNumberFormat="1" applyFont="1" applyFill="1" applyBorder="1"/>
    <xf numFmtId="0" fontId="13" fillId="15" borderId="3" xfId="0" applyFont="1" applyFill="1" applyBorder="1" applyAlignment="1">
      <alignment horizontal="centerContinuous"/>
    </xf>
    <xf numFmtId="0" fontId="12" fillId="15" borderId="12" xfId="0" applyFont="1" applyFill="1" applyBorder="1" applyAlignment="1">
      <alignment horizontal="center" vertical="center"/>
    </xf>
    <xf numFmtId="0" fontId="12" fillId="5" borderId="6" xfId="0" applyFont="1" applyFill="1" applyBorder="1" applyAlignment="1"/>
    <xf numFmtId="0" fontId="12" fillId="5" borderId="0" xfId="0" applyFont="1" applyFill="1" applyBorder="1" applyAlignment="1"/>
    <xf numFmtId="0" fontId="0" fillId="5" borderId="0" xfId="0" applyFill="1" applyAlignment="1"/>
    <xf numFmtId="0" fontId="0" fillId="0" borderId="11" xfId="0" applyBorder="1"/>
    <xf numFmtId="0" fontId="1" fillId="0" borderId="6" xfId="0" applyFont="1" applyBorder="1"/>
    <xf numFmtId="3" fontId="1" fillId="0" borderId="0" xfId="0" applyNumberFormat="1" applyFont="1" applyAlignment="1">
      <alignment horizontal="center"/>
    </xf>
    <xf numFmtId="3" fontId="1" fillId="0" borderId="0" xfId="0" quotePrefix="1" applyNumberFormat="1" applyFont="1" applyAlignment="1">
      <alignment horizontal="right"/>
    </xf>
    <xf numFmtId="0" fontId="0" fillId="0" borderId="0" xfId="0" applyBorder="1"/>
    <xf numFmtId="3" fontId="0" fillId="0" borderId="0" xfId="0" applyNumberFormat="1" applyBorder="1" applyAlignment="1">
      <alignment horizontal="center"/>
    </xf>
    <xf numFmtId="0" fontId="0" fillId="0" borderId="0" xfId="0"/>
    <xf numFmtId="0" fontId="17" fillId="0" borderId="0" xfId="0" applyFont="1" applyAlignment="1">
      <alignment horizontal="center" vertical="center" wrapText="1"/>
    </xf>
    <xf numFmtId="0" fontId="0" fillId="0" borderId="0" xfId="0"/>
    <xf numFmtId="9" fontId="1" fillId="0" borderId="0" xfId="0" applyNumberFormat="1" applyFont="1"/>
    <xf numFmtId="9" fontId="1" fillId="0" borderId="0" xfId="2" applyFont="1"/>
    <xf numFmtId="9" fontId="0" fillId="17" borderId="0" xfId="2" applyFont="1" applyFill="1"/>
    <xf numFmtId="0" fontId="0" fillId="0" borderId="0" xfId="0" applyFont="1" applyAlignment="1">
      <alignment horizontal="center"/>
    </xf>
    <xf numFmtId="1" fontId="0" fillId="0" borderId="0" xfId="0" applyNumberFormat="1" applyAlignment="1">
      <alignment horizontal="center"/>
    </xf>
    <xf numFmtId="9" fontId="0" fillId="0" borderId="0" xfId="2" applyFont="1" applyAlignment="1">
      <alignment horizontal="center"/>
    </xf>
    <xf numFmtId="0" fontId="1" fillId="17" borderId="0" xfId="0" applyFont="1" applyFill="1"/>
    <xf numFmtId="9" fontId="1" fillId="17" borderId="0" xfId="0" applyNumberFormat="1" applyFont="1" applyFill="1"/>
    <xf numFmtId="0" fontId="2" fillId="0" borderId="0" xfId="0" applyFont="1"/>
    <xf numFmtId="165" fontId="2" fillId="0" borderId="0" xfId="0" applyNumberFormat="1" applyFont="1"/>
    <xf numFmtId="1" fontId="2" fillId="0" borderId="0" xfId="0" applyNumberFormat="1" applyFont="1"/>
    <xf numFmtId="3" fontId="2" fillId="10" borderId="5" xfId="0" applyNumberFormat="1" applyFont="1" applyFill="1" applyBorder="1"/>
    <xf numFmtId="3" fontId="2" fillId="10" borderId="4" xfId="0" applyNumberFormat="1" applyFont="1" applyFill="1" applyBorder="1"/>
    <xf numFmtId="1" fontId="2" fillId="10" borderId="0" xfId="0" applyNumberFormat="1" applyFont="1" applyFill="1" applyBorder="1"/>
    <xf numFmtId="1" fontId="2" fillId="10" borderId="7" xfId="0" applyNumberFormat="1" applyFont="1" applyFill="1" applyBorder="1"/>
    <xf numFmtId="0" fontId="2" fillId="10" borderId="11" xfId="0" applyFont="1" applyFill="1" applyBorder="1"/>
    <xf numFmtId="0" fontId="2" fillId="10" borderId="13" xfId="0" applyFont="1" applyFill="1" applyBorder="1"/>
    <xf numFmtId="0" fontId="2" fillId="0" borderId="0" xfId="0" applyFont="1" applyFill="1" applyBorder="1" applyAlignment="1">
      <alignment horizontal="right"/>
    </xf>
    <xf numFmtId="0" fontId="0" fillId="0" borderId="0" xfId="0" applyFill="1" applyBorder="1"/>
    <xf numFmtId="165" fontId="2" fillId="10" borderId="6" xfId="0" applyNumberFormat="1" applyFont="1" applyFill="1" applyBorder="1"/>
    <xf numFmtId="165" fontId="2" fillId="10" borderId="12" xfId="0" applyNumberFormat="1" applyFont="1" applyFill="1" applyBorder="1"/>
    <xf numFmtId="0" fontId="2" fillId="0" borderId="0" xfId="0" applyFont="1" applyAlignment="1">
      <alignment horizontal="center"/>
    </xf>
    <xf numFmtId="0" fontId="2" fillId="0" borderId="11" xfId="0" applyFont="1" applyBorder="1" applyAlignment="1">
      <alignment horizontal="centerContinuous"/>
    </xf>
    <xf numFmtId="0" fontId="36" fillId="5" borderId="8" xfId="0" applyFont="1" applyFill="1" applyBorder="1" applyAlignment="1">
      <alignment horizontal="center" vertical="center" textRotation="90"/>
    </xf>
    <xf numFmtId="0" fontId="36" fillId="0" borderId="9" xfId="0" applyFont="1" applyBorder="1" applyAlignment="1">
      <alignment horizontal="center" vertical="center" textRotation="90"/>
    </xf>
    <xf numFmtId="0" fontId="36" fillId="0" borderId="10" xfId="0" applyFont="1" applyBorder="1" applyAlignment="1">
      <alignment horizontal="center" vertical="center" textRotation="90"/>
    </xf>
    <xf numFmtId="3" fontId="0" fillId="0" borderId="7" xfId="0" quotePrefix="1" applyNumberFormat="1" applyFont="1" applyBorder="1" applyAlignment="1">
      <alignment horizontal="right" vertical="center"/>
    </xf>
    <xf numFmtId="0" fontId="0" fillId="0" borderId="7" xfId="0" applyBorder="1" applyAlignment="1">
      <alignment horizontal="right" vertical="center"/>
    </xf>
    <xf numFmtId="0" fontId="0" fillId="0" borderId="13" xfId="0" applyBorder="1" applyAlignment="1">
      <alignment horizontal="right" vertical="center"/>
    </xf>
    <xf numFmtId="3" fontId="0" fillId="0" borderId="4" xfId="0" quotePrefix="1" applyNumberFormat="1" applyFont="1" applyBorder="1" applyAlignment="1">
      <alignment horizontal="right" vertical="center"/>
    </xf>
    <xf numFmtId="0" fontId="2" fillId="0" borderId="8" xfId="0" applyFont="1" applyBorder="1" applyAlignment="1">
      <alignment horizontal="center" vertical="center" textRotation="90" wrapText="1"/>
    </xf>
    <xf numFmtId="0" fontId="0" fillId="0" borderId="9" xfId="0" applyFont="1" applyBorder="1" applyAlignment="1">
      <alignment horizontal="center" vertical="center" textRotation="90" wrapText="1"/>
    </xf>
    <xf numFmtId="0" fontId="0" fillId="0" borderId="10" xfId="0" applyFont="1" applyBorder="1" applyAlignment="1">
      <alignment horizontal="center" vertical="center" textRotation="90" wrapText="1"/>
    </xf>
    <xf numFmtId="0" fontId="11" fillId="0" borderId="9" xfId="0" applyFont="1" applyBorder="1" applyAlignment="1">
      <alignment horizontal="center" vertical="center" textRotation="90" wrapText="1"/>
    </xf>
    <xf numFmtId="0" fontId="11" fillId="0" borderId="10" xfId="0" applyFont="1" applyBorder="1" applyAlignment="1">
      <alignment horizontal="center" vertical="center" textRotation="90" wrapText="1"/>
    </xf>
    <xf numFmtId="0" fontId="2" fillId="0" borderId="15" xfId="0" applyFont="1" applyBorder="1" applyAlignment="1">
      <alignment horizontal="center" vertical="center" textRotation="90" wrapText="1"/>
    </xf>
    <xf numFmtId="0" fontId="0" fillId="0" borderId="15" xfId="0" applyBorder="1" applyAlignment="1">
      <alignment horizontal="center" vertical="center" textRotation="90" wrapText="1"/>
    </xf>
    <xf numFmtId="0" fontId="0" fillId="0" borderId="9" xfId="0" applyBorder="1" applyAlignment="1">
      <alignment horizontal="center" vertical="center" textRotation="90" wrapText="1"/>
    </xf>
    <xf numFmtId="0" fontId="0" fillId="0" borderId="10" xfId="0" applyBorder="1" applyAlignment="1">
      <alignment horizontal="center" vertical="center" textRotation="90" wrapText="1"/>
    </xf>
    <xf numFmtId="0" fontId="0" fillId="0" borderId="8" xfId="0" applyBorder="1" applyAlignment="1">
      <alignment horizontal="center" vertical="center" textRotation="90" wrapText="1"/>
    </xf>
    <xf numFmtId="0" fontId="2" fillId="0" borderId="8"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2" fillId="0" borderId="8" xfId="0" applyFont="1" applyBorder="1" applyAlignment="1">
      <alignment horizontal="center" vertical="center" textRotation="90"/>
    </xf>
    <xf numFmtId="0" fontId="0" fillId="0" borderId="9" xfId="0" applyBorder="1"/>
    <xf numFmtId="0" fontId="0" fillId="0" borderId="10" xfId="0" applyBorder="1"/>
    <xf numFmtId="0" fontId="0" fillId="0" borderId="0" xfId="0" applyAlignment="1">
      <alignment horizontal="center" vertical="center"/>
    </xf>
    <xf numFmtId="0" fontId="0" fillId="0" borderId="0" xfId="0"/>
    <xf numFmtId="0" fontId="0" fillId="0" borderId="11" xfId="0" applyBorder="1"/>
    <xf numFmtId="0" fontId="9" fillId="0" borderId="0" xfId="0" quotePrefix="1" applyFont="1" applyAlignment="1">
      <alignment horizontal="center" vertical="center"/>
    </xf>
    <xf numFmtId="0" fontId="2" fillId="8" borderId="3" xfId="0" applyFont="1" applyFill="1" applyBorder="1" applyAlignment="1">
      <alignment horizontal="center" vertical="center"/>
    </xf>
    <xf numFmtId="0" fontId="0" fillId="8" borderId="4" xfId="0" applyFill="1" applyBorder="1" applyAlignment="1">
      <alignment horizontal="center" vertical="center"/>
    </xf>
    <xf numFmtId="0" fontId="0" fillId="8" borderId="12" xfId="0" applyFill="1" applyBorder="1" applyAlignment="1">
      <alignment horizontal="center" vertical="center"/>
    </xf>
    <xf numFmtId="0" fontId="0" fillId="8" borderId="13" xfId="0" applyFill="1" applyBorder="1" applyAlignment="1">
      <alignment horizontal="center" vertical="center"/>
    </xf>
    <xf numFmtId="3" fontId="0" fillId="0" borderId="7" xfId="0" quotePrefix="1" applyNumberFormat="1" applyFont="1" applyBorder="1" applyAlignment="1">
      <alignment horizontal="center" vertical="center"/>
    </xf>
    <xf numFmtId="0" fontId="0" fillId="0" borderId="7" xfId="0" applyFont="1" applyBorder="1" applyAlignment="1">
      <alignment vertical="center"/>
    </xf>
    <xf numFmtId="0" fontId="0" fillId="0" borderId="13" xfId="0" applyFont="1" applyBorder="1" applyAlignment="1">
      <alignment vertical="center"/>
    </xf>
    <xf numFmtId="3" fontId="0" fillId="0" borderId="7" xfId="0" quotePrefix="1" applyNumberFormat="1" applyBorder="1" applyAlignment="1">
      <alignment horizontal="center" vertical="center"/>
    </xf>
    <xf numFmtId="0" fontId="0" fillId="0" borderId="7" xfId="0" applyBorder="1" applyAlignment="1">
      <alignment vertical="center"/>
    </xf>
    <xf numFmtId="0" fontId="0" fillId="0" borderId="13" xfId="0" applyBorder="1" applyAlignment="1">
      <alignment vertical="center"/>
    </xf>
    <xf numFmtId="9" fontId="0" fillId="0" borderId="0" xfId="0" quotePrefix="1" applyNumberFormat="1" applyAlignment="1">
      <alignment horizontal="center" vertical="center"/>
    </xf>
    <xf numFmtId="0" fontId="0" fillId="0" borderId="11" xfId="0" applyBorder="1" applyAlignment="1">
      <alignment vertical="center"/>
    </xf>
    <xf numFmtId="0" fontId="0" fillId="0" borderId="0" xfId="0" quotePrefix="1" applyAlignment="1">
      <alignment horizontal="center" vertical="center"/>
    </xf>
    <xf numFmtId="164" fontId="0" fillId="0" borderId="0" xfId="0" applyNumberFormat="1" applyAlignment="1">
      <alignment horizontal="center" vertical="center"/>
    </xf>
    <xf numFmtId="0" fontId="17" fillId="0" borderId="0" xfId="0" applyFont="1" applyAlignment="1">
      <alignment horizontal="center" vertical="center" wrapText="1"/>
    </xf>
    <xf numFmtId="0" fontId="17" fillId="0" borderId="17" xfId="0" applyFont="1" applyBorder="1" applyAlignment="1">
      <alignment horizontal="center" vertical="center" wrapText="1"/>
    </xf>
    <xf numFmtId="0" fontId="23" fillId="0" borderId="0" xfId="0" applyFont="1" applyAlignment="1">
      <alignment horizontal="center" vertical="center" wrapText="1"/>
    </xf>
    <xf numFmtId="0" fontId="0" fillId="0" borderId="0" xfId="0" applyAlignment="1">
      <alignment horizontal="center" vertical="center" wrapText="1"/>
    </xf>
    <xf numFmtId="0" fontId="23" fillId="0" borderId="17" xfId="0" applyFont="1" applyBorder="1" applyAlignment="1">
      <alignment horizontal="center" vertical="center" wrapText="1"/>
    </xf>
    <xf numFmtId="0" fontId="0" fillId="0" borderId="17" xfId="0" applyBorder="1" applyAlignment="1">
      <alignment horizontal="center" vertical="center" wrapText="1"/>
    </xf>
    <xf numFmtId="165" fontId="0" fillId="18" borderId="0" xfId="0" applyNumberFormat="1" applyFill="1"/>
    <xf numFmtId="0" fontId="0" fillId="18" borderId="0" xfId="0" applyFill="1" applyAlignment="1">
      <alignment horizontal="center"/>
    </xf>
    <xf numFmtId="1" fontId="0" fillId="12" borderId="0" xfId="0" applyNumberFormat="1" applyFill="1"/>
  </cellXfs>
  <cellStyles count="6">
    <cellStyle name="Comma" xfId="5" builtinId="3"/>
    <cellStyle name="Hyperlink" xfId="4" builtinId="8"/>
    <cellStyle name="Normal" xfId="0" builtinId="0"/>
    <cellStyle name="Normal 2" xfId="3" xr:uid="{00000000-0005-0000-0000-000001000000}"/>
    <cellStyle name="Normal 3" xfId="1" xr:uid="{00000000-0005-0000-0000-000002000000}"/>
    <cellStyle name="Percent" xfId="2" builtinId="5"/>
  </cellStyles>
  <dxfs count="0"/>
  <tableStyles count="0" defaultTableStyle="TableStyleMedium2" defaultPivotStyle="PivotStyleLight16"/>
  <colors>
    <mruColors>
      <color rgb="FFFF99FF"/>
      <color rgb="FFFFE161"/>
      <color rgb="FFD2AA00"/>
      <color rgb="FFF2C400"/>
      <color rgb="FF00DAD0"/>
      <color rgb="FF008D85"/>
      <color rgb="FFA68800"/>
      <color rgb="FF7A6300"/>
      <color rgb="FF9FC1BD"/>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solidFill>
                  <a:schemeClr val="tx1"/>
                </a:solidFill>
              </a:rPr>
              <a:t>Fishery Distribution Natural-origin </a:t>
            </a:r>
          </a:p>
          <a:p>
            <a:pPr>
              <a:defRPr b="1">
                <a:solidFill>
                  <a:schemeClr val="tx1"/>
                </a:solidFill>
              </a:defRPr>
            </a:pPr>
            <a:r>
              <a:rPr lang="en-US" sz="1400" b="1">
                <a:solidFill>
                  <a:schemeClr val="tx1"/>
                </a:solidFill>
              </a:rPr>
              <a:t>2007-2016 avg.</a:t>
            </a:r>
          </a:p>
        </c:rich>
      </c:tx>
      <c:layout>
        <c:manualLayout>
          <c:xMode val="edge"/>
          <c:yMode val="edge"/>
          <c:x val="0.12609086644721534"/>
          <c:y val="2.467987774292574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245339659236249"/>
          <c:y val="0.20076717846865025"/>
          <c:w val="0.52216973782830056"/>
          <c:h val="0.701190571933763"/>
        </c:manualLayout>
      </c:layout>
      <c:pieChart>
        <c:varyColors val="1"/>
        <c:ser>
          <c:idx val="0"/>
          <c:order val="0"/>
          <c:spPr>
            <a:ln w="3175">
              <a:solidFill>
                <a:schemeClr val="bg1"/>
              </a:solidFill>
            </a:ln>
          </c:spPr>
          <c:dPt>
            <c:idx val="0"/>
            <c:bubble3D val="0"/>
            <c:spPr>
              <a:solidFill>
                <a:schemeClr val="accent1"/>
              </a:solidFill>
              <a:ln w="3175">
                <a:solidFill>
                  <a:schemeClr val="bg1"/>
                </a:solidFill>
              </a:ln>
              <a:effectLst/>
            </c:spPr>
            <c:extLst>
              <c:ext xmlns:c16="http://schemas.microsoft.com/office/drawing/2014/chart" uri="{C3380CC4-5D6E-409C-BE32-E72D297353CC}">
                <c16:uniqueId val="{00000001-C8E8-4D7C-8464-D48B623C2204}"/>
              </c:ext>
            </c:extLst>
          </c:dPt>
          <c:dPt>
            <c:idx val="1"/>
            <c:bubble3D val="0"/>
            <c:spPr>
              <a:solidFill>
                <a:srgbClr val="A68800"/>
              </a:solidFill>
              <a:ln w="3175">
                <a:solidFill>
                  <a:schemeClr val="bg1"/>
                </a:solidFill>
              </a:ln>
              <a:effectLst/>
            </c:spPr>
            <c:extLst>
              <c:ext xmlns:c16="http://schemas.microsoft.com/office/drawing/2014/chart" uri="{C3380CC4-5D6E-409C-BE32-E72D297353CC}">
                <c16:uniqueId val="{00000003-C8E8-4D7C-8464-D48B623C2204}"/>
              </c:ext>
            </c:extLst>
          </c:dPt>
          <c:dPt>
            <c:idx val="2"/>
            <c:bubble3D val="0"/>
            <c:spPr>
              <a:solidFill>
                <a:srgbClr val="7A6300"/>
              </a:solidFill>
              <a:ln w="3175">
                <a:solidFill>
                  <a:schemeClr val="bg1"/>
                </a:solidFill>
              </a:ln>
              <a:effectLst/>
            </c:spPr>
            <c:extLst>
              <c:ext xmlns:c16="http://schemas.microsoft.com/office/drawing/2014/chart" uri="{C3380CC4-5D6E-409C-BE32-E72D297353CC}">
                <c16:uniqueId val="{00000005-C8E8-4D7C-8464-D48B623C2204}"/>
              </c:ext>
            </c:extLst>
          </c:dPt>
          <c:dPt>
            <c:idx val="3"/>
            <c:bubble3D val="0"/>
            <c:spPr>
              <a:solidFill>
                <a:srgbClr val="F2C400"/>
              </a:solidFill>
              <a:ln w="3175">
                <a:solidFill>
                  <a:schemeClr val="bg1"/>
                </a:solidFill>
              </a:ln>
              <a:effectLst/>
            </c:spPr>
            <c:extLst>
              <c:ext xmlns:c16="http://schemas.microsoft.com/office/drawing/2014/chart" uri="{C3380CC4-5D6E-409C-BE32-E72D297353CC}">
                <c16:uniqueId val="{00000007-D31C-49F5-B4C4-50F423457E86}"/>
              </c:ext>
            </c:extLst>
          </c:dPt>
          <c:dPt>
            <c:idx val="4"/>
            <c:bubble3D val="0"/>
            <c:spPr>
              <a:solidFill>
                <a:srgbClr val="D2AA00"/>
              </a:solidFill>
              <a:ln w="3175">
                <a:solidFill>
                  <a:schemeClr val="bg1"/>
                </a:solidFill>
              </a:ln>
              <a:effectLst/>
            </c:spPr>
            <c:extLst>
              <c:ext xmlns:c16="http://schemas.microsoft.com/office/drawing/2014/chart" uri="{C3380CC4-5D6E-409C-BE32-E72D297353CC}">
                <c16:uniqueId val="{00000009-D31C-49F5-B4C4-50F423457E86}"/>
              </c:ext>
            </c:extLst>
          </c:dPt>
          <c:dLbls>
            <c:dLbl>
              <c:idx val="0"/>
              <c:layout>
                <c:manualLayout>
                  <c:x val="-0.22961784727866513"/>
                  <c:y val="-2.1658162195900155E-2"/>
                </c:manualLayout>
              </c:layout>
              <c:showLegendKey val="0"/>
              <c:showVal val="1"/>
              <c:showCatName val="1"/>
              <c:showSerName val="0"/>
              <c:showPercent val="0"/>
              <c:showBubbleSize val="0"/>
              <c:extLst>
                <c:ext xmlns:c15="http://schemas.microsoft.com/office/drawing/2012/chart" uri="{CE6537A1-D6FC-4f65-9D91-7224C49458BB}">
                  <c15:layout>
                    <c:manualLayout>
                      <c:w val="0.31082699805913799"/>
                      <c:h val="0.24445483247632072"/>
                    </c:manualLayout>
                  </c15:layout>
                </c:ext>
                <c:ext xmlns:c16="http://schemas.microsoft.com/office/drawing/2014/chart" uri="{C3380CC4-5D6E-409C-BE32-E72D297353CC}">
                  <c16:uniqueId val="{00000001-C8E8-4D7C-8464-D48B623C2204}"/>
                </c:ext>
              </c:extLst>
            </c:dLbl>
            <c:dLbl>
              <c:idx val="1"/>
              <c:layout>
                <c:manualLayout>
                  <c:x val="-1.2741642677624171E-2"/>
                  <c:y val="3.130576526110529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E8-4D7C-8464-D48B623C2204}"/>
                </c:ext>
              </c:extLst>
            </c:dLbl>
            <c:dLbl>
              <c:idx val="2"/>
              <c:layout>
                <c:manualLayout>
                  <c:x val="-6.4057253414125742E-2"/>
                  <c:y val="-0.30687371860098911"/>
                </c:manualLayout>
              </c:layout>
              <c:showLegendKey val="0"/>
              <c:showVal val="1"/>
              <c:showCatName val="1"/>
              <c:showSerName val="0"/>
              <c:showPercent val="0"/>
              <c:showBubbleSize val="0"/>
              <c:extLst>
                <c:ext xmlns:c15="http://schemas.microsoft.com/office/drawing/2012/chart" uri="{CE6537A1-D6FC-4f65-9D91-7224C49458BB}">
                  <c15:layout>
                    <c:manualLayout>
                      <c:w val="0.25041457108933668"/>
                      <c:h val="0.18631744131109179"/>
                    </c:manualLayout>
                  </c15:layout>
                </c:ext>
                <c:ext xmlns:c16="http://schemas.microsoft.com/office/drawing/2014/chart" uri="{C3380CC4-5D6E-409C-BE32-E72D297353CC}">
                  <c16:uniqueId val="{00000005-C8E8-4D7C-8464-D48B623C2204}"/>
                </c:ext>
              </c:extLst>
            </c:dLbl>
            <c:dLbl>
              <c:idx val="3"/>
              <c:layout>
                <c:manualLayout>
                  <c:x val="-1.4446806820830171E-2"/>
                  <c:y val="-2.4928637949343333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1C-49F5-B4C4-50F423457E86}"/>
                </c:ext>
              </c:extLst>
            </c:dLbl>
            <c:dLbl>
              <c:idx val="4"/>
              <c:layout>
                <c:manualLayout>
                  <c:x val="-1.390366278285045E-2"/>
                  <c:y val="-3.988873464506699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1C-49F5-B4C4-50F423457E8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Summary!$E$62:$E$66</c:f>
              <c:strCache>
                <c:ptCount val="5"/>
                <c:pt idx="1">
                  <c:v>Non-trty mainstem</c:v>
                </c:pt>
                <c:pt idx="2">
                  <c:v>Treaty mainstem</c:v>
                </c:pt>
                <c:pt idx="3">
                  <c:v>Snake sport</c:v>
                </c:pt>
                <c:pt idx="4">
                  <c:v>Snake tribal</c:v>
                </c:pt>
              </c:strCache>
            </c:strRef>
          </c:cat>
          <c:val>
            <c:numRef>
              <c:f>Summary!$F$62:$F$66</c:f>
              <c:numCache>
                <c:formatCode>0%</c:formatCode>
                <c:ptCount val="5"/>
                <c:pt idx="1">
                  <c:v>1.7000000000000001E-2</c:v>
                </c:pt>
                <c:pt idx="2">
                  <c:v>0.10100000000000001</c:v>
                </c:pt>
                <c:pt idx="3">
                  <c:v>0.01</c:v>
                </c:pt>
                <c:pt idx="4">
                  <c:v>0.02</c:v>
                </c:pt>
              </c:numCache>
            </c:numRef>
          </c:val>
          <c:extLst>
            <c:ext xmlns:c16="http://schemas.microsoft.com/office/drawing/2014/chart" uri="{C3380CC4-5D6E-409C-BE32-E72D297353CC}">
              <c16:uniqueId val="{00000006-C8E8-4D7C-8464-D48B623C2204}"/>
            </c:ext>
          </c:extLst>
        </c:ser>
        <c:dLbls>
          <c:showLegendKey val="0"/>
          <c:showVal val="1"/>
          <c:showCatName val="0"/>
          <c:showSerName val="0"/>
          <c:showPercent val="0"/>
          <c:showBubbleSize val="0"/>
          <c:showLeaderLines val="0"/>
        </c:dLbls>
        <c:firstSliceAng val="287"/>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Hatchery Production by release area (smolts)</a:t>
            </a:r>
          </a:p>
        </c:rich>
      </c:tx>
      <c:layout>
        <c:manualLayout>
          <c:xMode val="edge"/>
          <c:yMode val="edge"/>
          <c:x val="0.13475207778658677"/>
          <c:y val="1.933968527783970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0252375634246497"/>
          <c:y val="0.13776449763527973"/>
          <c:w val="0.52386235343928478"/>
          <c:h val="0.70601816475222978"/>
        </c:manualLayout>
      </c:layout>
      <c:pieChart>
        <c:varyColors val="1"/>
        <c:ser>
          <c:idx val="0"/>
          <c:order val="0"/>
          <c:spPr>
            <a:ln w="3175">
              <a:solidFill>
                <a:schemeClr val="bg1"/>
              </a:solidFill>
            </a:ln>
          </c:spPr>
          <c:dPt>
            <c:idx val="0"/>
            <c:bubble3D val="0"/>
            <c:spPr>
              <a:solidFill>
                <a:schemeClr val="accent4">
                  <a:tint val="65000"/>
                </a:schemeClr>
              </a:solidFill>
              <a:ln w="3175">
                <a:solidFill>
                  <a:schemeClr val="bg1"/>
                </a:solidFill>
              </a:ln>
              <a:effectLst/>
            </c:spPr>
            <c:extLst>
              <c:ext xmlns:c16="http://schemas.microsoft.com/office/drawing/2014/chart" uri="{C3380CC4-5D6E-409C-BE32-E72D297353CC}">
                <c16:uniqueId val="{00000001-85E3-42DF-BC67-02C312017C7D}"/>
              </c:ext>
            </c:extLst>
          </c:dPt>
          <c:dPt>
            <c:idx val="1"/>
            <c:bubble3D val="0"/>
            <c:spPr>
              <a:solidFill>
                <a:schemeClr val="accent4">
                  <a:tint val="83000"/>
                </a:schemeClr>
              </a:solidFill>
              <a:ln w="3175">
                <a:solidFill>
                  <a:schemeClr val="bg1"/>
                </a:solidFill>
              </a:ln>
              <a:effectLst/>
            </c:spPr>
            <c:extLst>
              <c:ext xmlns:c16="http://schemas.microsoft.com/office/drawing/2014/chart" uri="{C3380CC4-5D6E-409C-BE32-E72D297353CC}">
                <c16:uniqueId val="{00000003-85E3-42DF-BC67-02C312017C7D}"/>
              </c:ext>
            </c:extLst>
          </c:dPt>
          <c:dPt>
            <c:idx val="2"/>
            <c:bubble3D val="0"/>
            <c:spPr>
              <a:solidFill>
                <a:schemeClr val="accent4">
                  <a:tint val="90000"/>
                </a:schemeClr>
              </a:solidFill>
              <a:ln w="3175">
                <a:solidFill>
                  <a:schemeClr val="bg1"/>
                </a:solidFill>
              </a:ln>
              <a:effectLst/>
            </c:spPr>
            <c:extLst>
              <c:ext xmlns:c16="http://schemas.microsoft.com/office/drawing/2014/chart" uri="{C3380CC4-5D6E-409C-BE32-E72D297353CC}">
                <c16:uniqueId val="{00000005-85E3-42DF-BC67-02C312017C7D}"/>
              </c:ext>
            </c:extLst>
          </c:dPt>
          <c:dPt>
            <c:idx val="3"/>
            <c:bubble3D val="0"/>
            <c:spPr>
              <a:solidFill>
                <a:schemeClr val="accent4">
                  <a:shade val="82000"/>
                </a:schemeClr>
              </a:solidFill>
              <a:ln w="3175">
                <a:solidFill>
                  <a:schemeClr val="bg1"/>
                </a:solidFill>
              </a:ln>
              <a:effectLst/>
            </c:spPr>
            <c:extLst>
              <c:ext xmlns:c16="http://schemas.microsoft.com/office/drawing/2014/chart" uri="{C3380CC4-5D6E-409C-BE32-E72D297353CC}">
                <c16:uniqueId val="{00000007-85E3-42DF-BC67-02C312017C7D}"/>
              </c:ext>
            </c:extLst>
          </c:dPt>
          <c:dPt>
            <c:idx val="4"/>
            <c:bubble3D val="0"/>
            <c:spPr>
              <a:solidFill>
                <a:schemeClr val="accent4">
                  <a:shade val="65000"/>
                </a:schemeClr>
              </a:solidFill>
              <a:ln w="3175">
                <a:solidFill>
                  <a:schemeClr val="bg1"/>
                </a:solidFill>
              </a:ln>
              <a:effectLst/>
            </c:spPr>
            <c:extLst>
              <c:ext xmlns:c16="http://schemas.microsoft.com/office/drawing/2014/chart" uri="{C3380CC4-5D6E-409C-BE32-E72D297353CC}">
                <c16:uniqueId val="{00000009-85E3-42DF-BC67-02C312017C7D}"/>
              </c:ext>
            </c:extLst>
          </c:dPt>
          <c:dPt>
            <c:idx val="5"/>
            <c:bubble3D val="0"/>
            <c:spPr>
              <a:solidFill>
                <a:schemeClr val="accent4">
                  <a:shade val="47000"/>
                </a:schemeClr>
              </a:solidFill>
              <a:ln w="3175">
                <a:solidFill>
                  <a:schemeClr val="bg1"/>
                </a:solidFill>
              </a:ln>
              <a:effectLst/>
            </c:spPr>
            <c:extLst>
              <c:ext xmlns:c16="http://schemas.microsoft.com/office/drawing/2014/chart" uri="{C3380CC4-5D6E-409C-BE32-E72D297353CC}">
                <c16:uniqueId val="{0000000B-85E3-42DF-BC67-02C312017C7D}"/>
              </c:ext>
            </c:extLst>
          </c:dPt>
          <c:dLbls>
            <c:dLbl>
              <c:idx val="0"/>
              <c:layout>
                <c:manualLayout>
                  <c:x val="6.2738541886575599E-2"/>
                  <c:y val="2.47337793353007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E3-42DF-BC67-02C312017C7D}"/>
                </c:ext>
              </c:extLst>
            </c:dLbl>
            <c:dLbl>
              <c:idx val="1"/>
              <c:layout>
                <c:manualLayout>
                  <c:x val="2.3838639909388028E-2"/>
                  <c:y val="8.5019993085554149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8872827758611669"/>
                      <c:h val="0.11111717015716407"/>
                    </c:manualLayout>
                  </c15:layout>
                </c:ext>
                <c:ext xmlns:c16="http://schemas.microsoft.com/office/drawing/2014/chart" uri="{C3380CC4-5D6E-409C-BE32-E72D297353CC}">
                  <c16:uniqueId val="{00000003-85E3-42DF-BC67-02C312017C7D}"/>
                </c:ext>
              </c:extLst>
            </c:dLbl>
            <c:dLbl>
              <c:idx val="2"/>
              <c:layout>
                <c:manualLayout>
                  <c:x val="-8.8539828008945567E-2"/>
                  <c:y val="4.147929054938738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E3-42DF-BC67-02C312017C7D}"/>
                </c:ext>
              </c:extLst>
            </c:dLbl>
            <c:dLbl>
              <c:idx val="3"/>
              <c:layout>
                <c:manualLayout>
                  <c:x val="-1.7322041137037215E-2"/>
                  <c:y val="-6.871361208750607E-4"/>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2172497036609923"/>
                      <c:h val="0.18512596884293572"/>
                    </c:manualLayout>
                  </c15:layout>
                </c:ext>
                <c:ext xmlns:c16="http://schemas.microsoft.com/office/drawing/2014/chart" uri="{C3380CC4-5D6E-409C-BE32-E72D297353CC}">
                  <c16:uniqueId val="{00000007-85E3-42DF-BC67-02C312017C7D}"/>
                </c:ext>
              </c:extLst>
            </c:dLbl>
            <c:dLbl>
              <c:idx val="4"/>
              <c:layout>
                <c:manualLayout>
                  <c:x val="-4.3805500928288069E-2"/>
                  <c:y val="-3.45892722313820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E3-42DF-BC67-02C312017C7D}"/>
                </c:ext>
              </c:extLst>
            </c:dLbl>
            <c:dLbl>
              <c:idx val="5"/>
              <c:layout>
                <c:manualLayout>
                  <c:x val="9.4465988181948721E-2"/>
                  <c:y val="4.065755442779742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E3-42DF-BC67-02C312017C7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Hatchery!$B$36:$B$41</c:f>
              <c:strCache>
                <c:ptCount val="6"/>
                <c:pt idx="0">
                  <c:v>Tucannon</c:v>
                </c:pt>
                <c:pt idx="1">
                  <c:v>Grande Ronde</c:v>
                </c:pt>
                <c:pt idx="2">
                  <c:v>Imnaha</c:v>
                </c:pt>
                <c:pt idx="3">
                  <c:v>Clearwater</c:v>
                </c:pt>
                <c:pt idx="4">
                  <c:v>Snake R</c:v>
                </c:pt>
                <c:pt idx="5">
                  <c:v>Salmon</c:v>
                </c:pt>
              </c:strCache>
            </c:strRef>
          </c:cat>
          <c:val>
            <c:numRef>
              <c:f>Hatchery!$G$36:$G$41</c:f>
              <c:numCache>
                <c:formatCode>#,##0</c:formatCode>
                <c:ptCount val="6"/>
                <c:pt idx="0">
                  <c:v>225500</c:v>
                </c:pt>
                <c:pt idx="1">
                  <c:v>900000</c:v>
                </c:pt>
                <c:pt idx="2">
                  <c:v>490000</c:v>
                </c:pt>
                <c:pt idx="3">
                  <c:v>5000000</c:v>
                </c:pt>
                <c:pt idx="4">
                  <c:v>350000</c:v>
                </c:pt>
                <c:pt idx="5">
                  <c:v>6900000</c:v>
                </c:pt>
              </c:numCache>
            </c:numRef>
          </c:val>
          <c:extLst>
            <c:ext xmlns:c16="http://schemas.microsoft.com/office/drawing/2014/chart" uri="{C3380CC4-5D6E-409C-BE32-E72D297353CC}">
              <c16:uniqueId val="{00000038-85E3-42DF-BC67-02C312017C7D}"/>
            </c:ext>
          </c:extLst>
        </c:ser>
        <c:dLbls>
          <c:dLblPos val="outEnd"/>
          <c:showLegendKey val="0"/>
          <c:showVal val="1"/>
          <c:showCatName val="0"/>
          <c:showSerName val="0"/>
          <c:showPercent val="0"/>
          <c:showBubbleSize val="0"/>
          <c:showLeaderLines val="1"/>
        </c:dLbls>
        <c:firstSliceAng val="12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mn-lt"/>
                <a:ea typeface="+mn-ea"/>
                <a:cs typeface="+mn-cs"/>
              </a:defRPr>
            </a:pPr>
            <a:r>
              <a:rPr lang="en-US"/>
              <a:t>Natural Production</a:t>
            </a:r>
          </a:p>
        </c:rich>
      </c:tx>
      <c:layout>
        <c:manualLayout>
          <c:xMode val="edge"/>
          <c:yMode val="edge"/>
          <c:x val="0.54241807364571881"/>
          <c:y val="0.12869615701898779"/>
        </c:manualLayout>
      </c:layout>
      <c:overlay val="0"/>
      <c:spPr>
        <a:solidFill>
          <a:schemeClr val="bg1"/>
        </a:solidFill>
        <a:ln>
          <a:noFill/>
        </a:ln>
        <a:effectLst/>
      </c:spPr>
      <c:txPr>
        <a:bodyPr rot="0" spcFirstLastPara="1" vertOverflow="ellipsis" vert="horz" wrap="square" anchor="ctr" anchorCtr="1"/>
        <a:lstStyle/>
        <a:p>
          <a:pPr>
            <a:defRPr sz="168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3843751134630164"/>
          <c:y val="2.6478946409394535E-2"/>
          <c:w val="0.53008530970393031"/>
          <c:h val="0.83823491782877213"/>
        </c:manualLayout>
      </c:layout>
      <c:barChart>
        <c:barDir val="bar"/>
        <c:grouping val="clustered"/>
        <c:varyColors val="0"/>
        <c:ser>
          <c:idx val="0"/>
          <c:order val="0"/>
          <c:spPr>
            <a:solidFill>
              <a:srgbClr val="A6880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Summary!$D$31:$D$35</c:f>
              <c:strCache>
                <c:ptCount val="5"/>
                <c:pt idx="0">
                  <c:v>Current</c:v>
                </c:pt>
                <c:pt idx="1">
                  <c:v>Low goal</c:v>
                </c:pt>
                <c:pt idx="2">
                  <c:v>Med goal</c:v>
                </c:pt>
                <c:pt idx="3">
                  <c:v>High goal</c:v>
                </c:pt>
                <c:pt idx="4">
                  <c:v>Historical</c:v>
                </c:pt>
              </c:strCache>
            </c:strRef>
          </c:cat>
          <c:val>
            <c:numRef>
              <c:f>Summary!$E$31:$E$35</c:f>
              <c:numCache>
                <c:formatCode>#,##0</c:formatCode>
                <c:ptCount val="5"/>
                <c:pt idx="0">
                  <c:v>6988</c:v>
                </c:pt>
                <c:pt idx="1">
                  <c:v>33500</c:v>
                </c:pt>
                <c:pt idx="2">
                  <c:v>98750</c:v>
                </c:pt>
                <c:pt idx="3">
                  <c:v>159500</c:v>
                </c:pt>
                <c:pt idx="4">
                  <c:v>1000000</c:v>
                </c:pt>
              </c:numCache>
            </c:numRef>
          </c:val>
          <c:extLst>
            <c:ext xmlns:c16="http://schemas.microsoft.com/office/drawing/2014/chart" uri="{C3380CC4-5D6E-409C-BE32-E72D297353CC}">
              <c16:uniqueId val="{00000001-3371-4E86-9BB7-9BD37B960FF9}"/>
            </c:ext>
          </c:extLst>
        </c:ser>
        <c:dLbls>
          <c:showLegendKey val="0"/>
          <c:showVal val="0"/>
          <c:showCatName val="0"/>
          <c:showSerName val="0"/>
          <c:showPercent val="0"/>
          <c:showBubbleSize val="0"/>
        </c:dLbls>
        <c:gapWidth val="10"/>
        <c:axId val="322235536"/>
        <c:axId val="322235144"/>
      </c:barChart>
      <c:catAx>
        <c:axId val="322235536"/>
        <c:scaling>
          <c:orientation val="maxMin"/>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322235144"/>
        <c:crosses val="autoZero"/>
        <c:auto val="1"/>
        <c:lblAlgn val="ctr"/>
        <c:lblOffset val="100"/>
        <c:noMultiLvlLbl val="0"/>
      </c:catAx>
      <c:valAx>
        <c:axId val="322235144"/>
        <c:scaling>
          <c:orientation val="minMax"/>
          <c:max val="1000000"/>
          <c:min val="0"/>
        </c:scaling>
        <c:delete val="0"/>
        <c:axPos val="b"/>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322235536"/>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b="1">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2245685716595"/>
          <c:y val="0.14475416094945903"/>
          <c:w val="0.85597913351554933"/>
          <c:h val="0.76384021279086567"/>
        </c:manualLayout>
      </c:layout>
      <c:barChart>
        <c:barDir val="col"/>
        <c:grouping val="clustered"/>
        <c:varyColors val="0"/>
        <c:ser>
          <c:idx val="0"/>
          <c:order val="0"/>
          <c:tx>
            <c:v>Natural origin</c:v>
          </c:tx>
          <c:spPr>
            <a:solidFill>
              <a:srgbClr val="7A6300"/>
            </a:solidFill>
            <a:ln>
              <a:solidFill>
                <a:schemeClr val="tx1"/>
              </a:solidFill>
            </a:ln>
            <a:effectLst/>
          </c:spPr>
          <c:invertIfNegative val="0"/>
          <c:cat>
            <c:numRef>
              <c:f>Run!$A$21:$A$77</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Run!$AM$21:$AM$77</c:f>
              <c:numCache>
                <c:formatCode>#,##0</c:formatCode>
                <c:ptCount val="57"/>
                <c:pt idx="0">
                  <c:v>58566</c:v>
                </c:pt>
                <c:pt idx="1">
                  <c:v>43514</c:v>
                </c:pt>
                <c:pt idx="2">
                  <c:v>44700</c:v>
                </c:pt>
                <c:pt idx="3">
                  <c:v>21900</c:v>
                </c:pt>
                <c:pt idx="4">
                  <c:v>54500</c:v>
                </c:pt>
                <c:pt idx="5">
                  <c:v>57700</c:v>
                </c:pt>
                <c:pt idx="6">
                  <c:v>57500</c:v>
                </c:pt>
                <c:pt idx="7">
                  <c:v>63700</c:v>
                </c:pt>
                <c:pt idx="8">
                  <c:v>46300</c:v>
                </c:pt>
                <c:pt idx="9">
                  <c:v>39000</c:v>
                </c:pt>
                <c:pt idx="10">
                  <c:v>41700</c:v>
                </c:pt>
                <c:pt idx="11">
                  <c:v>42300</c:v>
                </c:pt>
                <c:pt idx="12">
                  <c:v>18700</c:v>
                </c:pt>
                <c:pt idx="13">
                  <c:v>17800</c:v>
                </c:pt>
                <c:pt idx="14">
                  <c:v>14500</c:v>
                </c:pt>
                <c:pt idx="15">
                  <c:v>30800</c:v>
                </c:pt>
                <c:pt idx="16">
                  <c:v>42600</c:v>
                </c:pt>
                <c:pt idx="17">
                  <c:v>5761</c:v>
                </c:pt>
                <c:pt idx="18">
                  <c:v>6134</c:v>
                </c:pt>
                <c:pt idx="19">
                  <c:v>11292</c:v>
                </c:pt>
                <c:pt idx="20">
                  <c:v>11300</c:v>
                </c:pt>
                <c:pt idx="21">
                  <c:v>9838</c:v>
                </c:pt>
                <c:pt idx="22">
                  <c:v>7929</c:v>
                </c:pt>
                <c:pt idx="23">
                  <c:v>10182</c:v>
                </c:pt>
                <c:pt idx="24">
                  <c:v>10109</c:v>
                </c:pt>
                <c:pt idx="25">
                  <c:v>9622</c:v>
                </c:pt>
                <c:pt idx="26">
                  <c:v>10826</c:v>
                </c:pt>
                <c:pt idx="27">
                  <c:v>6454</c:v>
                </c:pt>
                <c:pt idx="28">
                  <c:v>9342</c:v>
                </c:pt>
                <c:pt idx="29">
                  <c:v>5756</c:v>
                </c:pt>
                <c:pt idx="30">
                  <c:v>12673</c:v>
                </c:pt>
                <c:pt idx="31">
                  <c:v>12522</c:v>
                </c:pt>
                <c:pt idx="32">
                  <c:v>1856</c:v>
                </c:pt>
                <c:pt idx="33">
                  <c:v>1167</c:v>
                </c:pt>
                <c:pt idx="34">
                  <c:v>3643</c:v>
                </c:pt>
                <c:pt idx="35">
                  <c:v>4272</c:v>
                </c:pt>
                <c:pt idx="36">
                  <c:v>7306</c:v>
                </c:pt>
                <c:pt idx="37">
                  <c:v>2953</c:v>
                </c:pt>
                <c:pt idx="38">
                  <c:v>8491</c:v>
                </c:pt>
                <c:pt idx="39">
                  <c:v>45381</c:v>
                </c:pt>
                <c:pt idx="40">
                  <c:v>31008</c:v>
                </c:pt>
                <c:pt idx="41">
                  <c:v>33121</c:v>
                </c:pt>
                <c:pt idx="42">
                  <c:v>21305</c:v>
                </c:pt>
                <c:pt idx="43">
                  <c:v>8691</c:v>
                </c:pt>
                <c:pt idx="44">
                  <c:v>8775</c:v>
                </c:pt>
                <c:pt idx="45">
                  <c:v>7694</c:v>
                </c:pt>
                <c:pt idx="46">
                  <c:v>14019</c:v>
                </c:pt>
                <c:pt idx="47">
                  <c:v>12963</c:v>
                </c:pt>
                <c:pt idx="48">
                  <c:v>26282</c:v>
                </c:pt>
                <c:pt idx="49">
                  <c:v>22409</c:v>
                </c:pt>
                <c:pt idx="50">
                  <c:v>20297</c:v>
                </c:pt>
                <c:pt idx="51">
                  <c:v>12407</c:v>
                </c:pt>
                <c:pt idx="52">
                  <c:v>26350</c:v>
                </c:pt>
                <c:pt idx="53">
                  <c:v>21499</c:v>
                </c:pt>
                <c:pt idx="54">
                  <c:v>15939</c:v>
                </c:pt>
                <c:pt idx="55">
                  <c:v>4106</c:v>
                </c:pt>
              </c:numCache>
            </c:numRef>
          </c:val>
          <c:extLst>
            <c:ext xmlns:c16="http://schemas.microsoft.com/office/drawing/2014/chart" uri="{C3380CC4-5D6E-409C-BE32-E72D297353CC}">
              <c16:uniqueId val="{00000000-7215-4208-936C-D64D824A5EFB}"/>
            </c:ext>
          </c:extLst>
        </c:ser>
        <c:ser>
          <c:idx val="1"/>
          <c:order val="1"/>
          <c:tx>
            <c:v>Hatchery origin</c:v>
          </c:tx>
          <c:spPr>
            <a:solidFill>
              <a:srgbClr val="F2C400"/>
            </a:solidFill>
            <a:ln>
              <a:solidFill>
                <a:schemeClr val="tx1"/>
              </a:solidFill>
            </a:ln>
            <a:effectLst/>
          </c:spPr>
          <c:invertIfNegative val="0"/>
          <c:cat>
            <c:numRef>
              <c:f>Run!$A$21:$A$77</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Run!$AN$21:$AN$77</c:f>
              <c:numCache>
                <c:formatCode>#,##0</c:formatCode>
                <c:ptCount val="57"/>
                <c:pt idx="0">
                  <c:v>0</c:v>
                </c:pt>
                <c:pt idx="1">
                  <c:v>0</c:v>
                </c:pt>
                <c:pt idx="2">
                  <c:v>0</c:v>
                </c:pt>
                <c:pt idx="3">
                  <c:v>0</c:v>
                </c:pt>
                <c:pt idx="4">
                  <c:v>0</c:v>
                </c:pt>
                <c:pt idx="5">
                  <c:v>0</c:v>
                </c:pt>
                <c:pt idx="6">
                  <c:v>5500</c:v>
                </c:pt>
                <c:pt idx="7">
                  <c:v>4600</c:v>
                </c:pt>
                <c:pt idx="8">
                  <c:v>8100</c:v>
                </c:pt>
                <c:pt idx="9">
                  <c:v>4200</c:v>
                </c:pt>
                <c:pt idx="10">
                  <c:v>15400</c:v>
                </c:pt>
                <c:pt idx="11">
                  <c:v>21400</c:v>
                </c:pt>
                <c:pt idx="12">
                  <c:v>4400</c:v>
                </c:pt>
                <c:pt idx="13">
                  <c:v>5900</c:v>
                </c:pt>
                <c:pt idx="14">
                  <c:v>8400</c:v>
                </c:pt>
                <c:pt idx="15">
                  <c:v>13100</c:v>
                </c:pt>
                <c:pt idx="16">
                  <c:v>9700</c:v>
                </c:pt>
                <c:pt idx="17">
                  <c:v>3792</c:v>
                </c:pt>
                <c:pt idx="18">
                  <c:v>2014</c:v>
                </c:pt>
                <c:pt idx="19">
                  <c:v>5129</c:v>
                </c:pt>
                <c:pt idx="20">
                  <c:v>5277</c:v>
                </c:pt>
                <c:pt idx="21">
                  <c:v>3574</c:v>
                </c:pt>
                <c:pt idx="22">
                  <c:v>4011</c:v>
                </c:pt>
                <c:pt idx="23">
                  <c:v>20087</c:v>
                </c:pt>
                <c:pt idx="24">
                  <c:v>27767</c:v>
                </c:pt>
                <c:pt idx="25">
                  <c:v>25104</c:v>
                </c:pt>
                <c:pt idx="26">
                  <c:v>24814</c:v>
                </c:pt>
                <c:pt idx="27">
                  <c:v>9670</c:v>
                </c:pt>
                <c:pt idx="28">
                  <c:v>13066</c:v>
                </c:pt>
                <c:pt idx="29">
                  <c:v>4676</c:v>
                </c:pt>
                <c:pt idx="30">
                  <c:v>11732</c:v>
                </c:pt>
                <c:pt idx="31">
                  <c:v>16402</c:v>
                </c:pt>
                <c:pt idx="32">
                  <c:v>2059</c:v>
                </c:pt>
                <c:pt idx="33">
                  <c:v>630</c:v>
                </c:pt>
                <c:pt idx="34">
                  <c:v>3179</c:v>
                </c:pt>
                <c:pt idx="35">
                  <c:v>40292</c:v>
                </c:pt>
                <c:pt idx="36">
                  <c:v>6903</c:v>
                </c:pt>
                <c:pt idx="37">
                  <c:v>3787</c:v>
                </c:pt>
                <c:pt idx="38">
                  <c:v>30177</c:v>
                </c:pt>
                <c:pt idx="39">
                  <c:v>140653</c:v>
                </c:pt>
                <c:pt idx="40">
                  <c:v>66950</c:v>
                </c:pt>
                <c:pt idx="41">
                  <c:v>54086</c:v>
                </c:pt>
                <c:pt idx="42">
                  <c:v>57923</c:v>
                </c:pt>
                <c:pt idx="43">
                  <c:v>25118</c:v>
                </c:pt>
                <c:pt idx="44">
                  <c:v>21312</c:v>
                </c:pt>
                <c:pt idx="45">
                  <c:v>21034</c:v>
                </c:pt>
                <c:pt idx="46">
                  <c:v>53027</c:v>
                </c:pt>
                <c:pt idx="47">
                  <c:v>45477</c:v>
                </c:pt>
                <c:pt idx="48">
                  <c:v>97273</c:v>
                </c:pt>
                <c:pt idx="49">
                  <c:v>69636</c:v>
                </c:pt>
                <c:pt idx="50">
                  <c:v>59221</c:v>
                </c:pt>
                <c:pt idx="51">
                  <c:v>30556</c:v>
                </c:pt>
                <c:pt idx="52">
                  <c:v>65415</c:v>
                </c:pt>
                <c:pt idx="53">
                  <c:v>96163</c:v>
                </c:pt>
                <c:pt idx="54">
                  <c:v>58187</c:v>
                </c:pt>
                <c:pt idx="55">
                  <c:v>30179</c:v>
                </c:pt>
              </c:numCache>
            </c:numRef>
          </c:val>
          <c:extLst>
            <c:ext xmlns:c16="http://schemas.microsoft.com/office/drawing/2014/chart" uri="{C3380CC4-5D6E-409C-BE32-E72D297353CC}">
              <c16:uniqueId val="{00000001-7215-4208-936C-D64D824A5EFB}"/>
            </c:ext>
          </c:extLst>
        </c:ser>
        <c:dLbls>
          <c:showLegendKey val="0"/>
          <c:showVal val="0"/>
          <c:showCatName val="0"/>
          <c:showSerName val="0"/>
          <c:showPercent val="0"/>
          <c:showBubbleSize val="0"/>
        </c:dLbls>
        <c:gapWidth val="0"/>
        <c:overlap val="-27"/>
        <c:axId val="691777152"/>
        <c:axId val="691779448"/>
      </c:barChart>
      <c:catAx>
        <c:axId val="6917771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691779448"/>
        <c:crosses val="autoZero"/>
        <c:auto val="1"/>
        <c:lblAlgn val="ctr"/>
        <c:lblOffset val="100"/>
        <c:tickLblSkip val="5"/>
        <c:tickMarkSkip val="5"/>
        <c:noMultiLvlLbl val="0"/>
      </c:catAx>
      <c:valAx>
        <c:axId val="691779448"/>
        <c:scaling>
          <c:orientation val="minMax"/>
          <c:max val="150000"/>
          <c:min val="0"/>
        </c:scaling>
        <c:delete val="0"/>
        <c:axPos val="l"/>
        <c:title>
          <c:tx>
            <c:rich>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b="1">
                    <a:solidFill>
                      <a:schemeClr val="tx1"/>
                    </a:solidFill>
                  </a:rPr>
                  <a:t>Upermost Snake R. Dam Count (adults)</a:t>
                </a:r>
              </a:p>
            </c:rich>
          </c:tx>
          <c:layout>
            <c:manualLayout>
              <c:xMode val="edge"/>
              <c:yMode val="edge"/>
              <c:x val="6.4344815856086594E-3"/>
              <c:y val="8.9184436389521921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691777152"/>
        <c:crosses val="autoZero"/>
        <c:crossBetween val="between"/>
      </c:valAx>
      <c:spPr>
        <a:noFill/>
        <a:ln>
          <a:noFill/>
        </a:ln>
        <a:effectLst/>
      </c:spPr>
    </c:plotArea>
    <c:legend>
      <c:legendPos val="r"/>
      <c:layout>
        <c:manualLayout>
          <c:xMode val="edge"/>
          <c:yMode val="edge"/>
          <c:x val="0.12802399223604033"/>
          <c:y val="8.4561721039196777E-2"/>
          <c:w val="0.15551242019599376"/>
          <c:h val="0.13694430587210399"/>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73087622151968"/>
          <c:y val="5.0539857569492301E-2"/>
          <c:w val="0.78751960867734427"/>
          <c:h val="0.78679849718991879"/>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3579532799664602"/>
                  <c:y val="-0.10237706819796696"/>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pHOS!$D$9:$D$39</c:f>
              <c:numCache>
                <c:formatCode>0.000</c:formatCode>
                <c:ptCount val="31"/>
                <c:pt idx="0">
                  <c:v>0</c:v>
                </c:pt>
                <c:pt idx="1">
                  <c:v>0</c:v>
                </c:pt>
                <c:pt idx="2">
                  <c:v>0</c:v>
                </c:pt>
                <c:pt idx="3">
                  <c:v>0</c:v>
                </c:pt>
                <c:pt idx="4">
                  <c:v>0.50289000000000006</c:v>
                </c:pt>
                <c:pt idx="5">
                  <c:v>0</c:v>
                </c:pt>
                <c:pt idx="6">
                  <c:v>0</c:v>
                </c:pt>
                <c:pt idx="7">
                  <c:v>0.39733333333333337</c:v>
                </c:pt>
                <c:pt idx="8">
                  <c:v>0.69446000000000008</c:v>
                </c:pt>
                <c:pt idx="9">
                  <c:v>0.56806000000000012</c:v>
                </c:pt>
                <c:pt idx="10">
                  <c:v>0</c:v>
                </c:pt>
                <c:pt idx="11">
                  <c:v>0</c:v>
                </c:pt>
                <c:pt idx="12">
                  <c:v>0</c:v>
                </c:pt>
                <c:pt idx="13">
                  <c:v>0</c:v>
                </c:pt>
                <c:pt idx="14">
                  <c:v>0</c:v>
                </c:pt>
                <c:pt idx="15">
                  <c:v>0</c:v>
                </c:pt>
                <c:pt idx="16">
                  <c:v>0</c:v>
                </c:pt>
                <c:pt idx="17">
                  <c:v>8.6353505555555557E-2</c:v>
                </c:pt>
                <c:pt idx="18">
                  <c:v>0</c:v>
                </c:pt>
                <c:pt idx="19">
                  <c:v>0.26619999999999999</c:v>
                </c:pt>
                <c:pt idx="20">
                  <c:v>0</c:v>
                </c:pt>
                <c:pt idx="21">
                  <c:v>0</c:v>
                </c:pt>
                <c:pt idx="22">
                  <c:v>0.46799999999999997</c:v>
                </c:pt>
                <c:pt idx="23">
                  <c:v>2.9111111111111112E-2</c:v>
                </c:pt>
                <c:pt idx="24">
                  <c:v>0.45389999999999997</c:v>
                </c:pt>
                <c:pt idx="25">
                  <c:v>0</c:v>
                </c:pt>
                <c:pt idx="26">
                  <c:v>0.52429999999999999</c:v>
                </c:pt>
                <c:pt idx="27">
                  <c:v>0</c:v>
                </c:pt>
                <c:pt idx="28">
                  <c:v>0.53400000000000003</c:v>
                </c:pt>
                <c:pt idx="29">
                  <c:v>0.236231475</c:v>
                </c:pt>
                <c:pt idx="30">
                  <c:v>0.34110000000000007</c:v>
                </c:pt>
              </c:numCache>
            </c:numRef>
          </c:xVal>
          <c:yVal>
            <c:numRef>
              <c:f>pHOS!$F$9:$F$39</c:f>
              <c:numCache>
                <c:formatCode>0</c:formatCode>
                <c:ptCount val="31"/>
                <c:pt idx="0">
                  <c:v>637.29999999999995</c:v>
                </c:pt>
                <c:pt idx="1">
                  <c:v>582.9</c:v>
                </c:pt>
                <c:pt idx="2">
                  <c:v>94.444444444444443</c:v>
                </c:pt>
                <c:pt idx="3">
                  <c:v>50.7</c:v>
                </c:pt>
                <c:pt idx="4">
                  <c:v>758.58461909838877</c:v>
                </c:pt>
                <c:pt idx="5">
                  <c:v>307.60000000000002</c:v>
                </c:pt>
                <c:pt idx="6">
                  <c:v>453.6</c:v>
                </c:pt>
                <c:pt idx="7">
                  <c:v>965.89233038348073</c:v>
                </c:pt>
                <c:pt idx="8">
                  <c:v>488.31576880277549</c:v>
                </c:pt>
                <c:pt idx="9">
                  <c:v>1764.1339074871514</c:v>
                </c:pt>
                <c:pt idx="10">
                  <c:v>356.6</c:v>
                </c:pt>
                <c:pt idx="11">
                  <c:v>35.166666666666664</c:v>
                </c:pt>
                <c:pt idx="12">
                  <c:v>164.2</c:v>
                </c:pt>
                <c:pt idx="13">
                  <c:v>59.8</c:v>
                </c:pt>
                <c:pt idx="14">
                  <c:v>429</c:v>
                </c:pt>
                <c:pt idx="15">
                  <c:v>5.2</c:v>
                </c:pt>
                <c:pt idx="16">
                  <c:v>89.6</c:v>
                </c:pt>
                <c:pt idx="17">
                  <c:v>639.44011800479427</c:v>
                </c:pt>
                <c:pt idx="18">
                  <c:v>106.7</c:v>
                </c:pt>
                <c:pt idx="19">
                  <c:v>382.66557645134912</c:v>
                </c:pt>
                <c:pt idx="20">
                  <c:v>115.5</c:v>
                </c:pt>
                <c:pt idx="21">
                  <c:v>320.7</c:v>
                </c:pt>
                <c:pt idx="22">
                  <c:v>888.53383458646613</c:v>
                </c:pt>
                <c:pt idx="23">
                  <c:v>827.99267566948959</c:v>
                </c:pt>
                <c:pt idx="24">
                  <c:v>1090.2765061344076</c:v>
                </c:pt>
                <c:pt idx="25">
                  <c:v>89.5</c:v>
                </c:pt>
                <c:pt idx="26">
                  <c:v>439.56274963212104</c:v>
                </c:pt>
                <c:pt idx="27">
                  <c:v>338.5</c:v>
                </c:pt>
                <c:pt idx="28">
                  <c:v>1553.6480686695279</c:v>
                </c:pt>
                <c:pt idx="29">
                  <c:v>595.46837178188241</c:v>
                </c:pt>
                <c:pt idx="30">
                  <c:v>247.68553650022767</c:v>
                </c:pt>
              </c:numCache>
            </c:numRef>
          </c:yVal>
          <c:smooth val="0"/>
          <c:extLst>
            <c:ext xmlns:c16="http://schemas.microsoft.com/office/drawing/2014/chart" uri="{C3380CC4-5D6E-409C-BE32-E72D297353CC}">
              <c16:uniqueId val="{00000000-06A4-48D3-B0E7-B182C8989119}"/>
            </c:ext>
          </c:extLst>
        </c:ser>
        <c:dLbls>
          <c:showLegendKey val="0"/>
          <c:showVal val="0"/>
          <c:showCatName val="0"/>
          <c:showSerName val="0"/>
          <c:showPercent val="0"/>
          <c:showBubbleSize val="0"/>
        </c:dLbls>
        <c:axId val="488268656"/>
        <c:axId val="488262752"/>
      </c:scatterChart>
      <c:valAx>
        <c:axId val="488268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pHOS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488262752"/>
        <c:crosses val="autoZero"/>
        <c:crossBetween val="midCat"/>
      </c:valAx>
      <c:valAx>
        <c:axId val="488262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Total spawners</a:t>
                </a:r>
              </a:p>
            </c:rich>
          </c:tx>
          <c:layout>
            <c:manualLayout>
              <c:xMode val="edge"/>
              <c:yMode val="edge"/>
              <c:x val="7.8146221738921579E-3"/>
              <c:y val="0.3768002929191862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4882686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pHOS!$C$42:$C$51</c:f>
              <c:strCache>
                <c:ptCount val="10"/>
                <c:pt idx="0">
                  <c:v>&lt;.1</c:v>
                </c:pt>
                <c:pt idx="1">
                  <c:v>&lt;.2</c:v>
                </c:pt>
                <c:pt idx="2">
                  <c:v>&lt;.3</c:v>
                </c:pt>
                <c:pt idx="3">
                  <c:v>&lt;.4</c:v>
                </c:pt>
                <c:pt idx="4">
                  <c:v>&lt;.5</c:v>
                </c:pt>
                <c:pt idx="5">
                  <c:v>&lt;.6</c:v>
                </c:pt>
                <c:pt idx="6">
                  <c:v>&lt;.7</c:v>
                </c:pt>
                <c:pt idx="7">
                  <c:v>&lt;.8</c:v>
                </c:pt>
                <c:pt idx="8">
                  <c:v>&lt;.9</c:v>
                </c:pt>
                <c:pt idx="9">
                  <c:v>&lt;.1</c:v>
                </c:pt>
              </c:strCache>
            </c:strRef>
          </c:cat>
          <c:val>
            <c:numRef>
              <c:f>pHOS!$E$42:$E$51</c:f>
              <c:numCache>
                <c:formatCode>General</c:formatCode>
                <c:ptCount val="10"/>
                <c:pt idx="0">
                  <c:v>20</c:v>
                </c:pt>
                <c:pt idx="1">
                  <c:v>0</c:v>
                </c:pt>
                <c:pt idx="2">
                  <c:v>2</c:v>
                </c:pt>
                <c:pt idx="3">
                  <c:v>2</c:v>
                </c:pt>
                <c:pt idx="4">
                  <c:v>2</c:v>
                </c:pt>
                <c:pt idx="5">
                  <c:v>4</c:v>
                </c:pt>
                <c:pt idx="6">
                  <c:v>1</c:v>
                </c:pt>
                <c:pt idx="7">
                  <c:v>0</c:v>
                </c:pt>
                <c:pt idx="8">
                  <c:v>0</c:v>
                </c:pt>
                <c:pt idx="9">
                  <c:v>0</c:v>
                </c:pt>
              </c:numCache>
            </c:numRef>
          </c:val>
          <c:extLst>
            <c:ext xmlns:c16="http://schemas.microsoft.com/office/drawing/2014/chart" uri="{C3380CC4-5D6E-409C-BE32-E72D297353CC}">
              <c16:uniqueId val="{00000000-C228-468F-AA11-E9AD15AA1531}"/>
            </c:ext>
          </c:extLst>
        </c:ser>
        <c:dLbls>
          <c:showLegendKey val="0"/>
          <c:showVal val="0"/>
          <c:showCatName val="0"/>
          <c:showSerName val="0"/>
          <c:showPercent val="0"/>
          <c:showBubbleSize val="0"/>
        </c:dLbls>
        <c:gapWidth val="219"/>
        <c:overlap val="-27"/>
        <c:axId val="592100296"/>
        <c:axId val="592100624"/>
      </c:barChart>
      <c:catAx>
        <c:axId val="592100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100624"/>
        <c:crosses val="autoZero"/>
        <c:auto val="1"/>
        <c:lblAlgn val="ctr"/>
        <c:lblOffset val="100"/>
        <c:noMultiLvlLbl val="0"/>
      </c:catAx>
      <c:valAx>
        <c:axId val="592100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2100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Fishery Distribution </a:t>
            </a:r>
          </a:p>
          <a:p>
            <a:pPr>
              <a:defRPr b="1">
                <a:solidFill>
                  <a:schemeClr val="tx1"/>
                </a:solidFill>
              </a:defRPr>
            </a:pPr>
            <a:r>
              <a:rPr lang="en-US" b="1">
                <a:solidFill>
                  <a:schemeClr val="tx1"/>
                </a:solidFill>
              </a:rPr>
              <a:t>Hatchery &amp; Wild Combined</a:t>
            </a:r>
          </a:p>
          <a:p>
            <a:pPr>
              <a:defRPr b="1">
                <a:solidFill>
                  <a:schemeClr val="tx1"/>
                </a:solidFill>
              </a:defRPr>
            </a:pPr>
            <a:r>
              <a:rPr lang="en-US" b="1">
                <a:solidFill>
                  <a:schemeClr val="tx1"/>
                </a:solidFill>
              </a:rPr>
              <a:t>2007-2016 avg.</a:t>
            </a:r>
          </a:p>
        </c:rich>
      </c:tx>
      <c:layout>
        <c:manualLayout>
          <c:xMode val="edge"/>
          <c:yMode val="edge"/>
          <c:x val="1.5020778652668416E-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42815288713910765"/>
          <c:y val="8.9212962962962952E-2"/>
          <c:w val="0.52147222222222223"/>
          <c:h val="0.86912037037037038"/>
        </c:manualLayout>
      </c:layout>
      <c:pieChart>
        <c:varyColors val="1"/>
        <c:ser>
          <c:idx val="0"/>
          <c:order val="0"/>
          <c:spPr>
            <a:ln w="12700">
              <a:solidFill>
                <a:schemeClr val="tx1"/>
              </a:solidFill>
            </a:ln>
          </c:spPr>
          <c:dPt>
            <c:idx val="0"/>
            <c:bubble3D val="0"/>
            <c:spPr>
              <a:solidFill>
                <a:schemeClr val="accent1"/>
              </a:solidFill>
              <a:ln w="12700">
                <a:solidFill>
                  <a:schemeClr val="tx1"/>
                </a:solidFill>
              </a:ln>
              <a:effectLst/>
            </c:spPr>
            <c:extLst>
              <c:ext xmlns:c16="http://schemas.microsoft.com/office/drawing/2014/chart" uri="{C3380CC4-5D6E-409C-BE32-E72D297353CC}">
                <c16:uniqueId val="{00000001-5089-44DB-9589-BC260B00CF9A}"/>
              </c:ext>
            </c:extLst>
          </c:dPt>
          <c:dPt>
            <c:idx val="1"/>
            <c:bubble3D val="0"/>
            <c:spPr>
              <a:solidFill>
                <a:schemeClr val="accent1">
                  <a:lumMod val="20000"/>
                  <a:lumOff val="80000"/>
                </a:schemeClr>
              </a:solidFill>
              <a:ln w="12700">
                <a:solidFill>
                  <a:schemeClr val="tx1"/>
                </a:solidFill>
              </a:ln>
              <a:effectLst/>
            </c:spPr>
            <c:extLst>
              <c:ext xmlns:c16="http://schemas.microsoft.com/office/drawing/2014/chart" uri="{C3380CC4-5D6E-409C-BE32-E72D297353CC}">
                <c16:uniqueId val="{00000003-5089-44DB-9589-BC260B00CF9A}"/>
              </c:ext>
            </c:extLst>
          </c:dPt>
          <c:dPt>
            <c:idx val="2"/>
            <c:bubble3D val="0"/>
            <c:spPr>
              <a:solidFill>
                <a:schemeClr val="accent6">
                  <a:lumMod val="60000"/>
                  <a:lumOff val="40000"/>
                </a:schemeClr>
              </a:solidFill>
              <a:ln w="12700">
                <a:solidFill>
                  <a:schemeClr val="tx1"/>
                </a:solidFill>
              </a:ln>
              <a:effectLst/>
            </c:spPr>
            <c:extLst>
              <c:ext xmlns:c16="http://schemas.microsoft.com/office/drawing/2014/chart" uri="{C3380CC4-5D6E-409C-BE32-E72D297353CC}">
                <c16:uniqueId val="{00000005-5089-44DB-9589-BC260B00CF9A}"/>
              </c:ext>
            </c:extLst>
          </c:dPt>
          <c:dLbls>
            <c:dLbl>
              <c:idx val="0"/>
              <c:layout>
                <c:manualLayout>
                  <c:x val="-0.10101246719160105"/>
                  <c:y val="5.762248468941382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89-44DB-9589-BC260B00CF9A}"/>
                </c:ext>
              </c:extLst>
            </c:dLbl>
            <c:dLbl>
              <c:idx val="1"/>
              <c:layout>
                <c:manualLayout>
                  <c:x val="8.1979221347331488E-2"/>
                  <c:y val="0.2439818460192476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89-44DB-9589-BC260B00CF9A}"/>
                </c:ext>
              </c:extLst>
            </c:dLbl>
            <c:dLbl>
              <c:idx val="2"/>
              <c:layout>
                <c:manualLayout>
                  <c:x val="-0.15318700787401573"/>
                  <c:y val="-0.2489873140857392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89-44DB-9589-BC260B00CF9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1"/>
            <c:leaderLines>
              <c:spPr>
                <a:ln w="25400" cap="flat" cmpd="sng" algn="ctr">
                  <a:solidFill>
                    <a:schemeClr val="tx1"/>
                  </a:solidFill>
                  <a:round/>
                </a:ln>
                <a:effectLst/>
              </c:spPr>
            </c:leaderLines>
            <c:extLst>
              <c:ext xmlns:c15="http://schemas.microsoft.com/office/drawing/2012/chart" uri="{CE6537A1-D6FC-4f65-9D91-7224C49458BB}"/>
            </c:extLst>
          </c:dLbls>
          <c:cat>
            <c:strRef>
              <c:f>Run!$U$6:$W$6</c:f>
              <c:strCache>
                <c:ptCount val="3"/>
                <c:pt idx="0">
                  <c:v>NT comm</c:v>
                </c:pt>
                <c:pt idx="1">
                  <c:v>NT spt</c:v>
                </c:pt>
                <c:pt idx="2">
                  <c:v>Treaty</c:v>
                </c:pt>
              </c:strCache>
            </c:strRef>
          </c:cat>
          <c:val>
            <c:numRef>
              <c:f>Run!$U$80:$W$80</c:f>
              <c:numCache>
                <c:formatCode>0%</c:formatCode>
                <c:ptCount val="3"/>
                <c:pt idx="0">
                  <c:v>2.1655179781323121E-2</c:v>
                </c:pt>
                <c:pt idx="1">
                  <c:v>7.2362395979160082E-2</c:v>
                </c:pt>
                <c:pt idx="2">
                  <c:v>9.367072825297118E-2</c:v>
                </c:pt>
              </c:numCache>
            </c:numRef>
          </c:val>
          <c:extLst>
            <c:ext xmlns:c16="http://schemas.microsoft.com/office/drawing/2014/chart" uri="{C3380CC4-5D6E-409C-BE32-E72D297353CC}">
              <c16:uniqueId val="{00000006-5089-44DB-9589-BC260B00CF9A}"/>
            </c:ext>
          </c:extLst>
        </c:ser>
        <c:dLbls>
          <c:showLegendKey val="0"/>
          <c:showVal val="1"/>
          <c:showCatName val="0"/>
          <c:showSerName val="0"/>
          <c:showPercent val="0"/>
          <c:showBubbleSize val="0"/>
          <c:showLeaderLines val="1"/>
        </c:dLbls>
        <c:firstSliceAng val="236"/>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84856463418612"/>
          <c:y val="5.1067780872794802E-2"/>
          <c:w val="0.83425313520360611"/>
          <c:h val="0.8307649566088362"/>
        </c:manualLayout>
      </c:layout>
      <c:barChart>
        <c:barDir val="col"/>
        <c:grouping val="clustered"/>
        <c:varyColors val="0"/>
        <c:ser>
          <c:idx val="0"/>
          <c:order val="0"/>
          <c:tx>
            <c:v>Natural origin</c:v>
          </c:tx>
          <c:spPr>
            <a:solidFill>
              <a:schemeClr val="accent1"/>
            </a:solidFill>
            <a:ln>
              <a:solidFill>
                <a:schemeClr val="tx1"/>
              </a:solidFill>
            </a:ln>
            <a:effectLst/>
          </c:spPr>
          <c:invertIfNegative val="0"/>
          <c:cat>
            <c:numRef>
              <c:f>Run!$A$21:$A$77</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Run!$O$21:$O$77</c:f>
              <c:numCache>
                <c:formatCode>#,##0</c:formatCode>
                <c:ptCount val="57"/>
                <c:pt idx="0">
                  <c:v>58566</c:v>
                </c:pt>
                <c:pt idx="1">
                  <c:v>43514</c:v>
                </c:pt>
                <c:pt idx="2">
                  <c:v>44700</c:v>
                </c:pt>
                <c:pt idx="3">
                  <c:v>21900</c:v>
                </c:pt>
                <c:pt idx="4">
                  <c:v>54500</c:v>
                </c:pt>
                <c:pt idx="5">
                  <c:v>57700</c:v>
                </c:pt>
                <c:pt idx="6">
                  <c:v>57500</c:v>
                </c:pt>
                <c:pt idx="7">
                  <c:v>63700</c:v>
                </c:pt>
                <c:pt idx="8">
                  <c:v>46300</c:v>
                </c:pt>
                <c:pt idx="9">
                  <c:v>39000</c:v>
                </c:pt>
                <c:pt idx="10">
                  <c:v>41700</c:v>
                </c:pt>
                <c:pt idx="11">
                  <c:v>42300</c:v>
                </c:pt>
                <c:pt idx="12">
                  <c:v>18700</c:v>
                </c:pt>
                <c:pt idx="13">
                  <c:v>17800</c:v>
                </c:pt>
                <c:pt idx="14">
                  <c:v>14500</c:v>
                </c:pt>
                <c:pt idx="15">
                  <c:v>30800</c:v>
                </c:pt>
                <c:pt idx="16">
                  <c:v>42600</c:v>
                </c:pt>
                <c:pt idx="17">
                  <c:v>5761</c:v>
                </c:pt>
                <c:pt idx="18">
                  <c:v>6134</c:v>
                </c:pt>
                <c:pt idx="19">
                  <c:v>11292</c:v>
                </c:pt>
                <c:pt idx="20">
                  <c:v>11300</c:v>
                </c:pt>
                <c:pt idx="21">
                  <c:v>9838</c:v>
                </c:pt>
                <c:pt idx="22">
                  <c:v>7929</c:v>
                </c:pt>
                <c:pt idx="23">
                  <c:v>10182</c:v>
                </c:pt>
                <c:pt idx="24">
                  <c:v>10109</c:v>
                </c:pt>
                <c:pt idx="25">
                  <c:v>9622</c:v>
                </c:pt>
                <c:pt idx="26">
                  <c:v>10826</c:v>
                </c:pt>
                <c:pt idx="27">
                  <c:v>6454</c:v>
                </c:pt>
                <c:pt idx="28">
                  <c:v>9342</c:v>
                </c:pt>
                <c:pt idx="29">
                  <c:v>5756</c:v>
                </c:pt>
                <c:pt idx="30">
                  <c:v>12673</c:v>
                </c:pt>
                <c:pt idx="31">
                  <c:v>12522</c:v>
                </c:pt>
                <c:pt idx="32">
                  <c:v>1856</c:v>
                </c:pt>
                <c:pt idx="33">
                  <c:v>1167</c:v>
                </c:pt>
                <c:pt idx="34">
                  <c:v>3643</c:v>
                </c:pt>
                <c:pt idx="35">
                  <c:v>4272</c:v>
                </c:pt>
                <c:pt idx="36">
                  <c:v>7306</c:v>
                </c:pt>
                <c:pt idx="37">
                  <c:v>2953</c:v>
                </c:pt>
                <c:pt idx="38">
                  <c:v>8491</c:v>
                </c:pt>
                <c:pt idx="39">
                  <c:v>45381</c:v>
                </c:pt>
                <c:pt idx="40">
                  <c:v>31008</c:v>
                </c:pt>
                <c:pt idx="41">
                  <c:v>33121</c:v>
                </c:pt>
                <c:pt idx="42">
                  <c:v>21305</c:v>
                </c:pt>
                <c:pt idx="43">
                  <c:v>8691</c:v>
                </c:pt>
                <c:pt idx="44">
                  <c:v>8775</c:v>
                </c:pt>
                <c:pt idx="45">
                  <c:v>7694</c:v>
                </c:pt>
                <c:pt idx="46">
                  <c:v>14019</c:v>
                </c:pt>
                <c:pt idx="47">
                  <c:v>12963</c:v>
                </c:pt>
                <c:pt idx="48">
                  <c:v>26282</c:v>
                </c:pt>
                <c:pt idx="49">
                  <c:v>22409</c:v>
                </c:pt>
                <c:pt idx="50">
                  <c:v>20297</c:v>
                </c:pt>
                <c:pt idx="51">
                  <c:v>12407</c:v>
                </c:pt>
                <c:pt idx="52">
                  <c:v>26350</c:v>
                </c:pt>
                <c:pt idx="53">
                  <c:v>21499</c:v>
                </c:pt>
                <c:pt idx="54">
                  <c:v>15939</c:v>
                </c:pt>
                <c:pt idx="55">
                  <c:v>4106</c:v>
                </c:pt>
                <c:pt idx="56">
                  <c:v>12655</c:v>
                </c:pt>
              </c:numCache>
            </c:numRef>
          </c:val>
          <c:extLst>
            <c:ext xmlns:c16="http://schemas.microsoft.com/office/drawing/2014/chart" uri="{C3380CC4-5D6E-409C-BE32-E72D297353CC}">
              <c16:uniqueId val="{00000000-5030-4A7C-ABA9-436BD3EB7F13}"/>
            </c:ext>
          </c:extLst>
        </c:ser>
        <c:ser>
          <c:idx val="1"/>
          <c:order val="1"/>
          <c:tx>
            <c:v>Hatchery origin</c:v>
          </c:tx>
          <c:spPr>
            <a:solidFill>
              <a:srgbClr val="FF0000"/>
            </a:solidFill>
            <a:ln>
              <a:solidFill>
                <a:schemeClr val="tx1"/>
              </a:solidFill>
            </a:ln>
            <a:effectLst/>
          </c:spPr>
          <c:invertIfNegative val="0"/>
          <c:cat>
            <c:numRef>
              <c:f>Run!$A$21:$A$77</c:f>
              <c:numCache>
                <c:formatCode>General</c:formatCode>
                <c:ptCount val="57"/>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numCache>
            </c:numRef>
          </c:cat>
          <c:val>
            <c:numRef>
              <c:f>Run!$P$21:$P$77</c:f>
              <c:numCache>
                <c:formatCode>#,##0</c:formatCode>
                <c:ptCount val="57"/>
                <c:pt idx="0">
                  <c:v>0</c:v>
                </c:pt>
                <c:pt idx="1">
                  <c:v>0</c:v>
                </c:pt>
                <c:pt idx="2">
                  <c:v>0</c:v>
                </c:pt>
                <c:pt idx="3">
                  <c:v>0</c:v>
                </c:pt>
                <c:pt idx="4">
                  <c:v>0</c:v>
                </c:pt>
                <c:pt idx="5">
                  <c:v>0</c:v>
                </c:pt>
                <c:pt idx="6">
                  <c:v>5500</c:v>
                </c:pt>
                <c:pt idx="7">
                  <c:v>4600</c:v>
                </c:pt>
                <c:pt idx="8">
                  <c:v>8100</c:v>
                </c:pt>
                <c:pt idx="9">
                  <c:v>4200</c:v>
                </c:pt>
                <c:pt idx="10">
                  <c:v>15400</c:v>
                </c:pt>
                <c:pt idx="11">
                  <c:v>21400</c:v>
                </c:pt>
                <c:pt idx="12">
                  <c:v>4400</c:v>
                </c:pt>
                <c:pt idx="13">
                  <c:v>5900</c:v>
                </c:pt>
                <c:pt idx="14">
                  <c:v>8400</c:v>
                </c:pt>
                <c:pt idx="15">
                  <c:v>13100</c:v>
                </c:pt>
                <c:pt idx="16">
                  <c:v>9700</c:v>
                </c:pt>
                <c:pt idx="17">
                  <c:v>3792</c:v>
                </c:pt>
                <c:pt idx="18">
                  <c:v>2014</c:v>
                </c:pt>
                <c:pt idx="19">
                  <c:v>5129</c:v>
                </c:pt>
                <c:pt idx="20">
                  <c:v>5277</c:v>
                </c:pt>
                <c:pt idx="21">
                  <c:v>3574</c:v>
                </c:pt>
                <c:pt idx="22">
                  <c:v>4011</c:v>
                </c:pt>
                <c:pt idx="23">
                  <c:v>20087</c:v>
                </c:pt>
                <c:pt idx="24">
                  <c:v>27767</c:v>
                </c:pt>
                <c:pt idx="25">
                  <c:v>25104</c:v>
                </c:pt>
                <c:pt idx="26">
                  <c:v>24814</c:v>
                </c:pt>
                <c:pt idx="27">
                  <c:v>9670</c:v>
                </c:pt>
                <c:pt idx="28">
                  <c:v>13066</c:v>
                </c:pt>
                <c:pt idx="29">
                  <c:v>4676</c:v>
                </c:pt>
                <c:pt idx="30">
                  <c:v>11732</c:v>
                </c:pt>
                <c:pt idx="31">
                  <c:v>16402</c:v>
                </c:pt>
                <c:pt idx="32">
                  <c:v>2059</c:v>
                </c:pt>
                <c:pt idx="33">
                  <c:v>630</c:v>
                </c:pt>
                <c:pt idx="34">
                  <c:v>3179</c:v>
                </c:pt>
                <c:pt idx="35">
                  <c:v>40292</c:v>
                </c:pt>
                <c:pt idx="36">
                  <c:v>6903</c:v>
                </c:pt>
                <c:pt idx="37">
                  <c:v>3787</c:v>
                </c:pt>
                <c:pt idx="38">
                  <c:v>30177</c:v>
                </c:pt>
                <c:pt idx="39">
                  <c:v>140653</c:v>
                </c:pt>
                <c:pt idx="40">
                  <c:v>66950</c:v>
                </c:pt>
                <c:pt idx="41">
                  <c:v>54086</c:v>
                </c:pt>
                <c:pt idx="42">
                  <c:v>57923</c:v>
                </c:pt>
                <c:pt idx="43">
                  <c:v>25118</c:v>
                </c:pt>
                <c:pt idx="44">
                  <c:v>21312</c:v>
                </c:pt>
                <c:pt idx="45">
                  <c:v>21034</c:v>
                </c:pt>
                <c:pt idx="46">
                  <c:v>53027</c:v>
                </c:pt>
                <c:pt idx="47">
                  <c:v>45477</c:v>
                </c:pt>
                <c:pt idx="48">
                  <c:v>97273</c:v>
                </c:pt>
                <c:pt idx="49">
                  <c:v>69636</c:v>
                </c:pt>
                <c:pt idx="50">
                  <c:v>59221</c:v>
                </c:pt>
                <c:pt idx="51">
                  <c:v>30556</c:v>
                </c:pt>
                <c:pt idx="52">
                  <c:v>65415</c:v>
                </c:pt>
                <c:pt idx="53">
                  <c:v>96163</c:v>
                </c:pt>
                <c:pt idx="54">
                  <c:v>58187</c:v>
                </c:pt>
                <c:pt idx="55">
                  <c:v>30179</c:v>
                </c:pt>
                <c:pt idx="56">
                  <c:v>53218</c:v>
                </c:pt>
              </c:numCache>
            </c:numRef>
          </c:val>
          <c:extLst>
            <c:ext xmlns:c16="http://schemas.microsoft.com/office/drawing/2014/chart" uri="{C3380CC4-5D6E-409C-BE32-E72D297353CC}">
              <c16:uniqueId val="{00000001-5030-4A7C-ABA9-436BD3EB7F13}"/>
            </c:ext>
          </c:extLst>
        </c:ser>
        <c:dLbls>
          <c:showLegendKey val="0"/>
          <c:showVal val="0"/>
          <c:showCatName val="0"/>
          <c:showSerName val="0"/>
          <c:showPercent val="0"/>
          <c:showBubbleSize val="0"/>
        </c:dLbls>
        <c:gapWidth val="0"/>
        <c:overlap val="-27"/>
        <c:axId val="691777152"/>
        <c:axId val="691779448"/>
      </c:barChart>
      <c:catAx>
        <c:axId val="6917771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1779448"/>
        <c:crosses val="autoZero"/>
        <c:auto val="1"/>
        <c:lblAlgn val="ctr"/>
        <c:lblOffset val="100"/>
        <c:tickLblSkip val="5"/>
        <c:tickMarkSkip val="5"/>
        <c:noMultiLvlLbl val="0"/>
      </c:catAx>
      <c:valAx>
        <c:axId val="691779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Lower Granite Dam Count (adults)</a:t>
                </a:r>
              </a:p>
            </c:rich>
          </c:tx>
          <c:layout>
            <c:manualLayout>
              <c:xMode val="edge"/>
              <c:yMode val="edge"/>
              <c:x val="1.0257112701923782E-2"/>
              <c:y val="9.7578210105352434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91777152"/>
        <c:crosses val="autoZero"/>
        <c:crossBetween val="between"/>
      </c:valAx>
      <c:spPr>
        <a:noFill/>
        <a:ln>
          <a:noFill/>
        </a:ln>
        <a:effectLst/>
      </c:spPr>
    </c:plotArea>
    <c:legend>
      <c:legendPos val="r"/>
      <c:layout>
        <c:manualLayout>
          <c:xMode val="edge"/>
          <c:yMode val="edge"/>
          <c:x val="0.75780517817816229"/>
          <c:y val="0.10132257144737131"/>
          <c:w val="0.17860072306991021"/>
          <c:h val="0.19382653769950062"/>
        </c:manualLayout>
      </c:layout>
      <c:overlay val="0"/>
      <c:spPr>
        <a:solidFill>
          <a:schemeClr val="bg1"/>
        </a:solidFill>
        <a:ln>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4">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cid:image001.png@01D67ACF.40E69300" TargetMode="External"/><Relationship Id="rId1" Type="http://schemas.openxmlformats.org/officeDocument/2006/relationships/image" Target="../media/image6.png"/><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chart" Target="../charts/chart7.xml"/><Relationship Id="rId1" Type="http://schemas.openxmlformats.org/officeDocument/2006/relationships/image" Target="../media/image7.emf"/><Relationship Id="rId5" Type="http://schemas.openxmlformats.org/officeDocument/2006/relationships/image" Target="../media/image9.emf"/><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74023</xdr:colOff>
      <xdr:row>2</xdr:row>
      <xdr:rowOff>30785</xdr:rowOff>
    </xdr:from>
    <xdr:to>
      <xdr:col>7</xdr:col>
      <xdr:colOff>114844</xdr:colOff>
      <xdr:row>17</xdr:row>
      <xdr:rowOff>21772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4023" y="390014"/>
          <a:ext cx="4046764" cy="2777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spcAft>
              <a:spcPts val="300"/>
            </a:spcAft>
            <a:buFont typeface="Arial" panose="020B0604020202020204" pitchFamily="34" charset="0"/>
            <a:buChar char="•"/>
          </a:pPr>
          <a:r>
            <a:rPr lang="en-US" sz="1600" i="0" baseline="0">
              <a:solidFill>
                <a:schemeClr val="tx1"/>
              </a:solidFill>
            </a:rPr>
            <a:t>Inhabits moderate to high elevation areas of major tributaries.</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baseline="0">
              <a:solidFill>
                <a:schemeClr val="tx1"/>
              </a:solidFill>
              <a:effectLst/>
              <a:latin typeface="+mn-lt"/>
              <a:ea typeface="+mn-ea"/>
              <a:cs typeface="+mn-cs"/>
            </a:rPr>
            <a:t>Historically exceeded one million fish annually in the late 1800s according to the ESA recovery plan.</a:t>
          </a:r>
        </a:p>
        <a:p>
          <a:pPr marL="171450" indent="-171450">
            <a:spcAft>
              <a:spcPts val="300"/>
            </a:spcAft>
            <a:buFont typeface="Arial" panose="020B0604020202020204" pitchFamily="34" charset="0"/>
            <a:buChar char="•"/>
          </a:pPr>
          <a:r>
            <a:rPr lang="en-US" sz="1600" i="0" baseline="0">
              <a:solidFill>
                <a:schemeClr val="tx1"/>
              </a:solidFill>
            </a:rPr>
            <a:t>Areas upstream from the Hells Canyon Dam complex are not currently accessible. </a:t>
          </a:r>
        </a:p>
        <a:p>
          <a:pPr marL="171450" indent="-171450">
            <a:spcAft>
              <a:spcPts val="300"/>
            </a:spcAft>
            <a:buFont typeface="Arial" panose="020B0604020202020204" pitchFamily="34" charset="0"/>
            <a:buChar char="•"/>
          </a:pPr>
          <a:r>
            <a:rPr lang="en-US" sz="1600" i="0" baseline="0">
              <a:solidFill>
                <a:schemeClr val="tx1"/>
              </a:solidFill>
            </a:rPr>
            <a:t>Harvest occurs entirely in freshwater and is much reduced from historical levels.</a:t>
          </a:r>
        </a:p>
        <a:p>
          <a:pPr marL="171450" marR="0" lvl="0" indent="-171450" defTabSz="914400" eaLnBrk="1" fontAlgn="auto" latinLnBrk="0" hangingPunct="1">
            <a:lnSpc>
              <a:spcPct val="100000"/>
            </a:lnSpc>
            <a:spcBef>
              <a:spcPts val="0"/>
            </a:spcBef>
            <a:spcAft>
              <a:spcPts val="300"/>
            </a:spcAft>
            <a:buClrTx/>
            <a:buSzTx/>
            <a:buFont typeface="Arial" panose="020B0604020202020204" pitchFamily="34" charset="0"/>
            <a:buChar char="•"/>
            <a:tabLst/>
            <a:defRPr/>
          </a:pPr>
          <a:r>
            <a:rPr lang="en-US" sz="1600" i="0" baseline="0">
              <a:solidFill>
                <a:schemeClr val="tx1"/>
              </a:solidFill>
              <a:effectLst/>
            </a:rPr>
            <a:t>Hatchery production is significant.</a:t>
          </a:r>
        </a:p>
      </xdr:txBody>
    </xdr:sp>
    <xdr:clientData/>
  </xdr:twoCellAnchor>
  <xdr:twoCellAnchor editAs="oneCell">
    <xdr:from>
      <xdr:col>7</xdr:col>
      <xdr:colOff>243170</xdr:colOff>
      <xdr:row>1</xdr:row>
      <xdr:rowOff>64884</xdr:rowOff>
    </xdr:from>
    <xdr:to>
      <xdr:col>16</xdr:col>
      <xdr:colOff>137047</xdr:colOff>
      <xdr:row>36</xdr:row>
      <xdr:rowOff>19253</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42"/>
        <a:stretch/>
      </xdr:blipFill>
      <xdr:spPr bwMode="auto">
        <a:xfrm>
          <a:off x="4039563" y="337027"/>
          <a:ext cx="5282305" cy="6062343"/>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202088</xdr:colOff>
      <xdr:row>55</xdr:row>
      <xdr:rowOff>174504</xdr:rowOff>
    </xdr:from>
    <xdr:to>
      <xdr:col>8</xdr:col>
      <xdr:colOff>442549</xdr:colOff>
      <xdr:row>74</xdr:row>
      <xdr:rowOff>149677</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355692</xdr:colOff>
      <xdr:row>55</xdr:row>
      <xdr:rowOff>135839</xdr:rowOff>
    </xdr:from>
    <xdr:to>
      <xdr:col>16</xdr:col>
      <xdr:colOff>169275</xdr:colOff>
      <xdr:row>74</xdr:row>
      <xdr:rowOff>136072</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62049</xdr:colOff>
      <xdr:row>17</xdr:row>
      <xdr:rowOff>103415</xdr:rowOff>
    </xdr:from>
    <xdr:to>
      <xdr:col>7</xdr:col>
      <xdr:colOff>172812</xdr:colOff>
      <xdr:row>35</xdr:row>
      <xdr:rowOff>172811</xdr:rowOff>
    </xdr:to>
    <xdr:graphicFrame macro="">
      <xdr:nvGraphicFramePr>
        <xdr:cNvPr id="5" name="Chart 4">
          <a:extLst>
            <a:ext uri="{FF2B5EF4-FFF2-40B4-BE49-F238E27FC236}">
              <a16:creationId xmlns:a16="http://schemas.microsoft.com/office/drawing/2014/main" id="{C5959465-D52B-4F53-955D-1F77032136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133773</xdr:colOff>
      <xdr:row>36</xdr:row>
      <xdr:rowOff>135255</xdr:rowOff>
    </xdr:from>
    <xdr:to>
      <xdr:col>16</xdr:col>
      <xdr:colOff>95250</xdr:colOff>
      <xdr:row>55</xdr:row>
      <xdr:rowOff>140970</xdr:rowOff>
    </xdr:to>
    <xdr:graphicFrame macro="">
      <xdr:nvGraphicFramePr>
        <xdr:cNvPr id="9" name="Chart 8">
          <a:extLst>
            <a:ext uri="{FF2B5EF4-FFF2-40B4-BE49-F238E27FC236}">
              <a16:creationId xmlns:a16="http://schemas.microsoft.com/office/drawing/2014/main" id="{ED8693ED-90E2-4A74-95AC-83EE6AE6A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5</xdr:col>
      <xdr:colOff>298397</xdr:colOff>
      <xdr:row>48</xdr:row>
      <xdr:rowOff>59953</xdr:rowOff>
    </xdr:from>
    <xdr:ext cx="3638304" cy="280205"/>
    <xdr:sp macro="" textlink="">
      <xdr:nvSpPr>
        <xdr:cNvPr id="10" name="TextBox 9">
          <a:extLst>
            <a:ext uri="{FF2B5EF4-FFF2-40B4-BE49-F238E27FC236}">
              <a16:creationId xmlns:a16="http://schemas.microsoft.com/office/drawing/2014/main" id="{85B9F8DC-4AC2-4660-A7FF-1A7747A002BA}"/>
            </a:ext>
          </a:extLst>
        </xdr:cNvPr>
        <xdr:cNvSpPr txBox="1"/>
      </xdr:nvSpPr>
      <xdr:spPr>
        <a:xfrm>
          <a:off x="2882053" y="8668172"/>
          <a:ext cx="3638304"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Natural-origin</a:t>
          </a:r>
          <a:r>
            <a:rPr lang="en-US" sz="1200" b="1" baseline="0"/>
            <a:t> Minimum Abundance Threshold 31,750</a:t>
          </a:r>
          <a:endParaRPr lang="en-US" sz="1200" b="1"/>
        </a:p>
      </xdr:txBody>
    </xdr:sp>
    <xdr:clientData/>
  </xdr:oneCellAnchor>
  <xdr:oneCellAnchor>
    <xdr:from>
      <xdr:col>6</xdr:col>
      <xdr:colOff>551286</xdr:colOff>
      <xdr:row>43</xdr:row>
      <xdr:rowOff>134064</xdr:rowOff>
    </xdr:from>
    <xdr:ext cx="2265748" cy="280205"/>
    <xdr:sp macro="" textlink="">
      <xdr:nvSpPr>
        <xdr:cNvPr id="11" name="TextBox 10">
          <a:extLst>
            <a:ext uri="{FF2B5EF4-FFF2-40B4-BE49-F238E27FC236}">
              <a16:creationId xmlns:a16="http://schemas.microsoft.com/office/drawing/2014/main" id="{A3A4F246-6057-4382-9EB3-B2D2427A7ADE}"/>
            </a:ext>
          </a:extLst>
        </xdr:cNvPr>
        <xdr:cNvSpPr txBox="1"/>
      </xdr:nvSpPr>
      <xdr:spPr>
        <a:xfrm>
          <a:off x="3730255" y="7837408"/>
          <a:ext cx="226574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Hatchery-origin</a:t>
          </a:r>
          <a:r>
            <a:rPr lang="en-US" sz="1200" b="1" baseline="0"/>
            <a:t> objective 90,000</a:t>
          </a:r>
          <a:endParaRPr lang="en-US" sz="1200" b="1"/>
        </a:p>
      </xdr:txBody>
    </xdr:sp>
    <xdr:clientData/>
  </xdr:oneCellAnchor>
  <xdr:oneCellAnchor>
    <xdr:from>
      <xdr:col>6</xdr:col>
      <xdr:colOff>580019</xdr:colOff>
      <xdr:row>40</xdr:row>
      <xdr:rowOff>20186</xdr:rowOff>
    </xdr:from>
    <xdr:ext cx="2247025" cy="280205"/>
    <xdr:sp macro="" textlink="">
      <xdr:nvSpPr>
        <xdr:cNvPr id="12" name="TextBox 11">
          <a:extLst>
            <a:ext uri="{FF2B5EF4-FFF2-40B4-BE49-F238E27FC236}">
              <a16:creationId xmlns:a16="http://schemas.microsoft.com/office/drawing/2014/main" id="{21489EE1-3422-4AB0-84DC-BB91BF6282B7}"/>
            </a:ext>
          </a:extLst>
        </xdr:cNvPr>
        <xdr:cNvSpPr txBox="1"/>
      </xdr:nvSpPr>
      <xdr:spPr>
        <a:xfrm>
          <a:off x="3758988" y="7187749"/>
          <a:ext cx="224702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Natural-origin</a:t>
          </a:r>
          <a:r>
            <a:rPr lang="en-US" sz="1200" b="1" baseline="0"/>
            <a:t> objective 127,000</a:t>
          </a:r>
          <a:endParaRPr lang="en-US" sz="1200" b="1"/>
        </a:p>
      </xdr:txBody>
    </xdr:sp>
    <xdr:clientData/>
  </xdr:oneCellAnchor>
  <xdr:oneCellAnchor>
    <xdr:from>
      <xdr:col>6</xdr:col>
      <xdr:colOff>347135</xdr:colOff>
      <xdr:row>36</xdr:row>
      <xdr:rowOff>100884</xdr:rowOff>
    </xdr:from>
    <xdr:ext cx="3012556" cy="280205"/>
    <xdr:sp macro="" textlink="">
      <xdr:nvSpPr>
        <xdr:cNvPr id="13" name="TextBox 12">
          <a:extLst>
            <a:ext uri="{FF2B5EF4-FFF2-40B4-BE49-F238E27FC236}">
              <a16:creationId xmlns:a16="http://schemas.microsoft.com/office/drawing/2014/main" id="{2FDB72EC-E838-4DD4-8F59-45E5103D92EC}"/>
            </a:ext>
          </a:extLst>
        </xdr:cNvPr>
        <xdr:cNvSpPr txBox="1"/>
      </xdr:nvSpPr>
      <xdr:spPr>
        <a:xfrm>
          <a:off x="3526104" y="6554072"/>
          <a:ext cx="301255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Nez Perce Tribe</a:t>
          </a:r>
          <a:r>
            <a:rPr lang="en-US" sz="1200" b="1" baseline="0"/>
            <a:t> ecological objective 671,000</a:t>
          </a:r>
          <a:endParaRPr lang="en-US" sz="1200" b="1"/>
        </a:p>
      </xdr:txBody>
    </xdr:sp>
    <xdr:clientData/>
  </xdr:oneCellAnchor>
</xdr:wsDr>
</file>

<file path=xl/drawings/drawing2.xml><?xml version="1.0" encoding="utf-8"?>
<c:userShapes xmlns:c="http://schemas.openxmlformats.org/drawingml/2006/chart">
  <cdr:relSizeAnchor xmlns:cdr="http://schemas.openxmlformats.org/drawingml/2006/chartDrawing">
    <cdr:from>
      <cdr:x>0.11412</cdr:x>
      <cdr:y>0.75013</cdr:y>
    </cdr:from>
    <cdr:to>
      <cdr:x>0.97258</cdr:x>
      <cdr:y>0.7519</cdr:y>
    </cdr:to>
    <cdr:cxnSp macro="">
      <cdr:nvCxnSpPr>
        <cdr:cNvPr id="9" name="Straight Connector 8">
          <a:extLst xmlns:a="http://schemas.openxmlformats.org/drawingml/2006/main">
            <a:ext uri="{FF2B5EF4-FFF2-40B4-BE49-F238E27FC236}">
              <a16:creationId xmlns:a16="http://schemas.microsoft.com/office/drawing/2014/main" id="{79053A14-0E76-4AEC-A615-D84CC3C04094}"/>
            </a:ext>
          </a:extLst>
        </cdr:cNvPr>
        <cdr:cNvCxnSpPr/>
      </cdr:nvCxnSpPr>
      <cdr:spPr>
        <a:xfrm xmlns:a="http://schemas.openxmlformats.org/drawingml/2006/main">
          <a:off x="1140922" y="2847817"/>
          <a:ext cx="8582198" cy="6720"/>
        </a:xfrm>
        <a:prstGeom xmlns:a="http://schemas.openxmlformats.org/drawingml/2006/main" prst="line">
          <a:avLst/>
        </a:prstGeom>
        <a:ln xmlns:a="http://schemas.openxmlformats.org/drawingml/2006/main" w="285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0.11271</cdr:x>
      <cdr:y>0.24936</cdr:y>
    </cdr:from>
    <cdr:to>
      <cdr:x>0.96659</cdr:x>
      <cdr:y>0.25014</cdr:y>
    </cdr:to>
    <cdr:cxnSp macro="">
      <cdr:nvCxnSpPr>
        <cdr:cNvPr id="3" name="Straight Connector 2">
          <a:extLst xmlns:a="http://schemas.openxmlformats.org/drawingml/2006/main">
            <a:ext uri="{FF2B5EF4-FFF2-40B4-BE49-F238E27FC236}">
              <a16:creationId xmlns:a16="http://schemas.microsoft.com/office/drawing/2014/main" id="{249AB3DC-02BC-4EF3-A3DE-967796E58803}"/>
            </a:ext>
          </a:extLst>
        </cdr:cNvPr>
        <cdr:cNvCxnSpPr/>
      </cdr:nvCxnSpPr>
      <cdr:spPr>
        <a:xfrm xmlns:a="http://schemas.openxmlformats.org/drawingml/2006/main" flipV="1">
          <a:off x="1125971" y="945727"/>
          <a:ext cx="8529839" cy="2963"/>
        </a:xfrm>
        <a:prstGeom xmlns:a="http://schemas.openxmlformats.org/drawingml/2006/main" prst="line">
          <a:avLst/>
        </a:prstGeom>
        <a:ln xmlns:a="http://schemas.openxmlformats.org/drawingml/2006/main" w="28575">
          <a:solidFill>
            <a:schemeClr val="accent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0.11421</cdr:x>
      <cdr:y>0.4515</cdr:y>
    </cdr:from>
    <cdr:to>
      <cdr:x>0.96808</cdr:x>
      <cdr:y>0.45228</cdr:y>
    </cdr:to>
    <cdr:cxnSp macro="">
      <cdr:nvCxnSpPr>
        <cdr:cNvPr id="7" name="Straight Connector 6">
          <a:extLst xmlns:a="http://schemas.openxmlformats.org/drawingml/2006/main">
            <a:ext uri="{FF2B5EF4-FFF2-40B4-BE49-F238E27FC236}">
              <a16:creationId xmlns:a16="http://schemas.microsoft.com/office/drawing/2014/main" id="{6EFD5D46-B804-415E-9D7B-400F63E40E8F}"/>
            </a:ext>
          </a:extLst>
        </cdr:cNvPr>
        <cdr:cNvCxnSpPr/>
      </cdr:nvCxnSpPr>
      <cdr:spPr>
        <a:xfrm xmlns:a="http://schemas.openxmlformats.org/drawingml/2006/main" flipV="1">
          <a:off x="1140884" y="1712384"/>
          <a:ext cx="8529839" cy="2963"/>
        </a:xfrm>
        <a:prstGeom xmlns:a="http://schemas.openxmlformats.org/drawingml/2006/main" prst="line">
          <a:avLst/>
        </a:prstGeom>
        <a:ln xmlns:a="http://schemas.openxmlformats.org/drawingml/2006/main" w="28575">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0.11368</cdr:x>
      <cdr:y>0.06083</cdr:y>
    </cdr:from>
    <cdr:to>
      <cdr:x>0.96755</cdr:x>
      <cdr:y>0.06161</cdr:y>
    </cdr:to>
    <cdr:cxnSp macro="">
      <cdr:nvCxnSpPr>
        <cdr:cNvPr id="8" name="Straight Connector 7">
          <a:extLst xmlns:a="http://schemas.openxmlformats.org/drawingml/2006/main">
            <a:ext uri="{FF2B5EF4-FFF2-40B4-BE49-F238E27FC236}">
              <a16:creationId xmlns:a16="http://schemas.microsoft.com/office/drawing/2014/main" id="{3D41BE15-5D37-4F0E-AAF9-AA99BF4EE589}"/>
            </a:ext>
          </a:extLst>
        </cdr:cNvPr>
        <cdr:cNvCxnSpPr/>
      </cdr:nvCxnSpPr>
      <cdr:spPr>
        <a:xfrm xmlns:a="http://schemas.openxmlformats.org/drawingml/2006/main" flipV="1">
          <a:off x="1136650" y="229500"/>
          <a:ext cx="8537475" cy="2948"/>
        </a:xfrm>
        <a:prstGeom xmlns:a="http://schemas.openxmlformats.org/drawingml/2006/main" prst="line">
          <a:avLst/>
        </a:prstGeom>
        <a:ln xmlns:a="http://schemas.openxmlformats.org/drawingml/2006/main" w="28575">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0.11298</cdr:x>
      <cdr:y>0.03267</cdr:y>
    </cdr:from>
    <cdr:to>
      <cdr:x>0.11298</cdr:x>
      <cdr:y>0.12188</cdr:y>
    </cdr:to>
    <cdr:cxnSp macro="">
      <cdr:nvCxnSpPr>
        <cdr:cNvPr id="12" name="Straight Connector 11">
          <a:extLst xmlns:a="http://schemas.openxmlformats.org/drawingml/2006/main">
            <a:ext uri="{FF2B5EF4-FFF2-40B4-BE49-F238E27FC236}">
              <a16:creationId xmlns:a16="http://schemas.microsoft.com/office/drawing/2014/main" id="{24945EAD-DE85-4F5F-AD0B-8495D65CDEFA}"/>
            </a:ext>
          </a:extLst>
        </cdr:cNvPr>
        <cdr:cNvCxnSpPr/>
      </cdr:nvCxnSpPr>
      <cdr:spPr>
        <a:xfrm xmlns:a="http://schemas.openxmlformats.org/drawingml/2006/main" flipH="1">
          <a:off x="1129454" y="124037"/>
          <a:ext cx="1" cy="338667"/>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0.04061</cdr:x>
      <cdr:y>0.00739</cdr:y>
    </cdr:from>
    <cdr:to>
      <cdr:x>0.13207</cdr:x>
      <cdr:y>0.08313</cdr:y>
    </cdr:to>
    <cdr:sp macro="" textlink="">
      <cdr:nvSpPr>
        <cdr:cNvPr id="16" name="TextBox 15">
          <a:extLst xmlns:a="http://schemas.openxmlformats.org/drawingml/2006/main">
            <a:ext uri="{FF2B5EF4-FFF2-40B4-BE49-F238E27FC236}">
              <a16:creationId xmlns:a16="http://schemas.microsoft.com/office/drawing/2014/main" id="{FC34C4D1-0494-4C6F-AF37-D544FA998BA6}"/>
            </a:ext>
          </a:extLst>
        </cdr:cNvPr>
        <cdr:cNvSpPr txBox="1"/>
      </cdr:nvSpPr>
      <cdr:spPr>
        <a:xfrm xmlns:a="http://schemas.openxmlformats.org/drawingml/2006/main">
          <a:off x="367685" y="25592"/>
          <a:ext cx="828180" cy="2623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1100" b="1"/>
            <a:t>700,000  -</a:t>
          </a:r>
        </a:p>
      </cdr:txBody>
    </cdr:sp>
  </cdr:relSizeAnchor>
  <cdr:relSizeAnchor xmlns:cdr="http://schemas.openxmlformats.org/drawingml/2006/chartDrawing">
    <cdr:from>
      <cdr:x>0.10132</cdr:x>
      <cdr:y>0.0902</cdr:y>
    </cdr:from>
    <cdr:to>
      <cdr:x>0.12513</cdr:x>
      <cdr:y>0.14858</cdr:y>
    </cdr:to>
    <cdr:sp macro="" textlink="">
      <cdr:nvSpPr>
        <cdr:cNvPr id="17" name="TextBox 16">
          <a:extLst xmlns:a="http://schemas.openxmlformats.org/drawingml/2006/main">
            <a:ext uri="{FF2B5EF4-FFF2-40B4-BE49-F238E27FC236}">
              <a16:creationId xmlns:a16="http://schemas.microsoft.com/office/drawing/2014/main" id="{7299E4DA-C4C2-4611-B2D4-37833A34808B}"/>
            </a:ext>
          </a:extLst>
        </cdr:cNvPr>
        <cdr:cNvSpPr txBox="1"/>
      </cdr:nvSpPr>
      <cdr:spPr>
        <a:xfrm xmlns:a="http://schemas.openxmlformats.org/drawingml/2006/main" rot="1265286">
          <a:off x="1012266" y="339937"/>
          <a:ext cx="237943" cy="2200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t>=</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22</xdr:col>
      <xdr:colOff>57149</xdr:colOff>
      <xdr:row>3</xdr:row>
      <xdr:rowOff>51433</xdr:rowOff>
    </xdr:from>
    <xdr:to>
      <xdr:col>33</xdr:col>
      <xdr:colOff>320701</xdr:colOff>
      <xdr:row>15</xdr:row>
      <xdr:rowOff>93344</xdr:rowOff>
    </xdr:to>
    <xdr:pic>
      <xdr:nvPicPr>
        <xdr:cNvPr id="2" name="Picture 1">
          <a:extLst>
            <a:ext uri="{FF2B5EF4-FFF2-40B4-BE49-F238E27FC236}">
              <a16:creationId xmlns:a16="http://schemas.microsoft.com/office/drawing/2014/main" id="{F3D2D0C0-33AE-462B-9BB2-103F9EB4F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4224" y="594358"/>
          <a:ext cx="6957722" cy="2205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104775</xdr:colOff>
      <xdr:row>20</xdr:row>
      <xdr:rowOff>76200</xdr:rowOff>
    </xdr:from>
    <xdr:to>
      <xdr:col>35</xdr:col>
      <xdr:colOff>53340</xdr:colOff>
      <xdr:row>53</xdr:row>
      <xdr:rowOff>129540</xdr:rowOff>
    </xdr:to>
    <xdr:pic>
      <xdr:nvPicPr>
        <xdr:cNvPr id="3" name="Picture 2">
          <a:extLst>
            <a:ext uri="{FF2B5EF4-FFF2-40B4-BE49-F238E27FC236}">
              <a16:creationId xmlns:a16="http://schemas.microsoft.com/office/drawing/2014/main" id="{D59F15C7-D469-4873-9E18-9390C22C5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11050" y="3695700"/>
          <a:ext cx="7863840"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0</xdr:colOff>
      <xdr:row>5</xdr:row>
      <xdr:rowOff>38100</xdr:rowOff>
    </xdr:from>
    <xdr:to>
      <xdr:col>43</xdr:col>
      <xdr:colOff>472440</xdr:colOff>
      <xdr:row>10</xdr:row>
      <xdr:rowOff>53340</xdr:rowOff>
    </xdr:to>
    <xdr:pic>
      <xdr:nvPicPr>
        <xdr:cNvPr id="4" name="Picture 3">
          <a:extLst>
            <a:ext uri="{FF2B5EF4-FFF2-40B4-BE49-F238E27FC236}">
              <a16:creationId xmlns:a16="http://schemas.microsoft.com/office/drawing/2014/main" id="{3549EC6F-A24E-4ABC-8E78-B8AE1612B3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32980" y="952500"/>
          <a:ext cx="5356860" cy="929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457200</xdr:colOff>
      <xdr:row>1</xdr:row>
      <xdr:rowOff>66675</xdr:rowOff>
    </xdr:from>
    <xdr:to>
      <xdr:col>8</xdr:col>
      <xdr:colOff>266700</xdr:colOff>
      <xdr:row>37</xdr:row>
      <xdr:rowOff>20336</xdr:rowOff>
    </xdr:to>
    <xdr:pic>
      <xdr:nvPicPr>
        <xdr:cNvPr id="2" name="Picture 1">
          <a:extLst>
            <a:ext uri="{FF2B5EF4-FFF2-40B4-BE49-F238E27FC236}">
              <a16:creationId xmlns:a16="http://schemas.microsoft.com/office/drawing/2014/main" id="{911991E4-663A-4EA2-8FC8-8BF2AB144E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247650"/>
          <a:ext cx="4076700" cy="6464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24765</xdr:colOff>
      <xdr:row>44</xdr:row>
      <xdr:rowOff>36195</xdr:rowOff>
    </xdr:from>
    <xdr:ext cx="11468100" cy="5772150"/>
    <xdr:pic>
      <xdr:nvPicPr>
        <xdr:cNvPr id="2" name="Picture 1">
          <a:extLst>
            <a:ext uri="{FF2B5EF4-FFF2-40B4-BE49-F238E27FC236}">
              <a16:creationId xmlns:a16="http://schemas.microsoft.com/office/drawing/2014/main" id="{80D6BDBB-90AB-410B-9660-6A9C91409349}"/>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34365" y="7999095"/>
          <a:ext cx="11468100" cy="5772150"/>
        </a:xfrm>
        <a:prstGeom prst="rect">
          <a:avLst/>
        </a:prstGeom>
        <a:solidFill>
          <a:schemeClr val="bg1"/>
        </a:solidFill>
        <a:ln>
          <a:noFill/>
        </a:ln>
      </xdr:spPr>
    </xdr:pic>
    <xdr:clientData/>
  </xdr:oneCellAnchor>
  <xdr:twoCellAnchor>
    <xdr:from>
      <xdr:col>7</xdr:col>
      <xdr:colOff>579120</xdr:colOff>
      <xdr:row>11</xdr:row>
      <xdr:rowOff>17145</xdr:rowOff>
    </xdr:from>
    <xdr:to>
      <xdr:col>9</xdr:col>
      <xdr:colOff>28575</xdr:colOff>
      <xdr:row>26</xdr:row>
      <xdr:rowOff>66675</xdr:rowOff>
    </xdr:to>
    <xdr:graphicFrame macro="">
      <xdr:nvGraphicFramePr>
        <xdr:cNvPr id="4" name="Chart 3">
          <a:extLst>
            <a:ext uri="{FF2B5EF4-FFF2-40B4-BE49-F238E27FC236}">
              <a16:creationId xmlns:a16="http://schemas.microsoft.com/office/drawing/2014/main" id="{20CB1A9E-72C9-43D6-A941-FAE6EEC3F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427672</xdr:colOff>
      <xdr:row>41</xdr:row>
      <xdr:rowOff>21907</xdr:rowOff>
    </xdr:from>
    <xdr:to>
      <xdr:col>8</xdr:col>
      <xdr:colOff>463867</xdr:colOff>
      <xdr:row>56</xdr:row>
      <xdr:rowOff>69532</xdr:rowOff>
    </xdr:to>
    <xdr:graphicFrame macro="">
      <xdr:nvGraphicFramePr>
        <xdr:cNvPr id="6" name="Chart 5">
          <a:extLst>
            <a:ext uri="{FF2B5EF4-FFF2-40B4-BE49-F238E27FC236}">
              <a16:creationId xmlns:a16="http://schemas.microsoft.com/office/drawing/2014/main" id="{E72BCC65-DC8D-4E14-82F4-60F73FDCBB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9</xdr:col>
      <xdr:colOff>455295</xdr:colOff>
      <xdr:row>1</xdr:row>
      <xdr:rowOff>251036</xdr:rowOff>
    </xdr:to>
    <xdr:pic>
      <xdr:nvPicPr>
        <xdr:cNvPr id="2" name="Picture 1">
          <a:extLst>
            <a:ext uri="{FF2B5EF4-FFF2-40B4-BE49-F238E27FC236}">
              <a16:creationId xmlns:a16="http://schemas.microsoft.com/office/drawing/2014/main" id="{A3A4EF53-BAF7-458E-A983-826ECB400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1750"/>
          <a:ext cx="5770245" cy="405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311877</xdr:colOff>
      <xdr:row>40</xdr:row>
      <xdr:rowOff>135678</xdr:rowOff>
    </xdr:from>
    <xdr:to>
      <xdr:col>35</xdr:col>
      <xdr:colOff>13457</xdr:colOff>
      <xdr:row>58</xdr:row>
      <xdr:rowOff>59509</xdr:rowOff>
    </xdr:to>
    <xdr:graphicFrame macro="">
      <xdr:nvGraphicFramePr>
        <xdr:cNvPr id="3" name="Chart 2">
          <a:extLst>
            <a:ext uri="{FF2B5EF4-FFF2-40B4-BE49-F238E27FC236}">
              <a16:creationId xmlns:a16="http://schemas.microsoft.com/office/drawing/2014/main" id="{278D4752-F9C1-4974-AD39-1388C7105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606212</xdr:colOff>
      <xdr:row>89</xdr:row>
      <xdr:rowOff>141394</xdr:rowOff>
    </xdr:from>
    <xdr:to>
      <xdr:col>15</xdr:col>
      <xdr:colOff>53924</xdr:colOff>
      <xdr:row>97</xdr:row>
      <xdr:rowOff>77894</xdr:rowOff>
    </xdr:to>
    <xdr:pic>
      <xdr:nvPicPr>
        <xdr:cNvPr id="4" name="Picture 3">
          <a:extLst>
            <a:ext uri="{FF2B5EF4-FFF2-40B4-BE49-F238E27FC236}">
              <a16:creationId xmlns:a16="http://schemas.microsoft.com/office/drawing/2014/main" id="{4ECEA313-D0FF-4FDC-A982-029CFAE13F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7162" y="10999894"/>
          <a:ext cx="8344486"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472865</xdr:colOff>
      <xdr:row>58</xdr:row>
      <xdr:rowOff>96095</xdr:rowOff>
    </xdr:from>
    <xdr:to>
      <xdr:col>28</xdr:col>
      <xdr:colOff>452333</xdr:colOff>
      <xdr:row>75</xdr:row>
      <xdr:rowOff>133773</xdr:rowOff>
    </xdr:to>
    <xdr:graphicFrame macro="">
      <xdr:nvGraphicFramePr>
        <xdr:cNvPr id="5" name="Chart 4">
          <a:extLst>
            <a:ext uri="{FF2B5EF4-FFF2-40B4-BE49-F238E27FC236}">
              <a16:creationId xmlns:a16="http://schemas.microsoft.com/office/drawing/2014/main" id="{8F5302CE-F8E8-4F17-9BB0-C7CAD253F3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438598</xdr:colOff>
      <xdr:row>34</xdr:row>
      <xdr:rowOff>109644</xdr:rowOff>
    </xdr:from>
    <xdr:to>
      <xdr:col>27</xdr:col>
      <xdr:colOff>553933</xdr:colOff>
      <xdr:row>54</xdr:row>
      <xdr:rowOff>38524</xdr:rowOff>
    </xdr:to>
    <xdr:pic>
      <xdr:nvPicPr>
        <xdr:cNvPr id="6" name="Picture 5">
          <a:extLst>
            <a:ext uri="{FF2B5EF4-FFF2-40B4-BE49-F238E27FC236}">
              <a16:creationId xmlns:a16="http://schemas.microsoft.com/office/drawing/2014/main" id="{5922B8F9-8729-48E4-97E5-20FA7A22128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21931" y="7338061"/>
          <a:ext cx="6291345" cy="3664796"/>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64770</xdr:colOff>
      <xdr:row>0</xdr:row>
      <xdr:rowOff>152400</xdr:rowOff>
    </xdr:from>
    <xdr:to>
      <xdr:col>13</xdr:col>
      <xdr:colOff>217170</xdr:colOff>
      <xdr:row>32</xdr:row>
      <xdr:rowOff>104775</xdr:rowOff>
    </xdr:to>
    <xdr:sp macro="" textlink="">
      <xdr:nvSpPr>
        <xdr:cNvPr id="2" name="TextBox 1">
          <a:extLst>
            <a:ext uri="{FF2B5EF4-FFF2-40B4-BE49-F238E27FC236}">
              <a16:creationId xmlns:a16="http://schemas.microsoft.com/office/drawing/2014/main" id="{011175E4-CE6E-42DF-BA98-7CA9BA297017}"/>
            </a:ext>
          </a:extLst>
        </xdr:cNvPr>
        <xdr:cNvSpPr txBox="1"/>
      </xdr:nvSpPr>
      <xdr:spPr>
        <a:xfrm>
          <a:off x="674370" y="152400"/>
          <a:ext cx="7467600" cy="574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Notes - Snake River Spring/Summer Chinook</a:t>
          </a:r>
        </a:p>
        <a:p>
          <a:r>
            <a:rPr lang="en-US" sz="1100" b="1" u="sng">
              <a:solidFill>
                <a:schemeClr val="dk1"/>
              </a:solidFill>
              <a:effectLst/>
              <a:latin typeface="+mn-lt"/>
              <a:ea typeface="+mn-ea"/>
              <a:cs typeface="+mn-cs"/>
            </a:rPr>
            <a:t>Natural Production </a:t>
          </a:r>
        </a:p>
        <a:p>
          <a:r>
            <a:rPr lang="en-US" sz="1100" i="1">
              <a:solidFill>
                <a:schemeClr val="dk1"/>
              </a:solidFill>
              <a:effectLst/>
              <a:latin typeface="+mn-lt"/>
              <a:ea typeface="+mn-ea"/>
              <a:cs typeface="+mn-cs"/>
            </a:rPr>
            <a:t>Distribution:</a:t>
          </a:r>
          <a:r>
            <a:rPr lang="en-US" sz="1100">
              <a:solidFill>
                <a:schemeClr val="dk1"/>
              </a:solidFill>
              <a:effectLst/>
              <a:latin typeface="+mn-lt"/>
              <a:ea typeface="+mn-ea"/>
              <a:cs typeface="+mn-cs"/>
            </a:rPr>
            <a:t> The ICTRT identified 5 MPGs, containing 28 extant populations, 3 functionally extirpated populations, and 1 extirpated population, in the Snake River spring/summer Chinook salmon ESU: (1) Upper Salmon River MPG (8 extant populations and 1 extirpated population); (2) Middle Fork Salmon River MPG (9 extant populations); (3) South Fork Salmon River MPG (4 extant populations); (4) Grande Ronde/Imnaha River MPG (6 extant populations and 2 functionally extirpated populations); (5) Lower Snake River MPG (1 extant population and 1 functionally extirpated population). The South Fork and Middle Fork Salmon Rivers currently support most of the natural spring/summer Chinook salmon production in the Snake River drainage. Historically, Snake River spring/summer Chinook salmon also spawned and reared in areas above the Hells Canyon dams on the Snake River and in the North Fork Clearwater River.</a:t>
          </a: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Historical abundance: </a:t>
          </a:r>
          <a:r>
            <a:rPr lang="en-US" sz="1100" i="0">
              <a:solidFill>
                <a:schemeClr val="dk1"/>
              </a:solidFill>
              <a:effectLst/>
              <a:latin typeface="+mn-lt"/>
              <a:ea typeface="+mn-ea"/>
              <a:cs typeface="+mn-cs"/>
            </a:rPr>
            <a:t>The population level summary includes </a:t>
          </a:r>
          <a:r>
            <a:rPr lang="en-US" sz="1100">
              <a:solidFill>
                <a:schemeClr val="dk1"/>
              </a:solidFill>
              <a:effectLst/>
              <a:latin typeface="+mn-lt"/>
              <a:ea typeface="+mn-ea"/>
              <a:cs typeface="+mn-cs"/>
            </a:rPr>
            <a:t>Nez Perce Tribe as ecological goals in their fish management plan. These aren't historical estimates per se but rather reference points that are out there. Presumably, historical abundance must have been at least as great as the goals. Total historical abundance was based on recovery plan text (1 million or more) which is also consistent with NPCC numbers.</a:t>
          </a: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Current abundance:</a:t>
          </a:r>
          <a:r>
            <a:rPr lang="en-US" sz="1100">
              <a:solidFill>
                <a:schemeClr val="dk1"/>
              </a:solidFill>
              <a:effectLst/>
              <a:latin typeface="+mn-lt"/>
              <a:ea typeface="+mn-ea"/>
              <a:cs typeface="+mn-cs"/>
            </a:rPr>
            <a:t> Current spawning escapement is estimated for most extant populations based on annual ground surveys, which count fish redds in representative portions of the spawning grounds. Spawning ground surveys have been conducted in many areas since the 1950s.</a:t>
          </a: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Goals:</a:t>
          </a:r>
          <a:endParaRPr lang="en-US" sz="1100">
            <a:solidFill>
              <a:schemeClr val="dk1"/>
            </a:solidFill>
            <a:effectLst/>
            <a:latin typeface="+mn-lt"/>
            <a:ea typeface="+mn-ea"/>
            <a:cs typeface="+mn-cs"/>
          </a:endParaRPr>
        </a:p>
        <a:p>
          <a:pPr lvl="0"/>
          <a:r>
            <a:rPr lang="en-US" sz="1100" i="1">
              <a:solidFill>
                <a:schemeClr val="dk1"/>
              </a:solidFill>
              <a:effectLst/>
              <a:latin typeface="+mn-lt"/>
              <a:ea typeface="+mn-ea"/>
              <a:cs typeface="+mn-cs"/>
            </a:rPr>
            <a:t>Low range: </a:t>
          </a:r>
          <a:r>
            <a:rPr lang="en-US" sz="1100">
              <a:solidFill>
                <a:schemeClr val="dk1"/>
              </a:solidFill>
              <a:effectLst/>
              <a:latin typeface="+mn-lt"/>
              <a:ea typeface="+mn-ea"/>
              <a:cs typeface="+mn-cs"/>
            </a:rPr>
            <a:t>Minimum Abundance Thresholds (MAT) identified by the Interior Columbia Technical Recovery Team</a:t>
          </a:r>
        </a:p>
        <a:p>
          <a:pPr lvl="0"/>
          <a:r>
            <a:rPr lang="en-US" sz="1100" i="1">
              <a:solidFill>
                <a:schemeClr val="dk1"/>
              </a:solidFill>
              <a:effectLst/>
              <a:latin typeface="+mn-lt"/>
              <a:ea typeface="+mn-ea"/>
              <a:cs typeface="+mn-cs"/>
            </a:rPr>
            <a:t>Medium range: </a:t>
          </a:r>
          <a:r>
            <a:rPr lang="en-US" sz="1100">
              <a:solidFill>
                <a:schemeClr val="dk1"/>
              </a:solidFill>
              <a:effectLst/>
              <a:latin typeface="+mn-lt"/>
              <a:ea typeface="+mn-ea"/>
              <a:cs typeface="+mn-cs"/>
            </a:rPr>
            <a:t>Mid-point between low and high range goals.</a:t>
          </a:r>
        </a:p>
        <a:p>
          <a:pPr lvl="0"/>
          <a:r>
            <a:rPr lang="en-US" sz="1100" i="1">
              <a:solidFill>
                <a:schemeClr val="dk1"/>
              </a:solidFill>
              <a:effectLst/>
              <a:latin typeface="+mn-lt"/>
              <a:ea typeface="+mn-ea"/>
              <a:cs typeface="+mn-cs"/>
            </a:rPr>
            <a:t>High range</a:t>
          </a:r>
          <a:r>
            <a:rPr lang="en-US" sz="1100">
              <a:solidFill>
                <a:schemeClr val="dk1"/>
              </a:solidFill>
              <a:effectLst/>
              <a:latin typeface="+mn-lt"/>
              <a:ea typeface="+mn-ea"/>
              <a:cs typeface="+mn-cs"/>
            </a:rPr>
            <a:t>: High range goals are four times the low range goal (i.e., 4xMAT). This multiplier was based on estimates of historical spawning escapements during the 1950s, which were deemed by the CBP Snake River regional technical group to be a reasonable representation of the potential production capacity of existing habitats.</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Goals were initially identified for accessible systems. Later in the process, goals were included for extirpated populations upstream of the Hells Canyon Dam complex. The Upper Snake River Tribes (USRT) have developed a plan seeking to restore anadromous fishing opportunities in currently inaccessible areas (see Chapter 10 for more detail).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The Nez Perce Tribe has identified ecological goals which are higher than provisional high range goals currently identified by the Columbia Basin Partnership. The CBP recognizes that provisional goals do not diminish the long-term desire and intent of some Fish and Wildlife Manager’s to achieve higher levels of abundance. (see Chapter 10 for additional details).”</a:t>
          </a:r>
          <a:endParaRPr lang="en-US" sz="1100">
            <a:solidFill>
              <a:schemeClr val="dk1"/>
            </a:solidFill>
            <a:effectLst/>
            <a:latin typeface="+mn-lt"/>
            <a:ea typeface="+mn-ea"/>
            <a:cs typeface="+mn-cs"/>
          </a:endParaRPr>
        </a:p>
        <a:p>
          <a:endParaRPr lang="en-US" sz="1100"/>
        </a:p>
      </xdr:txBody>
    </xdr:sp>
    <xdr:clientData/>
  </xdr:twoCellAnchor>
  <xdr:oneCellAnchor>
    <xdr:from>
      <xdr:col>14</xdr:col>
      <xdr:colOff>219075</xdr:colOff>
      <xdr:row>0</xdr:row>
      <xdr:rowOff>78105</xdr:rowOff>
    </xdr:from>
    <xdr:ext cx="5709285" cy="5135880"/>
    <xdr:sp macro="" textlink="">
      <xdr:nvSpPr>
        <xdr:cNvPr id="3" name="TextBox 2">
          <a:extLst>
            <a:ext uri="{FF2B5EF4-FFF2-40B4-BE49-F238E27FC236}">
              <a16:creationId xmlns:a16="http://schemas.microsoft.com/office/drawing/2014/main" id="{E8DE88F8-5849-470C-8C3F-63BC7EA97E1D}"/>
            </a:ext>
          </a:extLst>
        </xdr:cNvPr>
        <xdr:cNvSpPr txBox="1"/>
      </xdr:nvSpPr>
      <xdr:spPr>
        <a:xfrm>
          <a:off x="8753475" y="78105"/>
          <a:ext cx="5709285" cy="5135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Blocked areas</a:t>
          </a:r>
        </a:p>
        <a:p>
          <a:r>
            <a:rPr lang="en-US" sz="1100"/>
            <a:t>22 of 68</a:t>
          </a:r>
          <a:r>
            <a:rPr lang="en-US" sz="1100" baseline="0"/>
            <a:t> historical populations have been blocked by impassable Dams. These include the North Fork Clearwater, Malheur, Owyhee, and Middle Snake.</a:t>
          </a:r>
        </a:p>
        <a:p>
          <a:endParaRPr lang="en-US" sz="1100" baseline="0"/>
        </a:p>
        <a:p>
          <a:r>
            <a:rPr lang="en-US" sz="1100" baseline="0"/>
            <a:t>Blocked areas account for more than half of the historical range based on simple area (although portions of the blocked area may be much less productive for spring chinook than the accessible area).</a:t>
          </a:r>
        </a:p>
        <a:p>
          <a:endParaRPr lang="en-US" sz="1100" baseline="0"/>
        </a:p>
        <a:p>
          <a:r>
            <a:rPr lang="en-US" sz="1100" baseline="0"/>
            <a:t>Recovery plan states that predevelopment Snake CHS run likely exceeded 1 million.</a:t>
          </a:r>
        </a:p>
        <a:p>
          <a:endParaRPr lang="en-US" sz="1100" baseline="0"/>
        </a:p>
        <a:p>
          <a:r>
            <a:rPr lang="en-US" sz="1100" baseline="0"/>
            <a:t>One idea: Since the NPT goals identify a potential of 671,000 for the accessible area, and 22/68 = 32% of populations were lost and that is similar to 1,000,000 - 671,000 = 329,000 (33%), might use 33% as an estimate of the historical % of CHS production that occurred upstream from Hells Canyon.</a:t>
          </a:r>
        </a:p>
        <a:p>
          <a:endParaRPr lang="en-US" sz="1100" baseline="0"/>
        </a:p>
        <a:p>
          <a:r>
            <a:rPr lang="en-US" sz="1100" baseline="0"/>
            <a:t>Hells Canyon Complex relicensing appendix E.3.1-2 reports that spring/summer Chinook runs were 0.76 - 1.19 million prior to development. Relative to the NPT goal numbers (imperfect relationship to historical production in blocked area), the low end of this range is roughly a 50% blocked area impact.</a:t>
          </a:r>
        </a:p>
        <a:p>
          <a:endParaRPr lang="en-US" sz="1100" baseline="0"/>
        </a:p>
        <a:p>
          <a:r>
            <a:rPr lang="en-US" sz="1100" baseline="0"/>
            <a:t>It should be noted that habitat degradation in the blocked area was severe to the point where CHS were extirpated in many areas and numbers were very low when HCC was built.</a:t>
          </a:r>
        </a:p>
        <a:p>
          <a:endParaRPr lang="en-US" sz="1100" baseline="0"/>
        </a:p>
        <a:p>
          <a:endParaRPr lang="en-US" sz="1100" baseline="0"/>
        </a:p>
      </xdr:txBody>
    </xdr:sp>
    <xdr:clientData/>
  </xdr:oneCellAnchor>
  <xdr:twoCellAnchor editAs="oneCell">
    <xdr:from>
      <xdr:col>25</xdr:col>
      <xdr:colOff>15623</xdr:colOff>
      <xdr:row>4</xdr:row>
      <xdr:rowOff>133350</xdr:rowOff>
    </xdr:from>
    <xdr:to>
      <xdr:col>32</xdr:col>
      <xdr:colOff>407670</xdr:colOff>
      <xdr:row>33</xdr:row>
      <xdr:rowOff>85725</xdr:rowOff>
    </xdr:to>
    <xdr:pic>
      <xdr:nvPicPr>
        <xdr:cNvPr id="4" name="Picture 3">
          <a:extLst>
            <a:ext uri="{FF2B5EF4-FFF2-40B4-BE49-F238E27FC236}">
              <a16:creationId xmlns:a16="http://schemas.microsoft.com/office/drawing/2014/main" id="{123C7730-023A-4475-827A-1FD8E1DBB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55623" y="857250"/>
          <a:ext cx="4659247" cy="520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457200</xdr:colOff>
      <xdr:row>23</xdr:row>
      <xdr:rowOff>87630</xdr:rowOff>
    </xdr:from>
    <xdr:to>
      <xdr:col>23</xdr:col>
      <xdr:colOff>601980</xdr:colOff>
      <xdr:row>38</xdr:row>
      <xdr:rowOff>24765</xdr:rowOff>
    </xdr:to>
    <xdr:pic>
      <xdr:nvPicPr>
        <xdr:cNvPr id="5" name="Picture 4">
          <a:extLst>
            <a:ext uri="{FF2B5EF4-FFF2-40B4-BE49-F238E27FC236}">
              <a16:creationId xmlns:a16="http://schemas.microsoft.com/office/drawing/2014/main" id="{EA2A4528-B7C8-43E3-AEE9-F5F674E60F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0" y="4250055"/>
          <a:ext cx="5631180" cy="265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streamnet.org/ca-priority-data/" TargetMode="External"/><Relationship Id="rId13" Type="http://schemas.openxmlformats.org/officeDocument/2006/relationships/hyperlink" Target="http://www.nptfisheries.org/portals/0/images/dfrm/home/fisheries-management-plan-final-sm.pdf" TargetMode="External"/><Relationship Id="rId18" Type="http://schemas.openxmlformats.org/officeDocument/2006/relationships/hyperlink" Target="https://www.streamnet.org/ca-priority-data/" TargetMode="External"/><Relationship Id="rId26" Type="http://schemas.openxmlformats.org/officeDocument/2006/relationships/comments" Target="../comments2.xml"/><Relationship Id="rId3" Type="http://schemas.openxmlformats.org/officeDocument/2006/relationships/hyperlink" Target="http://odfwrecoverytracker.org/" TargetMode="External"/><Relationship Id="rId21" Type="http://schemas.openxmlformats.org/officeDocument/2006/relationships/hyperlink" Target="https://www.streamnet.org/ca-priority-data/" TargetMode="External"/><Relationship Id="rId7" Type="http://schemas.openxmlformats.org/officeDocument/2006/relationships/hyperlink" Target="https://www.streamnet.org/ca-priority-data/" TargetMode="External"/><Relationship Id="rId12" Type="http://schemas.openxmlformats.org/officeDocument/2006/relationships/hyperlink" Target="http://www.westcoast.fisheries.noaa.gov/protected_species/salmon_steelhead/recovery_planning_and_implementation/snake_river/snake_river_sp-su_chinook_steelhead.html" TargetMode="External"/><Relationship Id="rId17" Type="http://schemas.openxmlformats.org/officeDocument/2006/relationships/hyperlink" Target="http://www.westcoast.fisheries.noaa.gov/protected_species/salmon_steelhead/recovery_planning_and_implementation/snake_river/snake_river_sp-su_chinook_steelhead.html" TargetMode="External"/><Relationship Id="rId25" Type="http://schemas.openxmlformats.org/officeDocument/2006/relationships/vmlDrawing" Target="../drawings/vmlDrawing2.vml"/><Relationship Id="rId2" Type="http://schemas.openxmlformats.org/officeDocument/2006/relationships/hyperlink" Target="http://odfwrecoverytracker.org/" TargetMode="External"/><Relationship Id="rId16" Type="http://schemas.openxmlformats.org/officeDocument/2006/relationships/hyperlink" Target="http://www.westcoast.fisheries.noaa.gov/protected_species/salmon_steelhead/recovery_planning_and_implementation/snake_river/snake_river_sp-su_chinook_steelhead.html" TargetMode="External"/><Relationship Id="rId20" Type="http://schemas.openxmlformats.org/officeDocument/2006/relationships/hyperlink" Target="https://www.streamnet.org/ca-priority-data/" TargetMode="External"/><Relationship Id="rId1" Type="http://schemas.openxmlformats.org/officeDocument/2006/relationships/hyperlink" Target="http://odfwrecoverytracker.org/" TargetMode="External"/><Relationship Id="rId6" Type="http://schemas.openxmlformats.org/officeDocument/2006/relationships/hyperlink" Target="https://www.streamnet.org/ca-priority-data/" TargetMode="External"/><Relationship Id="rId11" Type="http://schemas.openxmlformats.org/officeDocument/2006/relationships/hyperlink" Target="http://www.westcoast.fisheries.noaa.gov/protected_species/salmon_steelhead/recovery_planning_and_implementation/snake_river/snake_river_sp-su_chinook_steelhead.html" TargetMode="External"/><Relationship Id="rId24" Type="http://schemas.openxmlformats.org/officeDocument/2006/relationships/hyperlink" Target="https://www.streamnet.org/ca-priority-data/" TargetMode="External"/><Relationship Id="rId5" Type="http://schemas.openxmlformats.org/officeDocument/2006/relationships/hyperlink" Target="https://www.streamnet.org/ca-priority-data/" TargetMode="External"/><Relationship Id="rId15" Type="http://schemas.openxmlformats.org/officeDocument/2006/relationships/hyperlink" Target="http://www.westcoast.fisheries.noaa.gov/protected_species/salmon_steelhead/recovery_planning_and_implementation/snake_river/snake_river_sp-su_chinook_steelhead.html" TargetMode="External"/><Relationship Id="rId23" Type="http://schemas.openxmlformats.org/officeDocument/2006/relationships/hyperlink" Target="https://www.streamnet.org/ca-priority-data/" TargetMode="External"/><Relationship Id="rId10" Type="http://schemas.openxmlformats.org/officeDocument/2006/relationships/hyperlink" Target="http://www.westcoast.fisheries.noaa.gov/protected_species/salmon_steelhead/recovery_planning_and_implementation/snake_river/snake_river_sp-su_chinook_steelhead.html" TargetMode="External"/><Relationship Id="rId19" Type="http://schemas.openxmlformats.org/officeDocument/2006/relationships/hyperlink" Target="https://www.streamnet.org/ca-priority-data/" TargetMode="External"/><Relationship Id="rId4" Type="http://schemas.openxmlformats.org/officeDocument/2006/relationships/hyperlink" Target="https://www.streamnet.org/ca-priority-data/" TargetMode="External"/><Relationship Id="rId9" Type="http://schemas.openxmlformats.org/officeDocument/2006/relationships/hyperlink" Target="https://www.streamnet.org/ca-priority-data/" TargetMode="External"/><Relationship Id="rId14" Type="http://schemas.openxmlformats.org/officeDocument/2006/relationships/hyperlink" Target="http://www.nptfisheries.org/portals/0/images/dfrm/home/fisheries-management-plan-final-sm.pdf" TargetMode="External"/><Relationship Id="rId22" Type="http://schemas.openxmlformats.org/officeDocument/2006/relationships/hyperlink" Target="https://www.streamnet.org/ca-priority-data/"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Y117"/>
  <sheetViews>
    <sheetView topLeftCell="R3" zoomScale="90" zoomScaleNormal="90" workbookViewId="0">
      <selection activeCell="AN30" sqref="AN30"/>
    </sheetView>
  </sheetViews>
  <sheetFormatPr defaultRowHeight="14.4" x14ac:dyDescent="0.3"/>
  <cols>
    <col min="1" max="1" width="2.88671875" style="9" customWidth="1"/>
    <col min="2" max="5" width="8.77734375" customWidth="1"/>
    <col min="6" max="6" width="11.88671875" customWidth="1"/>
    <col min="7" max="12" width="8.77734375" customWidth="1"/>
    <col min="13" max="15" width="8.77734375" style="25" customWidth="1"/>
    <col min="16" max="16" width="8.77734375" customWidth="1"/>
    <col min="17" max="17" width="3.6640625" style="9" customWidth="1"/>
    <col min="18" max="18" width="2.88671875" style="9" customWidth="1"/>
    <col min="19" max="19" width="7.109375" style="9" customWidth="1"/>
    <col min="20" max="20" width="11.33203125" customWidth="1"/>
    <col min="21" max="21" width="30.6640625" customWidth="1"/>
    <col min="22" max="22" width="10.6640625" customWidth="1"/>
    <col min="23" max="23" width="13.77734375" customWidth="1"/>
    <col min="24" max="24" width="17.88671875" customWidth="1"/>
    <col min="25" max="25" width="11.109375" customWidth="1"/>
    <col min="26" max="26" width="12.77734375" customWidth="1"/>
    <col min="27" max="27" width="13" customWidth="1"/>
    <col min="28" max="28" width="1.44140625" style="9" customWidth="1"/>
    <col min="29" max="29" width="1.88671875" customWidth="1"/>
    <col min="30" max="30" width="5.33203125" customWidth="1"/>
    <col min="31" max="31" width="26.77734375" customWidth="1"/>
    <col min="32" max="32" width="21.44140625" customWidth="1"/>
    <col min="33" max="33" width="12.109375" customWidth="1"/>
    <col min="34" max="34" width="10.77734375" customWidth="1"/>
    <col min="35" max="35" width="15.21875" customWidth="1"/>
    <col min="36" max="36" width="14.88671875" customWidth="1"/>
    <col min="37" max="37" width="11.88671875" customWidth="1"/>
    <col min="38" max="38" width="14" style="9" customWidth="1"/>
    <col min="39" max="39" width="1.33203125" style="9" customWidth="1"/>
  </cols>
  <sheetData>
    <row r="1" spans="1:49" ht="21.75" customHeight="1" x14ac:dyDescent="0.3">
      <c r="A1" s="255" t="s">
        <v>1</v>
      </c>
      <c r="B1" s="256"/>
      <c r="C1" s="256"/>
      <c r="D1" s="255"/>
      <c r="E1" s="257"/>
      <c r="F1" s="258"/>
      <c r="G1" s="257"/>
      <c r="H1" s="257" t="s">
        <v>0</v>
      </c>
      <c r="I1" s="259"/>
      <c r="J1" s="255"/>
      <c r="K1" s="255" t="s">
        <v>233</v>
      </c>
      <c r="L1" s="259"/>
      <c r="M1" s="255"/>
      <c r="N1" s="259"/>
      <c r="O1" s="255"/>
      <c r="P1" s="259"/>
      <c r="Q1" s="260"/>
      <c r="T1" s="9"/>
      <c r="U1" s="9"/>
      <c r="V1" s="9"/>
      <c r="W1" s="9"/>
      <c r="X1" s="9"/>
      <c r="Y1" s="9"/>
      <c r="Z1" s="9"/>
      <c r="AA1" s="9"/>
      <c r="AC1" s="9"/>
      <c r="AH1" s="28"/>
      <c r="AK1" s="28"/>
    </row>
    <row r="2" spans="1:49" ht="7.5" customHeight="1" x14ac:dyDescent="0.3">
      <c r="A2" s="10"/>
      <c r="B2" s="10"/>
      <c r="C2" s="10"/>
      <c r="D2" s="10"/>
      <c r="E2" s="10"/>
      <c r="F2" s="10"/>
      <c r="G2" s="9"/>
      <c r="H2" s="9"/>
      <c r="I2" s="9"/>
      <c r="J2" s="9"/>
      <c r="K2" s="9"/>
      <c r="L2" s="9"/>
      <c r="M2" s="24"/>
      <c r="N2" s="24"/>
      <c r="O2" s="24"/>
      <c r="P2" s="9"/>
      <c r="T2" s="9"/>
      <c r="U2" s="9"/>
      <c r="V2" s="9"/>
      <c r="W2" s="9"/>
      <c r="X2" s="9"/>
      <c r="Y2" s="9"/>
      <c r="Z2" s="9"/>
      <c r="AA2" s="9"/>
      <c r="AC2" s="9"/>
      <c r="AD2" s="9"/>
      <c r="AE2" s="9"/>
      <c r="AF2" s="9"/>
      <c r="AG2" s="9"/>
      <c r="AH2" s="9"/>
      <c r="AI2" s="9"/>
      <c r="AJ2" s="9"/>
      <c r="AK2" s="9"/>
    </row>
    <row r="3" spans="1:49" x14ac:dyDescent="0.3">
      <c r="A3" s="10"/>
      <c r="B3" s="10"/>
      <c r="C3" s="10"/>
      <c r="D3" s="10"/>
      <c r="E3" s="10"/>
      <c r="F3" s="10"/>
      <c r="G3" s="9"/>
      <c r="H3" s="9"/>
      <c r="I3" s="9"/>
      <c r="J3" s="9"/>
      <c r="K3" s="9"/>
      <c r="L3" s="9"/>
      <c r="M3" s="9"/>
      <c r="N3" s="24"/>
      <c r="O3" s="24"/>
      <c r="P3" s="9"/>
      <c r="S3" s="228" t="s">
        <v>2</v>
      </c>
      <c r="T3" s="228"/>
      <c r="U3" s="229"/>
      <c r="V3" s="218" t="s">
        <v>325</v>
      </c>
      <c r="W3" s="219"/>
      <c r="X3" s="220" t="s">
        <v>313</v>
      </c>
      <c r="Y3" s="318" t="s">
        <v>3</v>
      </c>
      <c r="Z3" s="221"/>
      <c r="AA3" s="222"/>
      <c r="AB3" s="320"/>
      <c r="AC3" s="9"/>
      <c r="AD3" s="47" t="s">
        <v>234</v>
      </c>
      <c r="AE3" s="48"/>
      <c r="AF3" s="82"/>
      <c r="AG3" s="49"/>
      <c r="AH3" s="63" t="s">
        <v>150</v>
      </c>
      <c r="AI3" s="62"/>
      <c r="AJ3" s="62"/>
      <c r="AK3" s="73" t="s">
        <v>14</v>
      </c>
      <c r="AL3" s="52" t="s">
        <v>236</v>
      </c>
    </row>
    <row r="4" spans="1:49" x14ac:dyDescent="0.3">
      <c r="A4" s="10"/>
      <c r="B4" s="10"/>
      <c r="C4" s="10"/>
      <c r="D4" s="10"/>
      <c r="E4" s="10"/>
      <c r="F4" s="10"/>
      <c r="G4" s="9"/>
      <c r="H4" s="9"/>
      <c r="I4" s="9"/>
      <c r="J4" s="9"/>
      <c r="K4" s="9"/>
      <c r="L4" s="9"/>
      <c r="M4" s="9"/>
      <c r="N4" s="24"/>
      <c r="O4" s="24"/>
      <c r="P4" s="9"/>
      <c r="S4" s="355" t="s">
        <v>396</v>
      </c>
      <c r="T4" s="226" t="s">
        <v>4</v>
      </c>
      <c r="U4" s="227" t="s">
        <v>5</v>
      </c>
      <c r="V4" s="223" t="s">
        <v>6</v>
      </c>
      <c r="W4" s="223" t="s">
        <v>112</v>
      </c>
      <c r="X4" s="223" t="s">
        <v>314</v>
      </c>
      <c r="Y4" s="319" t="s">
        <v>7</v>
      </c>
      <c r="Z4" s="224" t="s">
        <v>8</v>
      </c>
      <c r="AA4" s="225" t="s">
        <v>9</v>
      </c>
      <c r="AB4" s="311"/>
      <c r="AC4" s="9"/>
      <c r="AD4" s="93" t="s">
        <v>12</v>
      </c>
      <c r="AE4" s="49"/>
      <c r="AF4" s="72" t="s">
        <v>106</v>
      </c>
      <c r="AG4" s="50" t="s">
        <v>74</v>
      </c>
      <c r="AH4" s="50" t="s">
        <v>13</v>
      </c>
      <c r="AI4" s="50" t="s">
        <v>72</v>
      </c>
      <c r="AJ4" s="53" t="s">
        <v>335</v>
      </c>
      <c r="AK4" s="51" t="s">
        <v>15</v>
      </c>
      <c r="AL4" s="57" t="s">
        <v>149</v>
      </c>
    </row>
    <row r="5" spans="1:49" x14ac:dyDescent="0.3">
      <c r="A5" s="10"/>
      <c r="B5" s="10"/>
      <c r="C5" s="10"/>
      <c r="D5" s="10"/>
      <c r="E5" s="10"/>
      <c r="F5" s="10"/>
      <c r="G5" s="9"/>
      <c r="H5" s="9"/>
      <c r="I5" s="9"/>
      <c r="J5" s="9"/>
      <c r="K5" s="9"/>
      <c r="L5" s="9"/>
      <c r="M5" s="9"/>
      <c r="N5" s="24"/>
      <c r="O5" s="24"/>
      <c r="P5" s="9"/>
      <c r="S5" s="356"/>
      <c r="T5" s="365" t="s">
        <v>22</v>
      </c>
      <c r="U5" s="125" t="s">
        <v>23</v>
      </c>
      <c r="V5" s="6">
        <f>ROUND(Run!DD80,-1)</f>
        <v>240</v>
      </c>
      <c r="W5" s="26" t="s">
        <v>201</v>
      </c>
      <c r="X5" s="55">
        <v>22000</v>
      </c>
      <c r="Y5" s="173">
        <v>750</v>
      </c>
      <c r="Z5" s="174">
        <f t="shared" ref="Z5:Z47" si="0">Y5+((AA5-Y5)/2)</f>
        <v>1875</v>
      </c>
      <c r="AA5" s="175">
        <v>3000</v>
      </c>
      <c r="AB5" s="312"/>
      <c r="AC5" s="9"/>
      <c r="AD5" s="21" t="s">
        <v>98</v>
      </c>
      <c r="AE5" s="41"/>
      <c r="AF5" s="41" t="s">
        <v>75</v>
      </c>
      <c r="AG5" s="42" t="s">
        <v>94</v>
      </c>
      <c r="AH5" s="58">
        <v>100</v>
      </c>
      <c r="AI5" s="58">
        <v>150000</v>
      </c>
      <c r="AJ5" s="58"/>
      <c r="AK5" s="59">
        <v>8000</v>
      </c>
      <c r="AL5" s="121" t="s">
        <v>202</v>
      </c>
    </row>
    <row r="6" spans="1:49" x14ac:dyDescent="0.3">
      <c r="A6" s="10"/>
      <c r="B6" s="10"/>
      <c r="C6" s="10"/>
      <c r="D6" s="10"/>
      <c r="E6" s="10"/>
      <c r="F6" s="10"/>
      <c r="G6" s="9"/>
      <c r="H6" s="9"/>
      <c r="I6" s="9"/>
      <c r="J6" s="9"/>
      <c r="K6" s="9"/>
      <c r="L6" s="9"/>
      <c r="M6" s="9"/>
      <c r="N6" s="24"/>
      <c r="O6" s="24"/>
      <c r="P6" s="9"/>
      <c r="S6" s="356"/>
      <c r="T6" s="366"/>
      <c r="U6" s="20" t="s">
        <v>336</v>
      </c>
      <c r="V6" s="215">
        <f>ROUND(Run!DH80,-1)</f>
        <v>10</v>
      </c>
      <c r="W6" s="27">
        <v>0</v>
      </c>
      <c r="X6" s="165">
        <v>10000</v>
      </c>
      <c r="Y6" s="169">
        <v>500</v>
      </c>
      <c r="Z6" s="170">
        <f t="shared" si="0"/>
        <v>1250</v>
      </c>
      <c r="AA6" s="171">
        <v>2000</v>
      </c>
      <c r="AB6" s="313"/>
      <c r="AC6" s="9"/>
      <c r="AD6" s="19"/>
      <c r="AF6" t="s">
        <v>76</v>
      </c>
      <c r="AG6" s="22" t="s">
        <v>94</v>
      </c>
      <c r="AH6" s="28">
        <v>648</v>
      </c>
      <c r="AI6" s="28">
        <v>1000000</v>
      </c>
      <c r="AJ6" s="28"/>
      <c r="AK6" s="54"/>
      <c r="AL6" s="40" t="s">
        <v>202</v>
      </c>
    </row>
    <row r="7" spans="1:49" x14ac:dyDescent="0.3">
      <c r="A7" s="10"/>
      <c r="B7" s="10"/>
      <c r="C7" s="10"/>
      <c r="D7" s="10"/>
      <c r="E7" s="10"/>
      <c r="F7" s="10"/>
      <c r="G7" s="9"/>
      <c r="H7" s="9"/>
      <c r="I7" s="9"/>
      <c r="J7" s="9"/>
      <c r="K7" s="9"/>
      <c r="L7" s="9"/>
      <c r="M7" s="9"/>
      <c r="N7" s="24"/>
      <c r="O7" s="24"/>
      <c r="P7" s="9"/>
      <c r="S7" s="356"/>
      <c r="T7" s="367" t="s">
        <v>29</v>
      </c>
      <c r="U7" s="11" t="s">
        <v>337</v>
      </c>
      <c r="V7" s="26">
        <v>0</v>
      </c>
      <c r="W7" s="5">
        <v>0</v>
      </c>
      <c r="X7" s="5"/>
      <c r="Y7" s="167">
        <v>500</v>
      </c>
      <c r="Z7" s="168">
        <f t="shared" si="0"/>
        <v>1250</v>
      </c>
      <c r="AA7" s="172">
        <v>2000</v>
      </c>
      <c r="AB7" s="313"/>
      <c r="AC7" s="9"/>
      <c r="AD7" s="19"/>
      <c r="AF7" t="s">
        <v>77</v>
      </c>
      <c r="AG7" s="22" t="s">
        <v>94</v>
      </c>
      <c r="AH7" s="18">
        <v>175</v>
      </c>
      <c r="AI7" s="18"/>
      <c r="AJ7" s="18">
        <v>300000</v>
      </c>
      <c r="AK7" s="54"/>
      <c r="AL7" s="40" t="s">
        <v>202</v>
      </c>
    </row>
    <row r="8" spans="1:49" x14ac:dyDescent="0.3">
      <c r="A8" s="10"/>
      <c r="B8" s="10"/>
      <c r="C8" s="10"/>
      <c r="D8" s="10"/>
      <c r="E8" s="10"/>
      <c r="F8" s="10"/>
      <c r="G8" s="9"/>
      <c r="H8" s="9"/>
      <c r="I8" s="9"/>
      <c r="J8" s="9"/>
      <c r="K8" s="9"/>
      <c r="L8" s="9"/>
      <c r="M8" s="9"/>
      <c r="N8" s="24"/>
      <c r="O8" s="24"/>
      <c r="P8" s="9"/>
      <c r="S8" s="356"/>
      <c r="T8" s="368"/>
      <c r="U8" s="12" t="s">
        <v>338</v>
      </c>
      <c r="V8" s="26">
        <v>0</v>
      </c>
      <c r="W8" s="26">
        <v>0</v>
      </c>
      <c r="X8" s="55">
        <v>15000</v>
      </c>
      <c r="Y8" s="173">
        <v>750</v>
      </c>
      <c r="Z8" s="174">
        <f t="shared" si="0"/>
        <v>1875</v>
      </c>
      <c r="AA8" s="175">
        <v>3000</v>
      </c>
      <c r="AB8" s="312"/>
      <c r="AC8" s="9"/>
      <c r="AD8" s="19" t="s">
        <v>97</v>
      </c>
      <c r="AF8" t="s">
        <v>51</v>
      </c>
      <c r="AG8" s="22" t="s">
        <v>94</v>
      </c>
      <c r="AH8" s="18">
        <v>648</v>
      </c>
      <c r="AI8" s="18">
        <v>1000000</v>
      </c>
      <c r="AJ8" s="18"/>
      <c r="AK8" s="55">
        <v>8000</v>
      </c>
      <c r="AL8" s="40" t="s">
        <v>202</v>
      </c>
    </row>
    <row r="9" spans="1:49" x14ac:dyDescent="0.3">
      <c r="A9" s="10"/>
      <c r="B9" s="10"/>
      <c r="C9" s="10"/>
      <c r="D9" s="10"/>
      <c r="E9" s="10"/>
      <c r="F9" s="10"/>
      <c r="G9" s="9"/>
      <c r="H9" s="9"/>
      <c r="I9" s="9"/>
      <c r="J9" s="9"/>
      <c r="K9" s="9"/>
      <c r="L9" s="9"/>
      <c r="M9" s="9"/>
      <c r="N9" s="24"/>
      <c r="O9" s="24"/>
      <c r="P9" s="9"/>
      <c r="S9" s="356"/>
      <c r="T9" s="368"/>
      <c r="U9" s="12" t="s">
        <v>339</v>
      </c>
      <c r="V9" s="26">
        <v>0</v>
      </c>
      <c r="W9" s="26">
        <v>0</v>
      </c>
      <c r="X9" s="55">
        <v>13000</v>
      </c>
      <c r="Y9" s="173">
        <v>500</v>
      </c>
      <c r="Z9" s="174">
        <f t="shared" si="0"/>
        <v>1250</v>
      </c>
      <c r="AA9" s="176">
        <v>2000</v>
      </c>
      <c r="AB9" s="313"/>
      <c r="AC9" s="9"/>
      <c r="AD9" s="19" t="s">
        <v>99</v>
      </c>
      <c r="AF9" t="s">
        <v>95</v>
      </c>
      <c r="AG9" s="22" t="s">
        <v>94</v>
      </c>
      <c r="AH9" s="18"/>
      <c r="AI9" s="18"/>
      <c r="AJ9" s="18"/>
      <c r="AK9" s="55"/>
      <c r="AL9" s="40" t="s">
        <v>99</v>
      </c>
    </row>
    <row r="10" spans="1:49" x14ac:dyDescent="0.3">
      <c r="A10" s="10"/>
      <c r="B10" s="10"/>
      <c r="C10" s="10"/>
      <c r="D10" s="10"/>
      <c r="E10" s="10"/>
      <c r="F10" s="10"/>
      <c r="G10" s="9"/>
      <c r="H10" s="9"/>
      <c r="I10" s="9"/>
      <c r="J10" s="9"/>
      <c r="K10" s="9"/>
      <c r="L10" s="9"/>
      <c r="M10" s="24"/>
      <c r="N10" s="24"/>
      <c r="O10" s="24"/>
      <c r="P10" s="9"/>
      <c r="S10" s="356"/>
      <c r="T10" s="368"/>
      <c r="U10" s="13" t="s">
        <v>340</v>
      </c>
      <c r="V10" s="27" t="s">
        <v>201</v>
      </c>
      <c r="W10" s="27">
        <v>0</v>
      </c>
      <c r="X10" s="165">
        <v>22000</v>
      </c>
      <c r="Y10" s="173">
        <v>1000</v>
      </c>
      <c r="Z10" s="174">
        <f t="shared" si="0"/>
        <v>2500</v>
      </c>
      <c r="AA10" s="176">
        <v>4000</v>
      </c>
      <c r="AB10" s="313"/>
      <c r="AC10" s="9"/>
      <c r="AD10" s="19" t="s">
        <v>101</v>
      </c>
      <c r="AF10" t="s">
        <v>23</v>
      </c>
      <c r="AG10" s="17" t="s">
        <v>96</v>
      </c>
      <c r="AH10" s="26">
        <v>150</v>
      </c>
      <c r="AI10" s="26">
        <v>225500</v>
      </c>
      <c r="AJ10" s="28"/>
      <c r="AK10" s="54">
        <v>1152</v>
      </c>
      <c r="AL10" s="40" t="s">
        <v>202</v>
      </c>
      <c r="AO10" s="324" t="s">
        <v>100</v>
      </c>
      <c r="AP10" s="90"/>
      <c r="AQ10" s="90" t="s">
        <v>78</v>
      </c>
      <c r="AR10" s="325" t="s">
        <v>96</v>
      </c>
      <c r="AS10" s="326">
        <v>165</v>
      </c>
      <c r="AT10" s="326">
        <v>250000</v>
      </c>
      <c r="AU10" s="26"/>
      <c r="AV10" s="55"/>
      <c r="AW10" s="40"/>
    </row>
    <row r="11" spans="1:49" x14ac:dyDescent="0.3">
      <c r="A11" s="10"/>
      <c r="B11" s="10"/>
      <c r="C11" s="10"/>
      <c r="D11" s="10"/>
      <c r="E11" s="10"/>
      <c r="F11" s="10"/>
      <c r="G11" s="9"/>
      <c r="H11" s="9"/>
      <c r="I11" s="9"/>
      <c r="J11" s="9"/>
      <c r="K11" s="9"/>
      <c r="L11" s="9"/>
      <c r="M11" s="24"/>
      <c r="N11" s="24"/>
      <c r="O11" s="24"/>
      <c r="P11" s="9"/>
      <c r="S11" s="356"/>
      <c r="T11" s="362" t="s">
        <v>30</v>
      </c>
      <c r="U11" s="11" t="s">
        <v>341</v>
      </c>
      <c r="V11" s="26">
        <v>0</v>
      </c>
      <c r="W11" s="5">
        <v>0</v>
      </c>
      <c r="X11" s="5"/>
      <c r="Y11" s="207">
        <v>1000</v>
      </c>
      <c r="Z11" s="208">
        <v>2500</v>
      </c>
      <c r="AA11" s="209">
        <v>4000</v>
      </c>
      <c r="AB11" s="314"/>
      <c r="AC11" s="9"/>
      <c r="AD11" s="19" t="s">
        <v>99</v>
      </c>
      <c r="AF11" t="s">
        <v>79</v>
      </c>
      <c r="AG11" s="17" t="s">
        <v>96</v>
      </c>
      <c r="AH11" s="28"/>
      <c r="AI11" s="26"/>
      <c r="AJ11" s="28"/>
      <c r="AK11" s="54"/>
      <c r="AL11" s="40" t="s">
        <v>99</v>
      </c>
    </row>
    <row r="12" spans="1:49" x14ac:dyDescent="0.3">
      <c r="A12" s="10"/>
      <c r="B12" s="10"/>
      <c r="C12" s="10"/>
      <c r="D12" s="10"/>
      <c r="E12" s="10"/>
      <c r="F12" s="10"/>
      <c r="G12" s="9"/>
      <c r="H12" s="9"/>
      <c r="I12" s="9"/>
      <c r="J12" s="9"/>
      <c r="K12" s="9"/>
      <c r="L12" s="9"/>
      <c r="M12" s="24"/>
      <c r="N12" s="24"/>
      <c r="O12" s="24"/>
      <c r="P12" s="9"/>
      <c r="S12" s="356"/>
      <c r="T12" s="369"/>
      <c r="U12" s="12" t="s">
        <v>342</v>
      </c>
      <c r="V12" s="26">
        <v>0</v>
      </c>
      <c r="W12" s="26">
        <v>0</v>
      </c>
      <c r="X12" s="26"/>
      <c r="Y12" s="210">
        <v>750</v>
      </c>
      <c r="Z12" s="18">
        <v>1875</v>
      </c>
      <c r="AA12" s="211">
        <v>3000</v>
      </c>
      <c r="AB12" s="314"/>
      <c r="AC12" s="9"/>
      <c r="AD12" s="19" t="s">
        <v>102</v>
      </c>
      <c r="AF12" t="s">
        <v>80</v>
      </c>
      <c r="AG12" s="17" t="s">
        <v>96</v>
      </c>
      <c r="AH12" s="26">
        <v>100</v>
      </c>
      <c r="AI12" s="28">
        <v>150000</v>
      </c>
      <c r="AJ12" s="28"/>
      <c r="AK12" s="28">
        <v>5820</v>
      </c>
      <c r="AL12" s="40" t="s">
        <v>202</v>
      </c>
    </row>
    <row r="13" spans="1:49" ht="15" customHeight="1" x14ac:dyDescent="0.3">
      <c r="A13" s="10"/>
      <c r="B13" s="10"/>
      <c r="C13" s="10"/>
      <c r="D13" s="10"/>
      <c r="E13" s="10"/>
      <c r="F13" s="10"/>
      <c r="G13" s="9"/>
      <c r="H13" s="9"/>
      <c r="I13" s="9"/>
      <c r="J13" s="9"/>
      <c r="K13" s="9"/>
      <c r="L13" s="9"/>
      <c r="M13" s="24"/>
      <c r="N13" s="24"/>
      <c r="O13" s="24"/>
      <c r="P13" s="9"/>
      <c r="S13" s="356"/>
      <c r="T13" s="369"/>
      <c r="U13" s="12" t="s">
        <v>343</v>
      </c>
      <c r="V13" s="26" t="s">
        <v>201</v>
      </c>
      <c r="W13" s="26">
        <v>0</v>
      </c>
      <c r="X13" s="55">
        <v>15000</v>
      </c>
      <c r="Y13" s="173">
        <v>500</v>
      </c>
      <c r="Z13" s="174">
        <f t="shared" si="0"/>
        <v>1250</v>
      </c>
      <c r="AA13" s="176">
        <v>2000</v>
      </c>
      <c r="AB13" s="313"/>
      <c r="AC13" s="9"/>
      <c r="AD13" s="19"/>
      <c r="AF13" t="s">
        <v>35</v>
      </c>
      <c r="AG13" s="17" t="s">
        <v>96</v>
      </c>
      <c r="AH13" s="28">
        <v>165</v>
      </c>
      <c r="AI13" s="28">
        <v>250000</v>
      </c>
      <c r="AJ13" s="28"/>
      <c r="AK13" s="28"/>
      <c r="AL13" s="40" t="s">
        <v>202</v>
      </c>
    </row>
    <row r="14" spans="1:49" x14ac:dyDescent="0.3">
      <c r="A14" s="10"/>
      <c r="B14" s="10"/>
      <c r="C14" s="10"/>
      <c r="D14" s="10"/>
      <c r="E14" s="10"/>
      <c r="F14" s="10"/>
      <c r="G14" s="9"/>
      <c r="H14" s="9"/>
      <c r="I14" s="9"/>
      <c r="J14" s="9"/>
      <c r="K14" s="9"/>
      <c r="L14" s="9"/>
      <c r="M14" s="24"/>
      <c r="N14" s="24"/>
      <c r="O14" s="24"/>
      <c r="P14" s="9"/>
      <c r="S14" s="356"/>
      <c r="T14" s="369"/>
      <c r="U14" s="12" t="s">
        <v>344</v>
      </c>
      <c r="V14" s="26" t="s">
        <v>201</v>
      </c>
      <c r="W14" s="26">
        <v>0</v>
      </c>
      <c r="X14" s="55">
        <v>24000</v>
      </c>
      <c r="Y14" s="173">
        <v>1000</v>
      </c>
      <c r="Z14" s="174">
        <f t="shared" si="0"/>
        <v>2500</v>
      </c>
      <c r="AA14" s="176">
        <v>4000</v>
      </c>
      <c r="AB14" s="313"/>
      <c r="AC14" s="9"/>
      <c r="AD14" s="19"/>
      <c r="AF14" t="s">
        <v>81</v>
      </c>
      <c r="AG14" s="17" t="s">
        <v>96</v>
      </c>
      <c r="AH14" s="28">
        <v>165</v>
      </c>
      <c r="AI14" s="28">
        <v>250000</v>
      </c>
      <c r="AJ14" s="28"/>
      <c r="AK14" s="28"/>
      <c r="AL14" s="40" t="s">
        <v>202</v>
      </c>
    </row>
    <row r="15" spans="1:49" x14ac:dyDescent="0.3">
      <c r="A15" s="10"/>
      <c r="B15" s="10"/>
      <c r="C15" s="10"/>
      <c r="D15" s="10"/>
      <c r="E15" s="10"/>
      <c r="F15" s="10"/>
      <c r="G15" s="9"/>
      <c r="H15" s="9"/>
      <c r="I15" s="9"/>
      <c r="J15" s="9"/>
      <c r="K15" s="9"/>
      <c r="L15" s="9"/>
      <c r="M15" s="24"/>
      <c r="N15" s="24"/>
      <c r="O15" s="24"/>
      <c r="P15" s="9"/>
      <c r="S15" s="356"/>
      <c r="T15" s="369"/>
      <c r="U15" s="12" t="s">
        <v>345</v>
      </c>
      <c r="V15" s="26" t="s">
        <v>201</v>
      </c>
      <c r="W15" s="26">
        <v>0</v>
      </c>
      <c r="X15" s="55">
        <v>8000</v>
      </c>
      <c r="Y15" s="173">
        <v>500</v>
      </c>
      <c r="Z15" s="174">
        <f t="shared" si="0"/>
        <v>1250</v>
      </c>
      <c r="AA15" s="176">
        <v>2000</v>
      </c>
      <c r="AB15" s="313"/>
      <c r="AC15" s="9"/>
      <c r="AD15" s="19"/>
      <c r="AF15" t="s">
        <v>82</v>
      </c>
      <c r="AG15" s="17" t="s">
        <v>96</v>
      </c>
      <c r="AH15" s="28">
        <v>165</v>
      </c>
      <c r="AI15" s="28">
        <v>250000</v>
      </c>
      <c r="AJ15" s="28"/>
      <c r="AK15" s="28"/>
      <c r="AL15" s="40" t="s">
        <v>202</v>
      </c>
    </row>
    <row r="16" spans="1:49" x14ac:dyDescent="0.3">
      <c r="A16" s="10"/>
      <c r="B16" s="10"/>
      <c r="C16" s="10"/>
      <c r="D16" s="10"/>
      <c r="E16" s="10"/>
      <c r="F16" s="10"/>
      <c r="G16" s="9"/>
      <c r="H16" s="9"/>
      <c r="I16" s="9"/>
      <c r="J16" s="9"/>
      <c r="K16" s="9"/>
      <c r="L16" s="9"/>
      <c r="M16" s="24"/>
      <c r="N16" s="24"/>
      <c r="O16" s="24"/>
      <c r="P16" s="9"/>
      <c r="S16" s="356"/>
      <c r="T16" s="369"/>
      <c r="U16" s="12" t="s">
        <v>346</v>
      </c>
      <c r="V16" s="26" t="s">
        <v>201</v>
      </c>
      <c r="W16" s="26">
        <v>0</v>
      </c>
      <c r="X16" s="55">
        <v>12000</v>
      </c>
      <c r="Y16" s="173">
        <v>750</v>
      </c>
      <c r="Z16" s="174">
        <f t="shared" si="0"/>
        <v>1875</v>
      </c>
      <c r="AA16" s="175">
        <v>3000</v>
      </c>
      <c r="AB16" s="312"/>
      <c r="AC16" s="9"/>
      <c r="AD16" s="19"/>
      <c r="AF16" t="s">
        <v>36</v>
      </c>
      <c r="AG16" s="17" t="s">
        <v>96</v>
      </c>
      <c r="AH16" s="28">
        <v>320</v>
      </c>
      <c r="AI16" s="28">
        <v>490000</v>
      </c>
      <c r="AJ16" s="28"/>
      <c r="AK16" s="28">
        <v>3210</v>
      </c>
      <c r="AL16" s="40" t="s">
        <v>202</v>
      </c>
    </row>
    <row r="17" spans="1:38" x14ac:dyDescent="0.3">
      <c r="A17" s="10"/>
      <c r="B17" s="10"/>
      <c r="C17" s="10"/>
      <c r="D17" s="10"/>
      <c r="E17" s="10"/>
      <c r="F17" s="10"/>
      <c r="G17" s="9"/>
      <c r="H17" s="9"/>
      <c r="I17" s="9"/>
      <c r="J17" s="9"/>
      <c r="K17" s="9"/>
      <c r="L17" s="9"/>
      <c r="M17" s="24"/>
      <c r="N17" s="24"/>
      <c r="O17" s="24"/>
      <c r="P17" s="9"/>
      <c r="S17" s="356"/>
      <c r="T17" s="370"/>
      <c r="U17" s="13" t="s">
        <v>347</v>
      </c>
      <c r="V17" s="27" t="s">
        <v>201</v>
      </c>
      <c r="W17" s="27">
        <v>0</v>
      </c>
      <c r="X17" s="165">
        <v>18000</v>
      </c>
      <c r="Y17" s="169">
        <v>1000</v>
      </c>
      <c r="Z17" s="170">
        <f t="shared" si="0"/>
        <v>2500</v>
      </c>
      <c r="AA17" s="171">
        <v>4000</v>
      </c>
      <c r="AB17" s="313"/>
      <c r="AC17" s="9"/>
      <c r="AD17" s="19" t="s">
        <v>103</v>
      </c>
      <c r="AF17" t="s">
        <v>83</v>
      </c>
      <c r="AG17" s="17" t="s">
        <v>96</v>
      </c>
      <c r="AH17" s="28">
        <v>1621</v>
      </c>
      <c r="AI17" s="28">
        <v>2500000</v>
      </c>
      <c r="AJ17" s="28"/>
      <c r="AK17" s="54">
        <v>24000</v>
      </c>
      <c r="AL17" s="40" t="s">
        <v>202</v>
      </c>
    </row>
    <row r="18" spans="1:38" x14ac:dyDescent="0.3">
      <c r="A18" s="10"/>
      <c r="B18" s="10"/>
      <c r="C18" s="10"/>
      <c r="D18" s="10"/>
      <c r="E18" s="10"/>
      <c r="F18" s="10"/>
      <c r="G18" s="9"/>
      <c r="H18" s="9"/>
      <c r="I18" s="9"/>
      <c r="J18" s="9"/>
      <c r="K18" s="9"/>
      <c r="L18" s="9"/>
      <c r="M18" s="24"/>
      <c r="N18" s="24"/>
      <c r="O18" s="24"/>
      <c r="P18" s="9"/>
      <c r="S18" s="356"/>
      <c r="T18" s="367" t="s">
        <v>28</v>
      </c>
      <c r="U18" s="14" t="s">
        <v>31</v>
      </c>
      <c r="V18" s="6">
        <f>ROUND(Run!CR80,-1)</f>
        <v>420</v>
      </c>
      <c r="W18" s="208">
        <v>820</v>
      </c>
      <c r="X18" s="166">
        <v>13000</v>
      </c>
      <c r="Y18" s="173">
        <v>750</v>
      </c>
      <c r="Z18" s="174">
        <f t="shared" si="0"/>
        <v>1875</v>
      </c>
      <c r="AA18" s="175">
        <v>3000</v>
      </c>
      <c r="AB18" s="312"/>
      <c r="AC18" s="9"/>
      <c r="AD18" s="19"/>
      <c r="AF18" t="s">
        <v>37</v>
      </c>
      <c r="AG18" s="17" t="s">
        <v>96</v>
      </c>
      <c r="AH18" s="28">
        <v>100</v>
      </c>
      <c r="AI18" s="28">
        <v>150000</v>
      </c>
      <c r="AJ18" s="28"/>
      <c r="AK18" s="56"/>
      <c r="AL18" s="40" t="s">
        <v>202</v>
      </c>
    </row>
    <row r="19" spans="1:38" x14ac:dyDescent="0.3">
      <c r="A19" s="10"/>
      <c r="B19" s="10"/>
      <c r="C19" s="10"/>
      <c r="D19" s="10"/>
      <c r="E19" s="10"/>
      <c r="F19" s="10"/>
      <c r="G19" s="9"/>
      <c r="H19" s="9"/>
      <c r="I19" s="9"/>
      <c r="J19" s="9"/>
      <c r="K19" s="9"/>
      <c r="L19" s="9"/>
      <c r="M19" s="24"/>
      <c r="N19" s="24"/>
      <c r="O19" s="24"/>
      <c r="P19" s="9"/>
      <c r="S19" s="356"/>
      <c r="T19" s="368"/>
      <c r="U19" s="15" t="s">
        <v>32</v>
      </c>
      <c r="V19" s="6">
        <f>ROUND(Run!BW80,-1)</f>
        <v>530</v>
      </c>
      <c r="W19" s="18">
        <v>1276</v>
      </c>
      <c r="X19" s="55">
        <v>14000</v>
      </c>
      <c r="Y19" s="173">
        <v>750</v>
      </c>
      <c r="Z19" s="174">
        <f t="shared" si="0"/>
        <v>1875</v>
      </c>
      <c r="AA19" s="175">
        <v>3000</v>
      </c>
      <c r="AB19" s="312"/>
      <c r="AC19" s="9"/>
      <c r="AD19" s="19"/>
      <c r="AF19" t="s">
        <v>84</v>
      </c>
      <c r="AG19" s="17" t="s">
        <v>96</v>
      </c>
      <c r="AH19" s="28">
        <v>230</v>
      </c>
      <c r="AI19" s="28">
        <v>350000</v>
      </c>
      <c r="AJ19" s="28"/>
      <c r="AK19" s="56"/>
      <c r="AL19" s="40" t="s">
        <v>202</v>
      </c>
    </row>
    <row r="20" spans="1:38" x14ac:dyDescent="0.3">
      <c r="A20" s="10"/>
      <c r="B20" s="10"/>
      <c r="C20" s="10"/>
      <c r="D20" s="10"/>
      <c r="E20" s="10"/>
      <c r="F20" s="10"/>
      <c r="G20" s="9"/>
      <c r="H20" s="9"/>
      <c r="I20" s="9"/>
      <c r="J20" s="9"/>
      <c r="K20" s="9"/>
      <c r="L20" s="9"/>
      <c r="M20" s="24"/>
      <c r="N20" s="24"/>
      <c r="O20" s="24"/>
      <c r="P20" s="9"/>
      <c r="S20" s="356"/>
      <c r="T20" s="368"/>
      <c r="U20" s="15" t="s">
        <v>33</v>
      </c>
      <c r="V20" s="6">
        <f>ROUND(Run!BI80,-1)</f>
        <v>190</v>
      </c>
      <c r="W20" s="18">
        <v>969</v>
      </c>
      <c r="X20" s="55">
        <v>22000</v>
      </c>
      <c r="Y20" s="173">
        <v>750</v>
      </c>
      <c r="Z20" s="174">
        <f t="shared" si="0"/>
        <v>1875</v>
      </c>
      <c r="AA20" s="175">
        <v>3000</v>
      </c>
      <c r="AB20" s="312"/>
      <c r="AC20" s="9"/>
      <c r="AD20" s="19" t="s">
        <v>104</v>
      </c>
      <c r="AF20" t="s">
        <v>85</v>
      </c>
      <c r="AG20" s="17" t="s">
        <v>96</v>
      </c>
      <c r="AH20" s="28">
        <v>972</v>
      </c>
      <c r="AI20" s="28">
        <v>1800000</v>
      </c>
      <c r="AJ20" s="28"/>
      <c r="AK20" s="54">
        <v>19445</v>
      </c>
      <c r="AL20" s="40" t="s">
        <v>202</v>
      </c>
    </row>
    <row r="21" spans="1:38" x14ac:dyDescent="0.3">
      <c r="A21" s="10"/>
      <c r="B21" s="10"/>
      <c r="C21" s="10"/>
      <c r="D21" s="9"/>
      <c r="E21" s="9"/>
      <c r="F21" s="10"/>
      <c r="G21" s="9"/>
      <c r="H21" s="9"/>
      <c r="I21" s="9"/>
      <c r="J21" s="9"/>
      <c r="K21" s="9"/>
      <c r="L21" s="9"/>
      <c r="M21" s="24"/>
      <c r="N21" s="24"/>
      <c r="O21" s="24"/>
      <c r="P21" s="9"/>
      <c r="S21" s="356"/>
      <c r="T21" s="368"/>
      <c r="U21" s="15" t="s">
        <v>348</v>
      </c>
      <c r="V21" s="6" t="s">
        <v>201</v>
      </c>
      <c r="W21" s="18" t="s">
        <v>201</v>
      </c>
      <c r="X21" s="55">
        <v>3000</v>
      </c>
      <c r="Y21" s="173">
        <v>500</v>
      </c>
      <c r="Z21" s="174">
        <f t="shared" si="0"/>
        <v>1250</v>
      </c>
      <c r="AA21" s="176">
        <v>2000</v>
      </c>
      <c r="AB21" s="313"/>
      <c r="AC21" s="9"/>
      <c r="AD21" s="19" t="s">
        <v>105</v>
      </c>
      <c r="AF21" t="s">
        <v>162</v>
      </c>
      <c r="AG21" s="17" t="s">
        <v>96</v>
      </c>
      <c r="AH21" s="28">
        <v>200</v>
      </c>
      <c r="AI21" s="28">
        <v>300000</v>
      </c>
      <c r="AJ21" s="28"/>
      <c r="AK21" s="56"/>
      <c r="AL21" s="40" t="s">
        <v>202</v>
      </c>
    </row>
    <row r="22" spans="1:38" x14ac:dyDescent="0.3">
      <c r="A22" s="10"/>
      <c r="B22" s="10"/>
      <c r="C22" s="10"/>
      <c r="D22" s="9"/>
      <c r="E22" s="9"/>
      <c r="F22" s="10"/>
      <c r="G22" s="9"/>
      <c r="H22" s="9"/>
      <c r="I22" s="9"/>
      <c r="J22" s="9"/>
      <c r="K22" s="9"/>
      <c r="L22" s="9"/>
      <c r="M22" s="24"/>
      <c r="N22" s="24"/>
      <c r="O22" s="24"/>
      <c r="P22" s="9"/>
      <c r="S22" s="356"/>
      <c r="T22" s="368"/>
      <c r="U22" s="15" t="s">
        <v>34</v>
      </c>
      <c r="V22" s="6">
        <v>635</v>
      </c>
      <c r="W22" s="18">
        <v>926</v>
      </c>
      <c r="X22" s="55">
        <v>36000</v>
      </c>
      <c r="Y22" s="173">
        <v>1000</v>
      </c>
      <c r="Z22" s="174">
        <f t="shared" si="0"/>
        <v>2500</v>
      </c>
      <c r="AA22" s="176">
        <v>4000</v>
      </c>
      <c r="AB22" s="313"/>
      <c r="AC22" s="9"/>
      <c r="AD22" s="19" t="s">
        <v>159</v>
      </c>
      <c r="AF22" t="s">
        <v>86</v>
      </c>
      <c r="AG22" s="17" t="s">
        <v>96</v>
      </c>
      <c r="AH22" s="28">
        <v>285</v>
      </c>
      <c r="AI22" s="28"/>
      <c r="AJ22" s="28">
        <v>400000</v>
      </c>
      <c r="AK22" s="54">
        <v>9135</v>
      </c>
      <c r="AL22" s="40" t="s">
        <v>202</v>
      </c>
    </row>
    <row r="23" spans="1:38" x14ac:dyDescent="0.3">
      <c r="A23" s="10"/>
      <c r="B23" s="10"/>
      <c r="C23" s="10"/>
      <c r="D23" s="9"/>
      <c r="E23" s="9"/>
      <c r="F23" s="10"/>
      <c r="G23" s="9"/>
      <c r="H23" s="9"/>
      <c r="I23" s="9"/>
      <c r="J23" s="9"/>
      <c r="K23" s="9"/>
      <c r="L23" s="9"/>
      <c r="M23" s="24"/>
      <c r="N23" s="24"/>
      <c r="O23" s="24"/>
      <c r="P23" s="9"/>
      <c r="S23" s="356"/>
      <c r="T23" s="368"/>
      <c r="U23" s="15" t="s">
        <v>35</v>
      </c>
      <c r="V23" s="6">
        <f>ROUND(Run!CD80,-1)</f>
        <v>70</v>
      </c>
      <c r="W23" s="18">
        <v>111</v>
      </c>
      <c r="X23" s="55">
        <v>31000</v>
      </c>
      <c r="Y23" s="173">
        <v>1000</v>
      </c>
      <c r="Z23" s="174">
        <f t="shared" si="0"/>
        <v>2500</v>
      </c>
      <c r="AA23" s="176">
        <v>4000</v>
      </c>
      <c r="AB23" s="313"/>
      <c r="AC23" s="9"/>
      <c r="AD23" s="19"/>
      <c r="AF23" t="s">
        <v>107</v>
      </c>
      <c r="AG23" s="17" t="s">
        <v>96</v>
      </c>
      <c r="AH23" s="28">
        <v>106</v>
      </c>
      <c r="AI23" s="28"/>
      <c r="AJ23" s="28">
        <v>150000</v>
      </c>
      <c r="AK23" s="56"/>
      <c r="AL23" s="40" t="s">
        <v>202</v>
      </c>
    </row>
    <row r="24" spans="1:38" x14ac:dyDescent="0.3">
      <c r="A24" s="10"/>
      <c r="B24" s="10"/>
      <c r="C24" s="10"/>
      <c r="D24" s="9"/>
      <c r="E24" s="9"/>
      <c r="F24" s="10"/>
      <c r="G24" s="9"/>
      <c r="H24" s="9"/>
      <c r="I24" s="9"/>
      <c r="J24" s="9"/>
      <c r="K24" s="9"/>
      <c r="L24" s="9"/>
      <c r="M24" s="24"/>
      <c r="N24" s="24"/>
      <c r="O24" s="24"/>
      <c r="P24" s="9"/>
      <c r="S24" s="356"/>
      <c r="T24" s="368"/>
      <c r="U24" s="15" t="s">
        <v>36</v>
      </c>
      <c r="V24" s="6">
        <f>ROUND(Run!BP80,-1)</f>
        <v>410</v>
      </c>
      <c r="W24" s="18">
        <v>2340</v>
      </c>
      <c r="X24" s="55">
        <v>38000</v>
      </c>
      <c r="Y24" s="173">
        <v>750</v>
      </c>
      <c r="Z24" s="174">
        <f t="shared" si="0"/>
        <v>1875</v>
      </c>
      <c r="AA24" s="175">
        <v>3000</v>
      </c>
      <c r="AB24" s="312"/>
      <c r="AC24" s="9"/>
      <c r="AD24" s="19"/>
      <c r="AF24" t="s">
        <v>87</v>
      </c>
      <c r="AG24" s="17" t="s">
        <v>96</v>
      </c>
      <c r="AH24" s="28">
        <v>55</v>
      </c>
      <c r="AI24" s="28"/>
      <c r="AJ24" s="28">
        <v>75000</v>
      </c>
      <c r="AK24" s="56"/>
      <c r="AL24" s="40" t="s">
        <v>202</v>
      </c>
    </row>
    <row r="25" spans="1:38" x14ac:dyDescent="0.3">
      <c r="A25" s="10"/>
      <c r="B25" s="10"/>
      <c r="C25" s="10"/>
      <c r="D25" s="9"/>
      <c r="E25" s="9"/>
      <c r="F25" s="10"/>
      <c r="G25" s="9"/>
      <c r="H25" s="9"/>
      <c r="I25" s="9"/>
      <c r="J25" s="9"/>
      <c r="K25" s="9"/>
      <c r="L25" s="9"/>
      <c r="M25" s="24"/>
      <c r="N25" s="24"/>
      <c r="O25" s="24"/>
      <c r="P25" s="9"/>
      <c r="S25" s="356"/>
      <c r="T25" s="368"/>
      <c r="U25" s="16" t="s">
        <v>349</v>
      </c>
      <c r="V25" s="215" t="s">
        <v>201</v>
      </c>
      <c r="W25" s="120" t="s">
        <v>201</v>
      </c>
      <c r="X25" s="27"/>
      <c r="Y25" s="169">
        <v>500</v>
      </c>
      <c r="Z25" s="170">
        <f t="shared" si="0"/>
        <v>1250</v>
      </c>
      <c r="AA25" s="171">
        <v>2000</v>
      </c>
      <c r="AB25" s="313"/>
      <c r="AC25" s="9"/>
      <c r="AD25" s="19" t="s">
        <v>108</v>
      </c>
      <c r="AF25" t="s">
        <v>88</v>
      </c>
      <c r="AG25" s="17" t="s">
        <v>96</v>
      </c>
      <c r="AH25" s="28">
        <v>130</v>
      </c>
      <c r="AI25" s="28">
        <v>200000</v>
      </c>
      <c r="AJ25" s="28"/>
      <c r="AK25" s="56"/>
      <c r="AL25" s="40" t="s">
        <v>202</v>
      </c>
    </row>
    <row r="26" spans="1:38" x14ac:dyDescent="0.3">
      <c r="A26" s="10"/>
      <c r="B26" s="10"/>
      <c r="C26" s="10"/>
      <c r="D26" s="9"/>
      <c r="E26" s="9"/>
      <c r="F26" s="10"/>
      <c r="G26" s="9"/>
      <c r="H26" s="9"/>
      <c r="I26" s="9"/>
      <c r="J26" s="9"/>
      <c r="K26" s="9"/>
      <c r="L26" s="9"/>
      <c r="M26" s="24"/>
      <c r="N26" s="24"/>
      <c r="O26" s="24"/>
      <c r="P26" s="9"/>
      <c r="S26" s="356"/>
      <c r="T26" s="367" t="s">
        <v>27</v>
      </c>
      <c r="U26" s="11" t="s">
        <v>37</v>
      </c>
      <c r="V26" s="26" t="s">
        <v>201</v>
      </c>
      <c r="W26" s="26"/>
      <c r="X26" s="55">
        <v>14000</v>
      </c>
      <c r="Y26" s="167">
        <v>500</v>
      </c>
      <c r="Z26" s="168">
        <f t="shared" si="0"/>
        <v>1250</v>
      </c>
      <c r="AA26" s="172">
        <v>2000</v>
      </c>
      <c r="AB26" s="313"/>
      <c r="AC26" s="9"/>
      <c r="AD26" s="19" t="s">
        <v>109</v>
      </c>
      <c r="AF26" t="s">
        <v>89</v>
      </c>
      <c r="AG26" s="17" t="s">
        <v>96</v>
      </c>
      <c r="AH26" s="28">
        <v>215</v>
      </c>
      <c r="AI26" s="28"/>
      <c r="AJ26" s="28">
        <v>300000</v>
      </c>
      <c r="AK26" s="56"/>
      <c r="AL26" s="40" t="s">
        <v>202</v>
      </c>
    </row>
    <row r="27" spans="1:38" x14ac:dyDescent="0.3">
      <c r="A27" s="10"/>
      <c r="B27" s="10"/>
      <c r="C27" s="10"/>
      <c r="D27" s="9"/>
      <c r="E27" s="9"/>
      <c r="F27" s="10"/>
      <c r="G27" s="9"/>
      <c r="H27" s="9"/>
      <c r="I27" s="9"/>
      <c r="J27" s="9"/>
      <c r="K27" s="9"/>
      <c r="L27" s="9"/>
      <c r="M27" s="24"/>
      <c r="N27" s="24"/>
      <c r="O27" s="24"/>
      <c r="P27" s="9"/>
      <c r="S27" s="356"/>
      <c r="T27" s="368"/>
      <c r="U27" s="12" t="s">
        <v>38</v>
      </c>
      <c r="V27" s="26" t="s">
        <v>201</v>
      </c>
      <c r="W27" s="26">
        <v>828</v>
      </c>
      <c r="X27" s="55">
        <v>15000</v>
      </c>
      <c r="Y27" s="173">
        <v>750</v>
      </c>
      <c r="Z27" s="174">
        <f t="shared" si="0"/>
        <v>1875</v>
      </c>
      <c r="AA27" s="175">
        <v>3000</v>
      </c>
      <c r="AB27" s="312"/>
      <c r="AC27" s="9"/>
      <c r="AD27" s="19"/>
      <c r="AF27" t="s">
        <v>90</v>
      </c>
      <c r="AG27" s="17" t="s">
        <v>96</v>
      </c>
      <c r="AH27" s="28">
        <v>690</v>
      </c>
      <c r="AI27" s="28">
        <v>1050000</v>
      </c>
      <c r="AJ27" s="28"/>
      <c r="AK27" s="56"/>
      <c r="AL27" s="40" t="s">
        <v>202</v>
      </c>
    </row>
    <row r="28" spans="1:38" x14ac:dyDescent="0.3">
      <c r="A28" s="10"/>
      <c r="B28" s="10"/>
      <c r="C28" s="10"/>
      <c r="D28" s="9"/>
      <c r="E28" s="9"/>
      <c r="F28" s="10"/>
      <c r="G28" s="9"/>
      <c r="H28" s="9"/>
      <c r="I28" s="9"/>
      <c r="J28" s="9"/>
      <c r="K28" s="9"/>
      <c r="L28" s="9"/>
      <c r="M28" s="24"/>
      <c r="N28" s="24"/>
      <c r="O28" s="24"/>
      <c r="P28" s="9"/>
      <c r="S28" s="356"/>
      <c r="T28" s="368"/>
      <c r="U28" s="12" t="s">
        <v>27</v>
      </c>
      <c r="V28" s="6">
        <f>ROUND(Run!ES80,-1)</f>
        <v>510</v>
      </c>
      <c r="W28" s="26">
        <f>ROUND(Run!ES83,-1)</f>
        <v>3270</v>
      </c>
      <c r="X28" s="55">
        <v>24000</v>
      </c>
      <c r="Y28" s="173">
        <v>1000</v>
      </c>
      <c r="Z28" s="174">
        <v>5000</v>
      </c>
      <c r="AA28" s="176">
        <v>8000</v>
      </c>
      <c r="AB28" s="313"/>
      <c r="AC28" s="9"/>
      <c r="AD28" s="19" t="s">
        <v>110</v>
      </c>
      <c r="AF28" t="s">
        <v>91</v>
      </c>
      <c r="AG28" s="17" t="s">
        <v>96</v>
      </c>
      <c r="AH28" s="28">
        <v>425</v>
      </c>
      <c r="AI28" s="28">
        <v>650000</v>
      </c>
      <c r="AJ28" s="28"/>
      <c r="AK28" s="56"/>
      <c r="AL28" s="40" t="s">
        <v>202</v>
      </c>
    </row>
    <row r="29" spans="1:38" x14ac:dyDescent="0.3">
      <c r="A29" s="10"/>
      <c r="B29" s="10"/>
      <c r="C29" s="10"/>
      <c r="D29" s="9"/>
      <c r="E29" s="9"/>
      <c r="F29" s="10"/>
      <c r="G29" s="9"/>
      <c r="H29" s="9"/>
      <c r="I29" s="9"/>
      <c r="J29" s="9"/>
      <c r="K29" s="9"/>
      <c r="L29" s="9"/>
      <c r="M29" s="24"/>
      <c r="N29" s="24"/>
      <c r="O29" s="24"/>
      <c r="P29" s="9"/>
      <c r="S29" s="356"/>
      <c r="T29" s="368"/>
      <c r="U29" s="13" t="s">
        <v>39</v>
      </c>
      <c r="V29" s="26" t="s">
        <v>201</v>
      </c>
      <c r="W29" s="26">
        <v>537</v>
      </c>
      <c r="X29" s="55">
        <v>19000</v>
      </c>
      <c r="Y29" s="169">
        <v>1000</v>
      </c>
      <c r="Z29" s="170">
        <f t="shared" si="0"/>
        <v>2500</v>
      </c>
      <c r="AA29" s="171">
        <v>4000</v>
      </c>
      <c r="AB29" s="313"/>
      <c r="AC29" s="9"/>
      <c r="AD29" s="19" t="s">
        <v>111</v>
      </c>
      <c r="AF29" t="s">
        <v>92</v>
      </c>
      <c r="AG29" s="17" t="s">
        <v>96</v>
      </c>
      <c r="AH29" s="28">
        <v>260</v>
      </c>
      <c r="AI29" s="28">
        <v>1000000</v>
      </c>
      <c r="AJ29" s="28"/>
      <c r="AK29" s="54">
        <v>11915</v>
      </c>
      <c r="AL29" s="40" t="s">
        <v>202</v>
      </c>
    </row>
    <row r="30" spans="1:38" x14ac:dyDescent="0.3">
      <c r="A30" s="10"/>
      <c r="B30" s="10"/>
      <c r="C30" s="10"/>
      <c r="D30" s="9"/>
      <c r="E30" s="9" t="s">
        <v>154</v>
      </c>
      <c r="F30" s="10"/>
      <c r="G30" s="9"/>
      <c r="H30" s="9"/>
      <c r="I30" s="9"/>
      <c r="J30" s="9"/>
      <c r="K30" s="9"/>
      <c r="L30" s="9"/>
      <c r="M30" s="24"/>
      <c r="N30" s="24"/>
      <c r="O30" s="24"/>
      <c r="P30" s="9"/>
      <c r="S30" s="356"/>
      <c r="T30" s="367" t="s">
        <v>26</v>
      </c>
      <c r="U30" s="21" t="s">
        <v>40</v>
      </c>
      <c r="V30" s="4">
        <f>ROUND(Run!DJ80,-1)</f>
        <v>840</v>
      </c>
      <c r="W30" s="5">
        <f>ROUND(Run!DJ83,-1)</f>
        <v>780</v>
      </c>
      <c r="X30" s="166">
        <v>11000</v>
      </c>
      <c r="Y30" s="167">
        <v>500</v>
      </c>
      <c r="Z30" s="168">
        <f t="shared" si="0"/>
        <v>1250</v>
      </c>
      <c r="AA30" s="172">
        <v>2000</v>
      </c>
      <c r="AB30" s="313"/>
      <c r="AC30" s="9"/>
      <c r="AD30" s="19"/>
      <c r="AF30" t="s">
        <v>91</v>
      </c>
      <c r="AG30" s="17" t="s">
        <v>96</v>
      </c>
      <c r="AH30" s="28">
        <v>415</v>
      </c>
      <c r="AI30" s="28">
        <v>900000</v>
      </c>
      <c r="AJ30" s="28"/>
      <c r="AK30" s="56"/>
      <c r="AL30" s="40" t="s">
        <v>202</v>
      </c>
    </row>
    <row r="31" spans="1:38" x14ac:dyDescent="0.3">
      <c r="A31" s="10"/>
      <c r="B31" s="162"/>
      <c r="C31" s="10"/>
      <c r="D31" s="9" t="s">
        <v>18</v>
      </c>
      <c r="E31" s="74">
        <f>V79</f>
        <v>6988</v>
      </c>
      <c r="F31" s="10"/>
      <c r="G31" s="9"/>
      <c r="H31" s="9"/>
      <c r="I31" s="9"/>
      <c r="J31" s="9"/>
      <c r="K31" s="9"/>
      <c r="L31" s="9"/>
      <c r="M31" s="24"/>
      <c r="N31" s="24"/>
      <c r="O31" s="24"/>
      <c r="P31" s="9"/>
      <c r="S31" s="356"/>
      <c r="T31" s="368"/>
      <c r="U31" s="19" t="s">
        <v>41</v>
      </c>
      <c r="V31" s="6">
        <f>ROUND(Run!DL80,-1)</f>
        <v>200</v>
      </c>
      <c r="W31" s="26">
        <f>ROUND(Run!DL83,-1)</f>
        <v>620</v>
      </c>
      <c r="X31" s="55">
        <v>19000</v>
      </c>
      <c r="Y31" s="173">
        <v>1000</v>
      </c>
      <c r="Z31" s="174">
        <f t="shared" si="0"/>
        <v>2500</v>
      </c>
      <c r="AA31" s="176">
        <v>4000</v>
      </c>
      <c r="AB31" s="313"/>
      <c r="AC31" s="9"/>
      <c r="AD31" s="19"/>
      <c r="AF31" t="s">
        <v>93</v>
      </c>
      <c r="AG31" s="17" t="s">
        <v>96</v>
      </c>
      <c r="AH31" s="28">
        <v>715</v>
      </c>
      <c r="AI31" s="28">
        <v>1200000</v>
      </c>
      <c r="AJ31" s="28"/>
      <c r="AK31" s="56"/>
      <c r="AL31" s="40" t="s">
        <v>202</v>
      </c>
    </row>
    <row r="32" spans="1:38" x14ac:dyDescent="0.3">
      <c r="A32" s="10"/>
      <c r="B32" s="162"/>
      <c r="C32" s="10"/>
      <c r="D32" s="9" t="s">
        <v>155</v>
      </c>
      <c r="E32" s="74">
        <f>Y79</f>
        <v>33500</v>
      </c>
      <c r="F32" s="10"/>
      <c r="G32" s="9"/>
      <c r="H32" s="9"/>
      <c r="I32" s="9"/>
      <c r="J32" s="9"/>
      <c r="K32" s="9"/>
      <c r="L32" s="9"/>
      <c r="M32" s="24"/>
      <c r="N32" s="24"/>
      <c r="O32" s="24"/>
      <c r="P32" s="9"/>
      <c r="S32" s="356"/>
      <c r="T32" s="368"/>
      <c r="U32" s="19" t="s">
        <v>42</v>
      </c>
      <c r="V32" s="6">
        <f>ROUND(Run!DN80,-1)</f>
        <v>10</v>
      </c>
      <c r="W32" s="26">
        <f>ROUND(Run!DN83,-1)</f>
        <v>60</v>
      </c>
      <c r="X32" s="55">
        <v>6000</v>
      </c>
      <c r="Y32" s="173">
        <v>500</v>
      </c>
      <c r="Z32" s="174">
        <f t="shared" si="0"/>
        <v>1250</v>
      </c>
      <c r="AA32" s="176">
        <v>2000</v>
      </c>
      <c r="AB32" s="313"/>
      <c r="AC32" s="9"/>
      <c r="AD32" s="20" t="s">
        <v>99</v>
      </c>
      <c r="AE32" s="23"/>
      <c r="AF32" s="122" t="s">
        <v>68</v>
      </c>
      <c r="AG32" s="99" t="s">
        <v>96</v>
      </c>
      <c r="AH32" s="123" t="s">
        <v>153</v>
      </c>
      <c r="AI32" s="23">
        <v>0</v>
      </c>
      <c r="AJ32" s="23"/>
      <c r="AK32" s="164"/>
      <c r="AL32" s="124">
        <v>4000000</v>
      </c>
    </row>
    <row r="33" spans="1:38" x14ac:dyDescent="0.3">
      <c r="A33" s="10"/>
      <c r="B33" s="162"/>
      <c r="C33" s="10"/>
      <c r="D33" s="9" t="s">
        <v>156</v>
      </c>
      <c r="E33" s="74">
        <f>Z79</f>
        <v>98750</v>
      </c>
      <c r="F33" s="10"/>
      <c r="G33" s="9"/>
      <c r="H33" s="9"/>
      <c r="I33" s="9"/>
      <c r="J33" s="9"/>
      <c r="K33" s="9"/>
      <c r="L33" s="9"/>
      <c r="M33" s="24"/>
      <c r="N33" s="24"/>
      <c r="O33" s="24"/>
      <c r="P33" s="9"/>
      <c r="S33" s="356"/>
      <c r="T33" s="368"/>
      <c r="U33" s="19" t="s">
        <v>43</v>
      </c>
      <c r="V33" s="6">
        <f>ROUND(Run!DP80,-1)</f>
        <v>40</v>
      </c>
      <c r="W33" s="26">
        <f>ROUND(Run!DP83,-1)</f>
        <v>240</v>
      </c>
      <c r="X33" s="55">
        <v>8000</v>
      </c>
      <c r="Y33" s="173">
        <v>500</v>
      </c>
      <c r="Z33" s="174">
        <f t="shared" si="0"/>
        <v>1250</v>
      </c>
      <c r="AA33" s="176">
        <v>2000</v>
      </c>
      <c r="AB33" s="313"/>
      <c r="AC33" s="9"/>
      <c r="AD33" s="84" t="s">
        <v>16</v>
      </c>
      <c r="AE33" s="89"/>
      <c r="AF33" s="85"/>
      <c r="AG33" s="86"/>
      <c r="AH33" s="88">
        <v>12000</v>
      </c>
      <c r="AI33" s="88">
        <f>SUM(AI5:AI32)</f>
        <v>13865500</v>
      </c>
      <c r="AJ33" s="88">
        <f>SUM(AJ5:AJ31)</f>
        <v>1225000</v>
      </c>
      <c r="AK33" s="88">
        <f>SUM(AK5:AK31)</f>
        <v>90677</v>
      </c>
      <c r="AL33" s="177">
        <f>AI33+AL32</f>
        <v>17865500</v>
      </c>
    </row>
    <row r="34" spans="1:38" x14ac:dyDescent="0.3">
      <c r="A34" s="10"/>
      <c r="B34" s="162"/>
      <c r="C34" s="10"/>
      <c r="D34" s="9" t="s">
        <v>157</v>
      </c>
      <c r="E34" s="74">
        <f>AA79</f>
        <v>159500</v>
      </c>
      <c r="F34" s="10"/>
      <c r="G34" s="9"/>
      <c r="H34" s="9"/>
      <c r="I34" s="9"/>
      <c r="J34" s="9"/>
      <c r="K34" s="9"/>
      <c r="L34" s="9"/>
      <c r="M34" s="24"/>
      <c r="N34" s="24"/>
      <c r="O34" s="24"/>
      <c r="P34" s="9"/>
      <c r="S34" s="356"/>
      <c r="T34" s="368"/>
      <c r="U34" s="19" t="s">
        <v>44</v>
      </c>
      <c r="V34" s="6">
        <f>ROUND(Run!DR80,-1)</f>
        <v>60</v>
      </c>
      <c r="W34" s="26">
        <f>ROUND(Run!DR83,-1)</f>
        <v>540</v>
      </c>
      <c r="X34" s="55">
        <v>9000</v>
      </c>
      <c r="Y34" s="173">
        <v>500</v>
      </c>
      <c r="Z34" s="174">
        <f t="shared" si="0"/>
        <v>1250</v>
      </c>
      <c r="AA34" s="176">
        <v>2000</v>
      </c>
      <c r="AB34" s="313"/>
      <c r="AC34" s="9"/>
      <c r="AD34" s="9"/>
      <c r="AE34" s="9"/>
      <c r="AF34" s="9"/>
      <c r="AG34" s="9"/>
      <c r="AH34" s="74"/>
      <c r="AI34" s="9"/>
      <c r="AJ34" s="9"/>
      <c r="AK34" s="9"/>
    </row>
    <row r="35" spans="1:38" x14ac:dyDescent="0.3">
      <c r="A35" s="10"/>
      <c r="B35" s="162"/>
      <c r="C35" s="10"/>
      <c r="D35" s="9" t="s">
        <v>145</v>
      </c>
      <c r="E35" s="74">
        <v>1000000</v>
      </c>
      <c r="F35" s="10"/>
      <c r="G35" s="9"/>
      <c r="H35" s="9"/>
      <c r="I35" s="9"/>
      <c r="J35" s="9"/>
      <c r="K35" s="9"/>
      <c r="L35" s="9"/>
      <c r="M35" s="24"/>
      <c r="N35" s="24"/>
      <c r="O35" s="24"/>
      <c r="P35" s="9"/>
      <c r="S35" s="356"/>
      <c r="T35" s="368"/>
      <c r="U35" s="19" t="s">
        <v>45</v>
      </c>
      <c r="V35" s="6">
        <f>ROUND(Run!DT80,-1)</f>
        <v>80</v>
      </c>
      <c r="W35" s="26">
        <f>ROUND(Run!DT83,-1)</f>
        <v>560</v>
      </c>
      <c r="X35" s="55">
        <v>17000</v>
      </c>
      <c r="Y35" s="173">
        <v>750</v>
      </c>
      <c r="Z35" s="174">
        <f t="shared" si="0"/>
        <v>1875</v>
      </c>
      <c r="AA35" s="175">
        <v>3000</v>
      </c>
      <c r="AB35" s="312"/>
      <c r="AC35" s="9"/>
      <c r="AD35" s="8" t="s">
        <v>17</v>
      </c>
      <c r="AE35" s="81"/>
      <c r="AF35" s="103"/>
      <c r="AG35" s="75" t="s">
        <v>158</v>
      </c>
      <c r="AH35" s="75"/>
      <c r="AI35" s="102"/>
      <c r="AJ35" s="75" t="s">
        <v>137</v>
      </c>
      <c r="AK35" s="64"/>
    </row>
    <row r="36" spans="1:38" x14ac:dyDescent="0.3">
      <c r="A36" s="10"/>
      <c r="B36" s="162"/>
      <c r="C36" s="10"/>
      <c r="D36" s="10"/>
      <c r="E36" s="10"/>
      <c r="F36" s="10"/>
      <c r="G36" s="9"/>
      <c r="H36" s="9"/>
      <c r="I36" s="9"/>
      <c r="J36" s="9"/>
      <c r="K36" s="9"/>
      <c r="L36" s="9"/>
      <c r="M36" s="24"/>
      <c r="N36" s="24"/>
      <c r="O36" s="24"/>
      <c r="P36" s="9"/>
      <c r="S36" s="356"/>
      <c r="T36" s="368"/>
      <c r="U36" s="19" t="s">
        <v>46</v>
      </c>
      <c r="V36" s="6">
        <f>ROUND(Run!DV80,-1)</f>
        <v>90</v>
      </c>
      <c r="W36" s="26">
        <f>ROUND(Run!DV83,-1)</f>
        <v>280</v>
      </c>
      <c r="X36" s="55">
        <v>4000</v>
      </c>
      <c r="Y36" s="173">
        <v>500</v>
      </c>
      <c r="Z36" s="174">
        <f t="shared" si="0"/>
        <v>1250</v>
      </c>
      <c r="AA36" s="176">
        <v>2000</v>
      </c>
      <c r="AB36" s="313"/>
      <c r="AC36" s="9"/>
      <c r="AD36" s="83"/>
      <c r="AE36" s="65" t="s">
        <v>19</v>
      </c>
      <c r="AF36" s="76"/>
      <c r="AG36" s="43" t="s">
        <v>151</v>
      </c>
      <c r="AH36" s="43" t="s">
        <v>176</v>
      </c>
      <c r="AI36" s="43" t="s">
        <v>235</v>
      </c>
      <c r="AJ36" s="43" t="s">
        <v>152</v>
      </c>
      <c r="AK36" s="66" t="s">
        <v>235</v>
      </c>
    </row>
    <row r="37" spans="1:38" x14ac:dyDescent="0.3">
      <c r="A37" s="10"/>
      <c r="B37" s="162"/>
      <c r="C37" s="10"/>
      <c r="D37" s="10"/>
      <c r="E37" s="10"/>
      <c r="F37" s="10"/>
      <c r="G37" s="9"/>
      <c r="H37" s="9"/>
      <c r="I37" s="9"/>
      <c r="J37" s="9"/>
      <c r="K37" s="9"/>
      <c r="L37" s="9"/>
      <c r="M37" s="24"/>
      <c r="N37" s="24"/>
      <c r="O37" s="24"/>
      <c r="P37" s="9"/>
      <c r="S37" s="356"/>
      <c r="T37" s="368"/>
      <c r="U37" s="19" t="s">
        <v>47</v>
      </c>
      <c r="V37" s="6">
        <f>ROUND(Run!DX80,-1)</f>
        <v>510</v>
      </c>
      <c r="W37" s="26">
        <f>ROUND(Run!DX83,-1)</f>
        <v>1540</v>
      </c>
      <c r="X37" s="55">
        <v>16000</v>
      </c>
      <c r="Y37" s="173">
        <v>750</v>
      </c>
      <c r="Z37" s="174">
        <f t="shared" si="0"/>
        <v>1875</v>
      </c>
      <c r="AA37" s="175">
        <v>3000</v>
      </c>
      <c r="AB37" s="312"/>
      <c r="AC37" s="9"/>
      <c r="AD37" s="375" t="s">
        <v>227</v>
      </c>
      <c r="AE37" s="21" t="s">
        <v>132</v>
      </c>
      <c r="AF37" s="95" t="s">
        <v>153</v>
      </c>
      <c r="AG37" s="96">
        <v>0</v>
      </c>
      <c r="AH37" s="97" t="s">
        <v>153</v>
      </c>
      <c r="AI37" s="97" t="s">
        <v>153</v>
      </c>
      <c r="AJ37" s="97" t="s">
        <v>153</v>
      </c>
      <c r="AK37" s="101" t="s">
        <v>153</v>
      </c>
    </row>
    <row r="38" spans="1:38" x14ac:dyDescent="0.3">
      <c r="A38" s="10"/>
      <c r="B38" s="162"/>
      <c r="C38" s="10"/>
      <c r="D38" s="10"/>
      <c r="E38" s="10"/>
      <c r="F38" s="10"/>
      <c r="G38" s="9"/>
      <c r="H38" s="9"/>
      <c r="I38" s="9"/>
      <c r="J38" s="9"/>
      <c r="K38" s="9"/>
      <c r="L38" s="9"/>
      <c r="M38" s="24"/>
      <c r="N38" s="24"/>
      <c r="O38" s="24"/>
      <c r="P38" s="9"/>
      <c r="S38" s="356"/>
      <c r="T38" s="368"/>
      <c r="U38" s="20" t="s">
        <v>48</v>
      </c>
      <c r="V38" s="6">
        <f>ROUND(Run!DZ80,-1)</f>
        <v>400</v>
      </c>
      <c r="W38" s="26">
        <f>ROUND(Run!DZ83,-1)</f>
        <v>510</v>
      </c>
      <c r="X38" s="55">
        <v>7000</v>
      </c>
      <c r="Y38" s="169">
        <v>500</v>
      </c>
      <c r="Z38" s="170">
        <f t="shared" si="0"/>
        <v>1250</v>
      </c>
      <c r="AA38" s="171">
        <v>2000</v>
      </c>
      <c r="AB38" s="313"/>
      <c r="AC38" s="9"/>
      <c r="AD38" s="376"/>
      <c r="AE38" s="19" t="s">
        <v>163</v>
      </c>
      <c r="AF38" s="98" t="s">
        <v>160</v>
      </c>
      <c r="AG38" s="35">
        <v>1.7000000000000001E-2</v>
      </c>
      <c r="AH38" s="115" t="s">
        <v>133</v>
      </c>
      <c r="AI38" s="378" t="s">
        <v>330</v>
      </c>
      <c r="AJ38" s="163">
        <v>450</v>
      </c>
      <c r="AK38" s="386">
        <f>AI69</f>
        <v>155000</v>
      </c>
    </row>
    <row r="39" spans="1:38" x14ac:dyDescent="0.3">
      <c r="A39" s="10"/>
      <c r="B39" s="162"/>
      <c r="C39" s="10"/>
      <c r="D39" s="10"/>
      <c r="E39" s="10"/>
      <c r="F39" s="10"/>
      <c r="G39" s="9"/>
      <c r="H39" s="9"/>
      <c r="I39" s="9"/>
      <c r="J39" s="9"/>
      <c r="K39" s="9"/>
      <c r="L39" s="9"/>
      <c r="M39" s="24"/>
      <c r="N39" s="24"/>
      <c r="O39" s="24"/>
      <c r="P39" s="9"/>
      <c r="S39" s="356"/>
      <c r="T39" s="367" t="s">
        <v>25</v>
      </c>
      <c r="U39" s="21" t="s">
        <v>49</v>
      </c>
      <c r="V39" s="4">
        <f>ROUND(Run!EC80,-1)</f>
        <v>100</v>
      </c>
      <c r="W39" s="5">
        <f>ROUND(Run!EC83,-1)</f>
        <v>290</v>
      </c>
      <c r="X39" s="166">
        <v>6000</v>
      </c>
      <c r="Y39" s="167">
        <v>500</v>
      </c>
      <c r="Z39" s="168">
        <f t="shared" si="0"/>
        <v>1250</v>
      </c>
      <c r="AA39" s="172">
        <v>2000</v>
      </c>
      <c r="AB39" s="313"/>
      <c r="AC39" s="9"/>
      <c r="AD39" s="376"/>
      <c r="AE39" s="19" t="s">
        <v>164</v>
      </c>
      <c r="AF39" s="98" t="s">
        <v>160</v>
      </c>
      <c r="AG39" s="35">
        <v>0.10100000000000001</v>
      </c>
      <c r="AH39" s="115"/>
      <c r="AI39" s="379"/>
      <c r="AJ39" s="163">
        <v>2900</v>
      </c>
      <c r="AK39" s="387"/>
    </row>
    <row r="40" spans="1:38" x14ac:dyDescent="0.3">
      <c r="A40" s="10"/>
      <c r="B40" s="162"/>
      <c r="C40" s="10"/>
      <c r="D40" s="10"/>
      <c r="E40" s="10"/>
      <c r="F40" s="10"/>
      <c r="G40" s="9"/>
      <c r="H40" s="9"/>
      <c r="I40" s="9"/>
      <c r="J40" s="9"/>
      <c r="K40" s="9"/>
      <c r="L40" s="9"/>
      <c r="M40" s="24"/>
      <c r="N40" s="24"/>
      <c r="O40" s="24"/>
      <c r="P40" s="9"/>
      <c r="S40" s="356"/>
      <c r="T40" s="368"/>
      <c r="U40" s="19" t="s">
        <v>50</v>
      </c>
      <c r="V40" s="6">
        <f>ROUND(Run!ED80,-1)</f>
        <v>200</v>
      </c>
      <c r="W40" s="26">
        <f>ROUND(Run!ED83,-1)</f>
        <v>1160</v>
      </c>
      <c r="X40" s="55">
        <v>43000</v>
      </c>
      <c r="Y40" s="173">
        <v>2000</v>
      </c>
      <c r="Z40" s="174">
        <f t="shared" si="0"/>
        <v>5000</v>
      </c>
      <c r="AA40" s="176">
        <v>8000</v>
      </c>
      <c r="AB40" s="313"/>
      <c r="AC40" s="9"/>
      <c r="AD40" s="376"/>
      <c r="AE40" s="19" t="s">
        <v>170</v>
      </c>
      <c r="AF40" s="98" t="s">
        <v>161</v>
      </c>
      <c r="AG40" s="395">
        <v>3.5000000000000003E-2</v>
      </c>
      <c r="AH40" s="392" t="s">
        <v>203</v>
      </c>
      <c r="AI40" s="379"/>
      <c r="AJ40" s="394">
        <f>ROUND(AF61*AG40,-2)</f>
        <v>600</v>
      </c>
      <c r="AK40" s="387"/>
    </row>
    <row r="41" spans="1:38" x14ac:dyDescent="0.3">
      <c r="A41" s="10"/>
      <c r="B41" s="162"/>
      <c r="C41" s="10"/>
      <c r="D41" s="10"/>
      <c r="E41" s="10"/>
      <c r="F41" s="10"/>
      <c r="G41" s="9"/>
      <c r="H41" s="9"/>
      <c r="I41" s="9"/>
      <c r="J41" s="9"/>
      <c r="K41" s="9"/>
      <c r="L41" s="9"/>
      <c r="M41" s="24"/>
      <c r="N41" s="24"/>
      <c r="O41" s="24"/>
      <c r="P41" s="9"/>
      <c r="S41" s="356"/>
      <c r="T41" s="368"/>
      <c r="U41" s="19" t="s">
        <v>69</v>
      </c>
      <c r="V41" s="6">
        <f>ROUND(Run!EE80,-1)</f>
        <v>90</v>
      </c>
      <c r="W41" s="26">
        <f>ROUND(Run!EE83,-1)</f>
        <v>1210</v>
      </c>
      <c r="X41" s="55">
        <v>46000</v>
      </c>
      <c r="Y41" s="173">
        <v>2000</v>
      </c>
      <c r="Z41" s="174">
        <f t="shared" si="0"/>
        <v>5000</v>
      </c>
      <c r="AA41" s="176">
        <v>8000</v>
      </c>
      <c r="AB41" s="313"/>
      <c r="AC41" s="9"/>
      <c r="AD41" s="376"/>
      <c r="AE41" s="20" t="s">
        <v>171</v>
      </c>
      <c r="AF41" s="99" t="s">
        <v>161</v>
      </c>
      <c r="AG41" s="393"/>
      <c r="AH41" s="393"/>
      <c r="AI41" s="380"/>
      <c r="AJ41" s="393"/>
      <c r="AK41" s="388"/>
    </row>
    <row r="42" spans="1:38" x14ac:dyDescent="0.3">
      <c r="A42" s="10"/>
      <c r="B42" s="162"/>
      <c r="C42" s="10"/>
      <c r="D42" s="10"/>
      <c r="E42" s="10"/>
      <c r="F42" s="10"/>
      <c r="G42" s="9"/>
      <c r="H42" s="9"/>
      <c r="I42" s="9"/>
      <c r="J42" s="9"/>
      <c r="K42" s="9"/>
      <c r="L42" s="9"/>
      <c r="M42" s="24"/>
      <c r="N42" s="24"/>
      <c r="O42" s="24"/>
      <c r="P42" s="9"/>
      <c r="S42" s="356"/>
      <c r="T42" s="368"/>
      <c r="U42" s="19" t="s">
        <v>51</v>
      </c>
      <c r="V42" s="6">
        <f>ROUND(Run!EG80,-1)</f>
        <v>270</v>
      </c>
      <c r="W42" s="26"/>
      <c r="X42" s="55">
        <v>35000</v>
      </c>
      <c r="Y42" s="173">
        <v>1000</v>
      </c>
      <c r="Z42" s="174">
        <f t="shared" si="0"/>
        <v>2500</v>
      </c>
      <c r="AA42" s="176">
        <v>4000</v>
      </c>
      <c r="AB42" s="313"/>
      <c r="AC42" s="9"/>
      <c r="AD42" s="377"/>
      <c r="AE42" s="67" t="s">
        <v>20</v>
      </c>
      <c r="AF42" s="77" t="s">
        <v>160</v>
      </c>
      <c r="AG42" s="68">
        <f>AJ42/AF53</f>
        <v>0.14416058394160583</v>
      </c>
      <c r="AH42" s="69" t="s">
        <v>175</v>
      </c>
      <c r="AI42" s="69" t="str">
        <f>AI38</f>
        <v>20-60%</v>
      </c>
      <c r="AJ42" s="70">
        <f>SUM(AJ38:AJ41)</f>
        <v>3950</v>
      </c>
      <c r="AK42" s="108">
        <f>AK38</f>
        <v>155000</v>
      </c>
    </row>
    <row r="43" spans="1:38" x14ac:dyDescent="0.3">
      <c r="A43" s="10"/>
      <c r="B43" s="162"/>
      <c r="C43" s="10"/>
      <c r="D43" s="10"/>
      <c r="E43" s="10"/>
      <c r="F43" s="10"/>
      <c r="G43" s="9"/>
      <c r="H43" s="9"/>
      <c r="I43" s="9"/>
      <c r="J43" s="9"/>
      <c r="K43" s="9"/>
      <c r="L43" s="9"/>
      <c r="M43" s="24"/>
      <c r="N43" s="24"/>
      <c r="O43" s="24"/>
      <c r="P43" s="9"/>
      <c r="S43" s="356"/>
      <c r="T43" s="368"/>
      <c r="U43" s="19" t="s">
        <v>52</v>
      </c>
      <c r="V43" s="6">
        <f>ROUND(Run!EH80,-1)</f>
        <v>440</v>
      </c>
      <c r="W43" s="26">
        <f>ROUND(Run!EH83,-1)</f>
        <v>1320</v>
      </c>
      <c r="X43" s="55">
        <v>18000</v>
      </c>
      <c r="Y43" s="173">
        <v>1000</v>
      </c>
      <c r="Z43" s="174">
        <f t="shared" si="0"/>
        <v>2500</v>
      </c>
      <c r="AA43" s="176">
        <v>4000</v>
      </c>
      <c r="AB43" s="313"/>
      <c r="AC43" s="9"/>
      <c r="AD43" s="362" t="s">
        <v>21</v>
      </c>
      <c r="AE43" s="21" t="s">
        <v>132</v>
      </c>
      <c r="AF43" s="95" t="s">
        <v>153</v>
      </c>
      <c r="AG43" s="96">
        <v>0</v>
      </c>
      <c r="AH43" s="97" t="s">
        <v>153</v>
      </c>
      <c r="AI43" s="97" t="s">
        <v>153</v>
      </c>
      <c r="AJ43" s="97" t="s">
        <v>153</v>
      </c>
      <c r="AK43" s="101" t="s">
        <v>153</v>
      </c>
    </row>
    <row r="44" spans="1:38" x14ac:dyDescent="0.3">
      <c r="A44" s="10"/>
      <c r="B44" s="162"/>
      <c r="C44" s="10"/>
      <c r="D44" s="10"/>
      <c r="E44" s="10"/>
      <c r="F44" s="10"/>
      <c r="G44" s="9"/>
      <c r="H44" s="9"/>
      <c r="I44" s="9"/>
      <c r="J44" s="9"/>
      <c r="K44" s="9"/>
      <c r="L44" s="9"/>
      <c r="M44" s="24"/>
      <c r="N44" s="24"/>
      <c r="O44" s="24"/>
      <c r="P44" s="9"/>
      <c r="S44" s="356"/>
      <c r="T44" s="368"/>
      <c r="U44" s="19" t="s">
        <v>24</v>
      </c>
      <c r="V44" s="6">
        <f>ROUND(Run!EJ80,-1)</f>
        <v>90</v>
      </c>
      <c r="W44" s="26">
        <f>ROUND(Run!EJ83,-1)</f>
        <v>220</v>
      </c>
      <c r="X44" s="55">
        <v>7000</v>
      </c>
      <c r="Y44" s="173">
        <v>500</v>
      </c>
      <c r="Z44" s="174">
        <f t="shared" si="0"/>
        <v>1250</v>
      </c>
      <c r="AA44" s="176">
        <v>2000</v>
      </c>
      <c r="AB44" s="313"/>
      <c r="AC44" s="9"/>
      <c r="AD44" s="376"/>
      <c r="AE44" s="19" t="s">
        <v>163</v>
      </c>
      <c r="AF44" s="98" t="s">
        <v>160</v>
      </c>
      <c r="AG44" s="35">
        <v>0.121</v>
      </c>
      <c r="AH44" s="116" t="s">
        <v>153</v>
      </c>
      <c r="AI44" s="381" t="s">
        <v>302</v>
      </c>
      <c r="AJ44" s="163">
        <v>10300</v>
      </c>
      <c r="AK44" s="389">
        <f>AI70</f>
        <v>78000</v>
      </c>
    </row>
    <row r="45" spans="1:38" x14ac:dyDescent="0.3">
      <c r="A45" s="10"/>
      <c r="B45" s="162"/>
      <c r="C45" s="10"/>
      <c r="D45" s="10"/>
      <c r="E45" s="10"/>
      <c r="F45" s="10"/>
      <c r="G45" s="9"/>
      <c r="H45" s="9"/>
      <c r="I45" s="9"/>
      <c r="J45" s="9"/>
      <c r="K45" s="9"/>
      <c r="L45" s="9"/>
      <c r="M45" s="24"/>
      <c r="N45" s="24"/>
      <c r="O45" s="24"/>
      <c r="P45" s="9"/>
      <c r="S45" s="356"/>
      <c r="T45" s="368"/>
      <c r="U45" s="19" t="s">
        <v>53</v>
      </c>
      <c r="V45" s="6">
        <f>ROUND(Run!EL80,-1)</f>
        <v>150</v>
      </c>
      <c r="W45" s="26">
        <f>ROUND(Run!EL83,-1)</f>
        <v>450</v>
      </c>
      <c r="X45" s="55">
        <v>9000</v>
      </c>
      <c r="Y45" s="173">
        <v>500</v>
      </c>
      <c r="Z45" s="174">
        <f t="shared" si="0"/>
        <v>1250</v>
      </c>
      <c r="AA45" s="176">
        <v>2000</v>
      </c>
      <c r="AB45" s="313"/>
      <c r="AC45" s="9"/>
      <c r="AD45" s="376"/>
      <c r="AE45" s="19" t="s">
        <v>134</v>
      </c>
      <c r="AF45" s="98" t="s">
        <v>160</v>
      </c>
      <c r="AG45" s="38">
        <f>AG39</f>
        <v>0.10100000000000001</v>
      </c>
      <c r="AH45" s="116" t="s">
        <v>153</v>
      </c>
      <c r="AI45" s="379"/>
      <c r="AJ45" s="163">
        <v>8200</v>
      </c>
      <c r="AK45" s="390"/>
    </row>
    <row r="46" spans="1:38" x14ac:dyDescent="0.3">
      <c r="A46" s="10"/>
      <c r="B46" s="162"/>
      <c r="C46" s="10"/>
      <c r="D46" s="10"/>
      <c r="E46" s="10"/>
      <c r="F46" s="10"/>
      <c r="G46" s="9"/>
      <c r="H46" s="9"/>
      <c r="I46" s="9"/>
      <c r="J46" s="9"/>
      <c r="K46" s="9"/>
      <c r="L46" s="9"/>
      <c r="M46" s="24"/>
      <c r="N46" s="24"/>
      <c r="O46" s="24"/>
      <c r="P46" s="9"/>
      <c r="S46" s="356"/>
      <c r="T46" s="368"/>
      <c r="U46" s="19" t="s">
        <v>54</v>
      </c>
      <c r="V46" s="6">
        <f>ROUND(Run!EM80,-1)</f>
        <v>390</v>
      </c>
      <c r="W46" s="26">
        <f>ROUND(Run!EM83,-1)</f>
        <v>1350</v>
      </c>
      <c r="X46" s="55">
        <v>22000</v>
      </c>
      <c r="Y46" s="173">
        <v>1000</v>
      </c>
      <c r="Z46" s="174">
        <f t="shared" si="0"/>
        <v>2500</v>
      </c>
      <c r="AA46" s="176">
        <v>4000</v>
      </c>
      <c r="AB46" s="313"/>
      <c r="AC46" s="9"/>
      <c r="AD46" s="376"/>
      <c r="AE46" s="19" t="s">
        <v>170</v>
      </c>
      <c r="AF46" s="98" t="s">
        <v>161</v>
      </c>
      <c r="AG46" s="38">
        <v>0.18</v>
      </c>
      <c r="AH46" s="116" t="s">
        <v>153</v>
      </c>
      <c r="AI46" s="379"/>
      <c r="AJ46" s="17">
        <f>ROUND(AF62*AG46,-2)</f>
        <v>10900</v>
      </c>
      <c r="AK46" s="390"/>
    </row>
    <row r="47" spans="1:38" x14ac:dyDescent="0.3">
      <c r="A47" s="10"/>
      <c r="B47" s="162"/>
      <c r="C47" s="10"/>
      <c r="D47" s="10"/>
      <c r="E47" s="10"/>
      <c r="F47" s="10"/>
      <c r="G47" s="9"/>
      <c r="H47" s="9"/>
      <c r="I47" s="9"/>
      <c r="J47" s="9"/>
      <c r="K47" s="9"/>
      <c r="L47" s="9"/>
      <c r="M47" s="24"/>
      <c r="N47" s="24"/>
      <c r="O47" s="24"/>
      <c r="P47" s="9"/>
      <c r="S47" s="357"/>
      <c r="T47" s="371"/>
      <c r="U47" s="19" t="s">
        <v>350</v>
      </c>
      <c r="V47" s="6">
        <v>13</v>
      </c>
      <c r="W47" s="26">
        <v>0</v>
      </c>
      <c r="X47" s="26" t="s">
        <v>201</v>
      </c>
      <c r="Y47" s="173">
        <v>750</v>
      </c>
      <c r="Z47" s="174">
        <f t="shared" si="0"/>
        <v>1875</v>
      </c>
      <c r="AA47" s="175">
        <v>3000</v>
      </c>
      <c r="AB47" s="312"/>
      <c r="AC47" s="9"/>
      <c r="AD47" s="376"/>
      <c r="AE47" s="20" t="s">
        <v>171</v>
      </c>
      <c r="AF47" s="99" t="s">
        <v>161</v>
      </c>
      <c r="AG47" s="178">
        <f>AG46</f>
        <v>0.18</v>
      </c>
      <c r="AH47" s="116" t="s">
        <v>153</v>
      </c>
      <c r="AI47" s="380"/>
      <c r="AJ47" s="179">
        <f>AJ46</f>
        <v>10900</v>
      </c>
      <c r="AK47" s="391"/>
    </row>
    <row r="48" spans="1:38" ht="15" customHeight="1" x14ac:dyDescent="0.3">
      <c r="A48" s="10"/>
      <c r="B48" s="162"/>
      <c r="C48" s="10"/>
      <c r="D48" s="10"/>
      <c r="E48" s="10"/>
      <c r="F48" s="10"/>
      <c r="G48" s="9"/>
      <c r="H48" s="9"/>
      <c r="I48" s="9"/>
      <c r="J48" s="9"/>
      <c r="K48" s="9"/>
      <c r="L48" s="9"/>
      <c r="M48" s="24"/>
      <c r="N48" s="24"/>
      <c r="O48" s="24"/>
      <c r="P48" s="9"/>
      <c r="S48" s="268" t="s">
        <v>16</v>
      </c>
      <c r="T48" s="230"/>
      <c r="U48" s="269"/>
      <c r="V48" s="231">
        <f t="shared" ref="V48:AA48" si="1">SUM(V5:V47)</f>
        <v>6988</v>
      </c>
      <c r="W48" s="232">
        <f t="shared" si="1"/>
        <v>22207</v>
      </c>
      <c r="X48" s="232">
        <f t="shared" si="1"/>
        <v>671000</v>
      </c>
      <c r="Y48" s="233">
        <f t="shared" si="1"/>
        <v>33500</v>
      </c>
      <c r="Z48" s="232">
        <f t="shared" si="1"/>
        <v>86250</v>
      </c>
      <c r="AA48" s="234">
        <f t="shared" si="1"/>
        <v>138000</v>
      </c>
      <c r="AB48" s="315"/>
      <c r="AC48" s="9"/>
      <c r="AD48" s="377"/>
      <c r="AE48" s="94" t="s">
        <v>20</v>
      </c>
      <c r="AF48" s="77" t="s">
        <v>160</v>
      </c>
      <c r="AG48" s="68">
        <f>AJ48/AF54</f>
        <v>0.47134502923976607</v>
      </c>
      <c r="AH48" s="69"/>
      <c r="AI48" s="69" t="str">
        <f>AI44</f>
        <v>≤70%</v>
      </c>
      <c r="AJ48" s="71">
        <f>SUM(AJ43:AJ47)</f>
        <v>40300</v>
      </c>
      <c r="AK48" s="108">
        <f>AK44</f>
        <v>78000</v>
      </c>
    </row>
    <row r="49" spans="1:37" ht="15" customHeight="1" x14ac:dyDescent="0.3">
      <c r="A49" s="10"/>
      <c r="B49" s="162"/>
      <c r="C49" s="10"/>
      <c r="D49" s="10"/>
      <c r="E49" s="10"/>
      <c r="F49" s="10"/>
      <c r="G49" s="9"/>
      <c r="H49" s="9"/>
      <c r="I49" s="9"/>
      <c r="J49" s="9"/>
      <c r="K49" s="9"/>
      <c r="L49" s="9"/>
      <c r="M49" s="24"/>
      <c r="N49" s="24"/>
      <c r="O49" s="24"/>
      <c r="P49" s="9"/>
      <c r="T49" s="9"/>
      <c r="U49" s="9"/>
      <c r="V49" s="9"/>
      <c r="W49" s="9"/>
      <c r="X49" s="9"/>
      <c r="Y49" s="9"/>
      <c r="Z49" s="9"/>
      <c r="AA49" s="9"/>
      <c r="AC49" s="9"/>
      <c r="AD49" s="9"/>
      <c r="AE49" s="9"/>
      <c r="AF49" s="9"/>
      <c r="AG49" s="9"/>
      <c r="AH49" s="9"/>
      <c r="AI49" s="9"/>
      <c r="AJ49" s="9"/>
      <c r="AK49" s="9"/>
    </row>
    <row r="50" spans="1:37" x14ac:dyDescent="0.3">
      <c r="A50" s="10"/>
      <c r="B50" s="162"/>
      <c r="C50" s="10"/>
      <c r="D50" s="10"/>
      <c r="E50" s="10"/>
      <c r="F50" s="10"/>
      <c r="G50" s="9"/>
      <c r="H50" s="9"/>
      <c r="I50" s="9"/>
      <c r="J50" s="9"/>
      <c r="K50" s="9"/>
      <c r="L50" s="9"/>
      <c r="M50" s="24"/>
      <c r="N50" s="24"/>
      <c r="O50" s="24"/>
      <c r="P50" s="9"/>
      <c r="S50" s="228" t="s">
        <v>2</v>
      </c>
      <c r="T50" s="228"/>
      <c r="U50" s="229"/>
      <c r="V50" s="218" t="s">
        <v>325</v>
      </c>
      <c r="W50" s="219"/>
      <c r="X50" s="220" t="s">
        <v>384</v>
      </c>
      <c r="Y50" s="318" t="s">
        <v>408</v>
      </c>
      <c r="Z50" s="221"/>
      <c r="AA50" s="222"/>
      <c r="AB50" s="321"/>
      <c r="AC50" s="322"/>
      <c r="AD50" s="382" t="s">
        <v>387</v>
      </c>
      <c r="AE50" s="383"/>
      <c r="AF50" s="235" t="s">
        <v>6</v>
      </c>
      <c r="AG50" s="236"/>
      <c r="AH50" s="237" t="s">
        <v>147</v>
      </c>
      <c r="AI50" s="238"/>
      <c r="AJ50" s="9"/>
      <c r="AK50" s="9"/>
    </row>
    <row r="51" spans="1:37" x14ac:dyDescent="0.3">
      <c r="A51" s="10"/>
      <c r="B51" s="162"/>
      <c r="C51" s="10"/>
      <c r="D51" s="10"/>
      <c r="E51" s="10"/>
      <c r="F51" s="10"/>
      <c r="G51" s="9"/>
      <c r="H51" s="9"/>
      <c r="I51" s="9"/>
      <c r="J51" s="9"/>
      <c r="K51" s="9"/>
      <c r="L51" s="9"/>
      <c r="M51" s="24"/>
      <c r="N51" s="24"/>
      <c r="O51" s="24"/>
      <c r="P51" s="9"/>
      <c r="S51" s="355" t="s">
        <v>397</v>
      </c>
      <c r="T51" s="226" t="s">
        <v>4</v>
      </c>
      <c r="U51" s="227" t="s">
        <v>5</v>
      </c>
      <c r="V51" s="223" t="s">
        <v>6</v>
      </c>
      <c r="W51" s="223" t="s">
        <v>145</v>
      </c>
      <c r="X51" s="223" t="s">
        <v>385</v>
      </c>
      <c r="Y51" s="319" t="s">
        <v>7</v>
      </c>
      <c r="Z51" s="224" t="s">
        <v>8</v>
      </c>
      <c r="AA51" s="225" t="s">
        <v>9</v>
      </c>
      <c r="AB51" s="311"/>
      <c r="AC51" s="9"/>
      <c r="AD51" s="384"/>
      <c r="AE51" s="385"/>
      <c r="AF51" s="239" t="s">
        <v>326</v>
      </c>
      <c r="AG51" s="127" t="s">
        <v>7</v>
      </c>
      <c r="AH51" s="127" t="s">
        <v>8</v>
      </c>
      <c r="AI51" s="240" t="s">
        <v>9</v>
      </c>
      <c r="AJ51" s="9"/>
      <c r="AK51" s="9"/>
    </row>
    <row r="52" spans="1:37" x14ac:dyDescent="0.3">
      <c r="A52" s="10"/>
      <c r="B52" s="162"/>
      <c r="C52" s="10"/>
      <c r="D52" s="10"/>
      <c r="E52" s="10"/>
      <c r="F52" s="10"/>
      <c r="G52" s="9"/>
      <c r="H52" s="9"/>
      <c r="I52" s="9"/>
      <c r="J52" s="9"/>
      <c r="K52" s="9"/>
      <c r="L52" s="9"/>
      <c r="M52" s="24"/>
      <c r="N52" s="24"/>
      <c r="O52" s="24"/>
      <c r="P52" s="9"/>
      <c r="S52" s="356"/>
      <c r="T52" s="362" t="s">
        <v>383</v>
      </c>
      <c r="U52" s="262" t="s">
        <v>357</v>
      </c>
      <c r="V52" s="280">
        <v>0</v>
      </c>
      <c r="W52" s="281" t="s">
        <v>201</v>
      </c>
      <c r="X52" s="275" t="s">
        <v>153</v>
      </c>
      <c r="Y52" s="278" t="s">
        <v>153</v>
      </c>
      <c r="Z52" s="272">
        <v>500</v>
      </c>
      <c r="AA52" s="273">
        <v>1000</v>
      </c>
      <c r="AB52" s="316"/>
      <c r="AC52" s="9"/>
      <c r="AD52" s="46" t="s">
        <v>10</v>
      </c>
      <c r="AE52" s="41"/>
      <c r="AF52" s="104">
        <f>AF53+AF54</f>
        <v>112900</v>
      </c>
      <c r="AG52" s="104">
        <f>AG53+AG54</f>
        <v>152500</v>
      </c>
      <c r="AH52" s="104">
        <f>AH53+AH54</f>
        <v>328000</v>
      </c>
      <c r="AI52" s="105">
        <f>AI53+AI54</f>
        <v>549000</v>
      </c>
      <c r="AJ52" s="9"/>
      <c r="AK52" s="9"/>
    </row>
    <row r="53" spans="1:37" x14ac:dyDescent="0.3">
      <c r="A53" s="10"/>
      <c r="B53" s="162"/>
      <c r="C53" s="10"/>
      <c r="D53" s="10"/>
      <c r="E53" s="10"/>
      <c r="F53" s="10"/>
      <c r="G53" s="9"/>
      <c r="H53" s="9"/>
      <c r="I53" s="9"/>
      <c r="J53" s="9"/>
      <c r="K53" s="9"/>
      <c r="L53" s="9"/>
      <c r="M53" s="24"/>
      <c r="N53" s="24"/>
      <c r="O53" s="24"/>
      <c r="P53" s="9"/>
      <c r="S53" s="356"/>
      <c r="T53" s="363"/>
      <c r="U53" s="262" t="s">
        <v>359</v>
      </c>
      <c r="V53" s="282">
        <v>0</v>
      </c>
      <c r="W53" s="283" t="s">
        <v>201</v>
      </c>
      <c r="X53" s="290" t="s">
        <v>153</v>
      </c>
      <c r="Y53" s="276" t="s">
        <v>153</v>
      </c>
      <c r="Z53" s="274">
        <v>500</v>
      </c>
      <c r="AA53" s="264">
        <v>500</v>
      </c>
      <c r="AB53" s="316"/>
      <c r="AC53" s="9"/>
      <c r="AD53" s="19"/>
      <c r="AE53" t="s">
        <v>227</v>
      </c>
      <c r="AF53" s="17">
        <f>ROUND(Run!C80,-2)</f>
        <v>27400</v>
      </c>
      <c r="AG53" s="17">
        <f>ROUND(Conv!J15,-3)</f>
        <v>67000</v>
      </c>
      <c r="AH53" s="17">
        <f>ROUND(Conv!N15,-3)</f>
        <v>232000</v>
      </c>
      <c r="AI53" s="40">
        <f>ROUND(Conv!R15,-3)</f>
        <v>441000</v>
      </c>
      <c r="AJ53" s="9"/>
      <c r="AK53" s="9"/>
    </row>
    <row r="54" spans="1:37" x14ac:dyDescent="0.3">
      <c r="A54" s="10"/>
      <c r="B54" s="162"/>
      <c r="C54" s="10"/>
      <c r="D54" s="10"/>
      <c r="E54" s="10"/>
      <c r="F54" s="10"/>
      <c r="G54" s="9"/>
      <c r="H54" s="9"/>
      <c r="I54" s="9"/>
      <c r="J54" s="9"/>
      <c r="K54" s="9"/>
      <c r="L54" s="9"/>
      <c r="M54" s="24"/>
      <c r="N54" s="24"/>
      <c r="O54" s="24"/>
      <c r="P54" s="9"/>
      <c r="S54" s="356"/>
      <c r="T54" s="363"/>
      <c r="U54" s="262" t="s">
        <v>356</v>
      </c>
      <c r="V54" s="282">
        <v>0</v>
      </c>
      <c r="W54" s="283" t="s">
        <v>201</v>
      </c>
      <c r="X54" s="290" t="s">
        <v>153</v>
      </c>
      <c r="Y54" s="276" t="s">
        <v>153</v>
      </c>
      <c r="Z54" s="274">
        <v>500</v>
      </c>
      <c r="AA54" s="264">
        <v>500</v>
      </c>
      <c r="AB54" s="316"/>
      <c r="AC54" s="9"/>
      <c r="AD54" s="19"/>
      <c r="AE54" t="s">
        <v>21</v>
      </c>
      <c r="AF54" s="17">
        <f>ROUND(Run!D80,-2)</f>
        <v>85500</v>
      </c>
      <c r="AG54" s="17">
        <f>AF54</f>
        <v>85500</v>
      </c>
      <c r="AH54" s="17">
        <f>ROUND(Conv!N33,-3)</f>
        <v>96000</v>
      </c>
      <c r="AI54" s="40">
        <f>ROUND(Conv!R33,-3)</f>
        <v>108000</v>
      </c>
      <c r="AJ54" s="9"/>
      <c r="AK54" s="9"/>
    </row>
    <row r="55" spans="1:37" x14ac:dyDescent="0.3">
      <c r="A55" s="10"/>
      <c r="B55" s="10"/>
      <c r="C55" s="10"/>
      <c r="D55" s="10"/>
      <c r="E55" s="10"/>
      <c r="F55" s="10"/>
      <c r="G55" s="9"/>
      <c r="H55" s="9"/>
      <c r="I55" s="9"/>
      <c r="J55" s="9"/>
      <c r="K55" s="9"/>
      <c r="L55" s="9"/>
      <c r="M55" s="24"/>
      <c r="N55" s="24"/>
      <c r="O55" s="24"/>
      <c r="P55" s="9"/>
      <c r="S55" s="356"/>
      <c r="T55" s="363"/>
      <c r="U55" s="262" t="s">
        <v>358</v>
      </c>
      <c r="V55" s="282">
        <v>0</v>
      </c>
      <c r="W55" s="283" t="s">
        <v>201</v>
      </c>
      <c r="X55" s="290" t="s">
        <v>153</v>
      </c>
      <c r="Y55" s="276" t="s">
        <v>153</v>
      </c>
      <c r="Z55" s="274">
        <v>500</v>
      </c>
      <c r="AA55" s="264">
        <v>1000</v>
      </c>
      <c r="AB55" s="316"/>
      <c r="AC55" s="9"/>
      <c r="AD55" s="20"/>
      <c r="AE55" s="23" t="s">
        <v>146</v>
      </c>
      <c r="AF55" s="44">
        <f>AF54/AF52</f>
        <v>0.75730735163861829</v>
      </c>
      <c r="AG55" s="44">
        <f>AG54/AG52</f>
        <v>0.56065573770491806</v>
      </c>
      <c r="AH55" s="44">
        <f>AH54/AH52</f>
        <v>0.29268292682926828</v>
      </c>
      <c r="AI55" s="45">
        <f>AI54/AI52</f>
        <v>0.19672131147540983</v>
      </c>
      <c r="AJ55" s="9"/>
      <c r="AK55" s="9"/>
    </row>
    <row r="56" spans="1:37" x14ac:dyDescent="0.3">
      <c r="A56" s="10"/>
      <c r="B56" s="10"/>
      <c r="C56" s="10"/>
      <c r="D56" s="10"/>
      <c r="E56" s="10"/>
      <c r="F56" s="10"/>
      <c r="G56" s="9"/>
      <c r="H56" s="9"/>
      <c r="I56" s="9"/>
      <c r="J56" s="9"/>
      <c r="K56" s="9"/>
      <c r="L56" s="9"/>
      <c r="M56" s="24"/>
      <c r="N56" s="24"/>
      <c r="O56" s="24"/>
      <c r="P56" s="9"/>
      <c r="S56" s="356"/>
      <c r="T56" s="363"/>
      <c r="U56" s="262" t="s">
        <v>355</v>
      </c>
      <c r="V56" s="282">
        <v>0</v>
      </c>
      <c r="W56" s="283" t="s">
        <v>201</v>
      </c>
      <c r="X56" s="290" t="s">
        <v>153</v>
      </c>
      <c r="Y56" s="276" t="s">
        <v>153</v>
      </c>
      <c r="Z56" s="274">
        <v>500</v>
      </c>
      <c r="AA56" s="264">
        <v>750</v>
      </c>
      <c r="AB56" s="316"/>
      <c r="AC56" s="9"/>
      <c r="AD56" s="92" t="s">
        <v>409</v>
      </c>
      <c r="AE56" s="41"/>
      <c r="AF56" s="104">
        <f>AF57+AF58</f>
        <v>100700</v>
      </c>
      <c r="AG56" s="104">
        <f t="shared" ref="AG56:AI56" si="2">AG57+AG58</f>
        <v>140200</v>
      </c>
      <c r="AH56" s="104">
        <f t="shared" si="2"/>
        <v>302400</v>
      </c>
      <c r="AI56" s="105">
        <f t="shared" si="2"/>
        <v>487600</v>
      </c>
      <c r="AJ56" s="9"/>
      <c r="AK56" s="9"/>
    </row>
    <row r="57" spans="1:37" ht="15" customHeight="1" x14ac:dyDescent="0.3">
      <c r="A57" s="10"/>
      <c r="B57" s="10"/>
      <c r="C57" s="10"/>
      <c r="D57" s="10"/>
      <c r="E57" s="10"/>
      <c r="F57" s="10"/>
      <c r="G57" s="9"/>
      <c r="H57" s="9"/>
      <c r="I57" s="9"/>
      <c r="J57" s="9"/>
      <c r="K57" s="9"/>
      <c r="L57" s="9"/>
      <c r="M57" s="24"/>
      <c r="N57" s="24"/>
      <c r="O57" s="24"/>
      <c r="P57" s="9"/>
      <c r="S57" s="356"/>
      <c r="T57" s="363"/>
      <c r="U57" s="262" t="s">
        <v>372</v>
      </c>
      <c r="V57" s="282">
        <v>0</v>
      </c>
      <c r="W57" s="283" t="s">
        <v>201</v>
      </c>
      <c r="X57" s="358" t="s">
        <v>388</v>
      </c>
      <c r="Y57" s="276" t="s">
        <v>153</v>
      </c>
      <c r="Z57" s="274">
        <v>500</v>
      </c>
      <c r="AA57" s="264">
        <v>750</v>
      </c>
      <c r="AB57" s="316"/>
      <c r="AC57" s="9"/>
      <c r="AD57" s="19"/>
      <c r="AE57" s="327" t="s">
        <v>227</v>
      </c>
      <c r="AF57" s="328">
        <f>ROUND(Conv!C12,-2)</f>
        <v>26900</v>
      </c>
      <c r="AG57" s="328">
        <f>ROUND(Conv!J12,-2)</f>
        <v>66400</v>
      </c>
      <c r="AH57" s="328">
        <f>ROUND(Conv!N12,-2)</f>
        <v>220700</v>
      </c>
      <c r="AI57" s="40">
        <f>ROUND(Conv!R12,-2)</f>
        <v>401000</v>
      </c>
      <c r="AJ57" s="9"/>
      <c r="AK57" s="9"/>
    </row>
    <row r="58" spans="1:37" x14ac:dyDescent="0.3">
      <c r="A58" s="10"/>
      <c r="B58" s="9"/>
      <c r="C58" s="9"/>
      <c r="D58" s="9"/>
      <c r="E58" s="9"/>
      <c r="F58" s="9"/>
      <c r="G58" s="9"/>
      <c r="H58" s="9"/>
      <c r="I58" s="9"/>
      <c r="J58" s="9"/>
      <c r="K58" s="9"/>
      <c r="L58" s="9"/>
      <c r="M58" s="24"/>
      <c r="N58" s="24"/>
      <c r="O58" s="24"/>
      <c r="P58" s="9"/>
      <c r="S58" s="356"/>
      <c r="T58" s="363"/>
      <c r="U58" s="262" t="s">
        <v>373</v>
      </c>
      <c r="V58" s="282">
        <v>0</v>
      </c>
      <c r="W58" s="283" t="s">
        <v>201</v>
      </c>
      <c r="X58" s="359"/>
      <c r="Y58" s="276" t="s">
        <v>153</v>
      </c>
      <c r="Z58" s="274">
        <v>500</v>
      </c>
      <c r="AA58" s="264">
        <v>750</v>
      </c>
      <c r="AB58" s="316"/>
      <c r="AC58" s="9"/>
      <c r="AD58" s="19"/>
      <c r="AE58" s="327" t="s">
        <v>21</v>
      </c>
      <c r="AF58" s="328">
        <f>ROUND(Conv!C31,-2)</f>
        <v>73800</v>
      </c>
      <c r="AG58" s="328">
        <f>ROUND(Conv!J31,-2)</f>
        <v>73800</v>
      </c>
      <c r="AH58" s="328">
        <f>ROUND(Conv!N31,-2)</f>
        <v>81700</v>
      </c>
      <c r="AI58" s="40">
        <f>ROUND(Conv!R31,-2)</f>
        <v>86600</v>
      </c>
      <c r="AJ58" s="9"/>
      <c r="AK58" s="9"/>
    </row>
    <row r="59" spans="1:37" x14ac:dyDescent="0.3">
      <c r="A59" s="10"/>
      <c r="B59" s="9"/>
      <c r="C59" s="9"/>
      <c r="D59" s="9"/>
      <c r="E59" s="9"/>
      <c r="F59" s="9"/>
      <c r="G59" s="9"/>
      <c r="H59" s="9"/>
      <c r="I59" s="9"/>
      <c r="J59" s="9"/>
      <c r="K59" s="9"/>
      <c r="L59" s="9"/>
      <c r="M59" s="24"/>
      <c r="N59" s="24"/>
      <c r="O59" s="24"/>
      <c r="P59" s="9"/>
      <c r="S59" s="356"/>
      <c r="T59" s="364"/>
      <c r="U59" s="265" t="s">
        <v>374</v>
      </c>
      <c r="V59" s="284">
        <v>0</v>
      </c>
      <c r="W59" s="285" t="s">
        <v>201</v>
      </c>
      <c r="X59" s="360"/>
      <c r="Y59" s="277" t="s">
        <v>153</v>
      </c>
      <c r="Z59" s="266">
        <v>500</v>
      </c>
      <c r="AA59" s="267">
        <v>750</v>
      </c>
      <c r="AB59" s="316"/>
      <c r="AC59" s="9"/>
      <c r="AD59" s="20"/>
      <c r="AE59" s="323" t="s">
        <v>146</v>
      </c>
      <c r="AF59" s="44">
        <f>AF58/AF56</f>
        <v>0.73286991062562068</v>
      </c>
      <c r="AG59" s="44">
        <f t="shared" ref="AG59:AI59" si="3">AG58/AG56</f>
        <v>0.52639087018544939</v>
      </c>
      <c r="AH59" s="44">
        <f t="shared" si="3"/>
        <v>0.27017195767195767</v>
      </c>
      <c r="AI59" s="45">
        <f t="shared" si="3"/>
        <v>0.17760459392945038</v>
      </c>
      <c r="AJ59" s="9"/>
      <c r="AK59" s="9"/>
    </row>
    <row r="60" spans="1:37" ht="15" customHeight="1" x14ac:dyDescent="0.3">
      <c r="A60" s="10"/>
      <c r="B60" s="9"/>
      <c r="C60" s="9"/>
      <c r="D60" s="9"/>
      <c r="E60" s="9"/>
      <c r="F60" s="9"/>
      <c r="G60" s="9"/>
      <c r="H60" s="9"/>
      <c r="I60" s="9"/>
      <c r="J60" s="9"/>
      <c r="K60" s="9"/>
      <c r="L60" s="9"/>
      <c r="M60" s="24"/>
      <c r="N60" s="24"/>
      <c r="O60" s="24"/>
      <c r="P60" s="9"/>
      <c r="S60" s="356"/>
      <c r="T60" s="362" t="s">
        <v>375</v>
      </c>
      <c r="U60" s="262" t="s">
        <v>376</v>
      </c>
      <c r="V60" s="280">
        <v>0</v>
      </c>
      <c r="W60" s="281" t="s">
        <v>201</v>
      </c>
      <c r="X60" s="275" t="s">
        <v>153</v>
      </c>
      <c r="Y60" s="278" t="s">
        <v>153</v>
      </c>
      <c r="Z60" s="272">
        <v>500</v>
      </c>
      <c r="AA60" s="273">
        <v>750</v>
      </c>
      <c r="AB60" s="316"/>
      <c r="AC60" s="9"/>
      <c r="AD60" s="92" t="s">
        <v>168</v>
      </c>
      <c r="AE60" s="41"/>
      <c r="AF60" s="104">
        <f>AF61+AF62</f>
        <v>78100</v>
      </c>
      <c r="AG60" s="104">
        <f>AG61+AG62</f>
        <v>103500</v>
      </c>
      <c r="AH60" s="104">
        <f>AH61+AH62</f>
        <v>212250</v>
      </c>
      <c r="AI60" s="105">
        <f>AI61+AI62</f>
        <v>325000</v>
      </c>
      <c r="AJ60" s="9"/>
      <c r="AK60" s="9"/>
    </row>
    <row r="61" spans="1:37" x14ac:dyDescent="0.3">
      <c r="A61" s="10"/>
      <c r="B61" s="9"/>
      <c r="C61" s="9"/>
      <c r="D61" s="9"/>
      <c r="E61" s="9"/>
      <c r="F61" s="9"/>
      <c r="G61" s="9"/>
      <c r="H61" s="9"/>
      <c r="I61" s="9"/>
      <c r="J61" s="9"/>
      <c r="K61" s="9"/>
      <c r="L61" s="9"/>
      <c r="M61" s="24"/>
      <c r="N61" s="24"/>
      <c r="O61" s="24"/>
      <c r="P61" s="9"/>
      <c r="S61" s="356"/>
      <c r="T61" s="363"/>
      <c r="U61" s="262" t="s">
        <v>377</v>
      </c>
      <c r="V61" s="282">
        <v>0</v>
      </c>
      <c r="W61" s="283" t="s">
        <v>201</v>
      </c>
      <c r="X61" s="290" t="s">
        <v>153</v>
      </c>
      <c r="Y61" s="276" t="s">
        <v>153</v>
      </c>
      <c r="Z61" s="274">
        <v>500</v>
      </c>
      <c r="AA61" s="264">
        <v>750</v>
      </c>
      <c r="AB61" s="316"/>
      <c r="AC61" s="9"/>
      <c r="AD61" s="19"/>
      <c r="AE61" t="s">
        <v>227</v>
      </c>
      <c r="AF61" s="106">
        <f>ROUND(Run!AM80,-2)</f>
        <v>17600</v>
      </c>
      <c r="AG61" s="17">
        <f>ROUND(Conv!J8,-3)</f>
        <v>43000</v>
      </c>
      <c r="AH61" s="17">
        <f>ROUND(Conv!N8,-3)</f>
        <v>137000</v>
      </c>
      <c r="AI61" s="40">
        <f>ROUND(Conv!R8,-3)</f>
        <v>235000</v>
      </c>
      <c r="AJ61" s="9"/>
      <c r="AK61" s="9"/>
    </row>
    <row r="62" spans="1:37" x14ac:dyDescent="0.3">
      <c r="A62" s="10"/>
      <c r="B62" s="9"/>
      <c r="C62" s="9"/>
      <c r="D62" s="9"/>
      <c r="E62" s="24"/>
      <c r="F62" s="100"/>
      <c r="G62" s="9"/>
      <c r="H62" s="9"/>
      <c r="I62" s="9"/>
      <c r="J62" s="9"/>
      <c r="K62" s="9"/>
      <c r="L62" s="9"/>
      <c r="M62" s="24"/>
      <c r="N62" s="24"/>
      <c r="O62" s="24"/>
      <c r="P62" s="9"/>
      <c r="S62" s="356"/>
      <c r="T62" s="363"/>
      <c r="U62" s="262" t="s">
        <v>363</v>
      </c>
      <c r="V62" s="282">
        <v>0</v>
      </c>
      <c r="W62" s="283" t="s">
        <v>201</v>
      </c>
      <c r="X62" s="358" t="s">
        <v>389</v>
      </c>
      <c r="Y62" s="276" t="s">
        <v>153</v>
      </c>
      <c r="Z62" s="274">
        <v>500</v>
      </c>
      <c r="AA62" s="264">
        <v>1000</v>
      </c>
      <c r="AB62" s="316"/>
      <c r="AC62" s="9"/>
      <c r="AD62" s="19"/>
      <c r="AE62" t="s">
        <v>21</v>
      </c>
      <c r="AF62" s="17">
        <f>ROUND(Run!AN80,-2)</f>
        <v>60500</v>
      </c>
      <c r="AG62" s="17">
        <f>AF62</f>
        <v>60500</v>
      </c>
      <c r="AH62" s="17">
        <f>((AI62-AG62)/2)+AG62</f>
        <v>75250</v>
      </c>
      <c r="AI62" s="40">
        <v>90000</v>
      </c>
      <c r="AJ62" s="9"/>
      <c r="AK62" s="9"/>
    </row>
    <row r="63" spans="1:37" x14ac:dyDescent="0.3">
      <c r="A63" s="10"/>
      <c r="B63" s="9"/>
      <c r="C63" s="9"/>
      <c r="D63" s="9"/>
      <c r="E63" s="24" t="s">
        <v>204</v>
      </c>
      <c r="F63" s="100">
        <f>AG38</f>
        <v>1.7000000000000001E-2</v>
      </c>
      <c r="G63" s="9"/>
      <c r="H63" s="9"/>
      <c r="I63" s="9"/>
      <c r="J63" s="9"/>
      <c r="K63" s="9"/>
      <c r="L63" s="9"/>
      <c r="M63" s="24"/>
      <c r="N63" s="24"/>
      <c r="O63" s="24"/>
      <c r="P63" s="9"/>
      <c r="S63" s="356"/>
      <c r="T63" s="363"/>
      <c r="U63" s="262" t="s">
        <v>364</v>
      </c>
      <c r="V63" s="282">
        <v>0</v>
      </c>
      <c r="W63" s="283" t="s">
        <v>201</v>
      </c>
      <c r="X63" s="359"/>
      <c r="Y63" s="276" t="s">
        <v>153</v>
      </c>
      <c r="Z63" s="274">
        <v>500</v>
      </c>
      <c r="AA63" s="264">
        <v>1000</v>
      </c>
      <c r="AB63" s="316"/>
      <c r="AC63" s="9"/>
      <c r="AD63" s="20"/>
      <c r="AE63" s="23" t="s">
        <v>146</v>
      </c>
      <c r="AF63" s="44">
        <f>AF62/AF60</f>
        <v>0.77464788732394363</v>
      </c>
      <c r="AG63" s="44">
        <f>AG62/AG60</f>
        <v>0.58454106280193241</v>
      </c>
      <c r="AH63" s="44">
        <f>AH62/AH60</f>
        <v>0.35453474676089519</v>
      </c>
      <c r="AI63" s="45">
        <f>AI62/AI60</f>
        <v>0.27692307692307694</v>
      </c>
      <c r="AJ63" s="9"/>
      <c r="AK63" s="9"/>
    </row>
    <row r="64" spans="1:37" x14ac:dyDescent="0.3">
      <c r="A64" s="10"/>
      <c r="B64" s="9"/>
      <c r="C64" s="9"/>
      <c r="D64" s="9"/>
      <c r="E64" s="24" t="s">
        <v>172</v>
      </c>
      <c r="F64" s="100">
        <f>AG39</f>
        <v>0.10100000000000001</v>
      </c>
      <c r="G64" s="9"/>
      <c r="H64" s="9"/>
      <c r="I64" s="9"/>
      <c r="J64" s="9"/>
      <c r="K64" s="9"/>
      <c r="L64" s="9"/>
      <c r="M64" s="24"/>
      <c r="N64" s="24"/>
      <c r="O64" s="24"/>
      <c r="P64" s="9"/>
      <c r="S64" s="356"/>
      <c r="T64" s="364"/>
      <c r="U64" s="265" t="s">
        <v>378</v>
      </c>
      <c r="V64" s="284">
        <v>0</v>
      </c>
      <c r="W64" s="285" t="s">
        <v>201</v>
      </c>
      <c r="X64" s="291" t="s">
        <v>394</v>
      </c>
      <c r="Y64" s="277" t="s">
        <v>153</v>
      </c>
      <c r="Z64" s="266">
        <v>500</v>
      </c>
      <c r="AA64" s="267">
        <v>1000</v>
      </c>
      <c r="AB64" s="316"/>
      <c r="AC64" s="9"/>
      <c r="AD64" s="7" t="s">
        <v>398</v>
      </c>
      <c r="AE64" s="41"/>
      <c r="AF64" s="104">
        <f>AF65+AF66</f>
        <v>48400</v>
      </c>
      <c r="AG64" s="104">
        <f>AG65+AG66</f>
        <v>68300</v>
      </c>
      <c r="AH64" s="104">
        <f>AH65+AH66</f>
        <v>124800</v>
      </c>
      <c r="AI64" s="105">
        <f>AI65+AI66</f>
        <v>183500</v>
      </c>
      <c r="AJ64" s="9"/>
      <c r="AK64" s="9"/>
    </row>
    <row r="65" spans="1:39" ht="15" customHeight="1" x14ac:dyDescent="0.3">
      <c r="A65" s="10"/>
      <c r="B65" s="9"/>
      <c r="C65" s="9"/>
      <c r="D65" s="9"/>
      <c r="E65" s="24" t="s">
        <v>173</v>
      </c>
      <c r="F65" s="100">
        <v>0.01</v>
      </c>
      <c r="G65" s="9"/>
      <c r="H65" s="9"/>
      <c r="I65" s="9"/>
      <c r="J65" s="9"/>
      <c r="K65" s="9"/>
      <c r="L65" s="9"/>
      <c r="M65" s="24"/>
      <c r="N65" s="24"/>
      <c r="O65" s="24"/>
      <c r="P65" s="9"/>
      <c r="S65" s="356"/>
      <c r="T65" s="372" t="s">
        <v>360</v>
      </c>
      <c r="U65" s="262" t="s">
        <v>379</v>
      </c>
      <c r="V65" s="280">
        <v>0</v>
      </c>
      <c r="W65" s="281" t="s">
        <v>201</v>
      </c>
      <c r="X65" s="361" t="s">
        <v>390</v>
      </c>
      <c r="Y65" s="278" t="s">
        <v>153</v>
      </c>
      <c r="Z65" s="272">
        <v>500</v>
      </c>
      <c r="AA65" s="273">
        <v>1000</v>
      </c>
      <c r="AB65" s="316"/>
      <c r="AC65" s="9"/>
      <c r="AD65" s="19"/>
      <c r="AE65" t="s">
        <v>227</v>
      </c>
      <c r="AF65" s="17">
        <f>ROUND(Conv!C5,-2)</f>
        <v>13600</v>
      </c>
      <c r="AG65" s="17">
        <f>ROUND(Conv!J5,-2)</f>
        <v>33500</v>
      </c>
      <c r="AH65" s="17">
        <f>ROUND(Conv!N5,-2)</f>
        <v>98800</v>
      </c>
      <c r="AI65" s="40">
        <f>ROUND(Conv!R5,-2)</f>
        <v>159500</v>
      </c>
      <c r="AJ65" s="9"/>
      <c r="AK65" s="9"/>
    </row>
    <row r="66" spans="1:39" x14ac:dyDescent="0.3">
      <c r="A66" s="10"/>
      <c r="B66" s="9"/>
      <c r="C66" s="9"/>
      <c r="D66" s="9"/>
      <c r="E66" s="24" t="s">
        <v>174</v>
      </c>
      <c r="F66" s="100">
        <v>0.02</v>
      </c>
      <c r="G66" s="9"/>
      <c r="H66" s="9"/>
      <c r="I66" s="9"/>
      <c r="J66" s="9"/>
      <c r="K66" s="9"/>
      <c r="L66" s="9"/>
      <c r="M66" s="24"/>
      <c r="N66" s="24"/>
      <c r="O66" s="24"/>
      <c r="P66" s="9"/>
      <c r="S66" s="356"/>
      <c r="T66" s="373"/>
      <c r="U66" s="262" t="s">
        <v>361</v>
      </c>
      <c r="V66" s="282">
        <v>0</v>
      </c>
      <c r="W66" s="283" t="s">
        <v>201</v>
      </c>
      <c r="X66" s="359"/>
      <c r="Y66" s="276" t="s">
        <v>153</v>
      </c>
      <c r="Z66" s="274">
        <v>500</v>
      </c>
      <c r="AA66" s="264">
        <v>1000</v>
      </c>
      <c r="AB66" s="316"/>
      <c r="AC66" s="9"/>
      <c r="AD66" s="19"/>
      <c r="AE66" t="s">
        <v>21</v>
      </c>
      <c r="AF66" s="17">
        <f>ROUND(AF62*(1-(AG46+AG47))*(0.9),-2)</f>
        <v>34800</v>
      </c>
      <c r="AG66" s="17">
        <f>AF66</f>
        <v>34800</v>
      </c>
      <c r="AH66" s="17">
        <f>ROUND(Conv!N24,-3)</f>
        <v>26000</v>
      </c>
      <c r="AI66" s="40">
        <f>ROUND(Conv!R24,-3)</f>
        <v>24000</v>
      </c>
      <c r="AJ66" s="9"/>
      <c r="AK66" s="9"/>
    </row>
    <row r="67" spans="1:39" x14ac:dyDescent="0.3">
      <c r="A67" s="10"/>
      <c r="B67" s="9"/>
      <c r="C67" s="9"/>
      <c r="D67" s="9"/>
      <c r="E67" s="9"/>
      <c r="F67" s="9"/>
      <c r="G67" s="9"/>
      <c r="H67" s="9"/>
      <c r="I67" s="9"/>
      <c r="J67" s="9"/>
      <c r="K67" s="9"/>
      <c r="L67" s="9"/>
      <c r="M67" s="24"/>
      <c r="N67" s="24"/>
      <c r="O67" s="24"/>
      <c r="P67" s="9"/>
      <c r="S67" s="356"/>
      <c r="T67" s="374"/>
      <c r="U67" s="265" t="s">
        <v>362</v>
      </c>
      <c r="V67" s="284">
        <v>0</v>
      </c>
      <c r="W67" s="285" t="s">
        <v>201</v>
      </c>
      <c r="X67" s="360"/>
      <c r="Y67" s="277" t="s">
        <v>153</v>
      </c>
      <c r="Z67" s="266">
        <v>500</v>
      </c>
      <c r="AA67" s="267">
        <v>1000</v>
      </c>
      <c r="AB67" s="316"/>
      <c r="AC67" s="9"/>
      <c r="AD67" s="20"/>
      <c r="AE67" s="23" t="s">
        <v>146</v>
      </c>
      <c r="AF67" s="44">
        <f>AF66/AF64</f>
        <v>0.71900826446280997</v>
      </c>
      <c r="AG67" s="44">
        <f>AG66/AG64</f>
        <v>0.5095168374816984</v>
      </c>
      <c r="AH67" s="44">
        <f>AH66/AH64</f>
        <v>0.20833333333333334</v>
      </c>
      <c r="AI67" s="45">
        <f>AI66/AI64</f>
        <v>0.13079019073569481</v>
      </c>
      <c r="AJ67" s="9"/>
      <c r="AK67" s="9"/>
    </row>
    <row r="68" spans="1:39" x14ac:dyDescent="0.3">
      <c r="A68" s="10"/>
      <c r="B68" s="9"/>
      <c r="C68" s="9"/>
      <c r="D68" s="9"/>
      <c r="E68" s="9"/>
      <c r="F68" s="9"/>
      <c r="G68" s="9"/>
      <c r="H68" s="9"/>
      <c r="I68" s="9"/>
      <c r="J68" s="9"/>
      <c r="K68" s="9"/>
      <c r="L68" s="9"/>
      <c r="M68" s="24"/>
      <c r="N68" s="24"/>
      <c r="O68" s="24"/>
      <c r="P68" s="9"/>
      <c r="S68" s="356"/>
      <c r="T68" s="362" t="s">
        <v>365</v>
      </c>
      <c r="U68" s="262" t="s">
        <v>367</v>
      </c>
      <c r="V68" s="280">
        <v>0</v>
      </c>
      <c r="W68" s="281" t="s">
        <v>201</v>
      </c>
      <c r="X68" s="275" t="s">
        <v>391</v>
      </c>
      <c r="Y68" s="278" t="s">
        <v>153</v>
      </c>
      <c r="Z68" s="272">
        <v>500</v>
      </c>
      <c r="AA68" s="273">
        <v>1000</v>
      </c>
      <c r="AB68" s="316"/>
      <c r="AC68" s="9"/>
      <c r="AD68" s="7" t="s">
        <v>334</v>
      </c>
      <c r="AE68" s="41"/>
      <c r="AF68" s="104">
        <f>AF69+AF70</f>
        <v>44230</v>
      </c>
      <c r="AG68" s="104">
        <f>AG69+AG70</f>
        <v>50300</v>
      </c>
      <c r="AH68" s="104">
        <f>AH69+AH70</f>
        <v>122000</v>
      </c>
      <c r="AI68" s="105">
        <f>AI69+AI70</f>
        <v>233000</v>
      </c>
      <c r="AJ68" s="9"/>
      <c r="AK68" s="9"/>
    </row>
    <row r="69" spans="1:39" ht="15" customHeight="1" x14ac:dyDescent="0.3">
      <c r="A69" s="10"/>
      <c r="B69" s="9"/>
      <c r="C69" s="9"/>
      <c r="D69" s="9"/>
      <c r="E69" s="9"/>
      <c r="F69" s="9"/>
      <c r="G69" s="9"/>
      <c r="H69" s="9"/>
      <c r="I69" s="9"/>
      <c r="J69" s="9"/>
      <c r="K69" s="9"/>
      <c r="L69" s="9"/>
      <c r="M69" s="24"/>
      <c r="N69" s="24"/>
      <c r="O69" s="24"/>
      <c r="P69" s="9"/>
      <c r="S69" s="356"/>
      <c r="T69" s="363"/>
      <c r="U69" s="262" t="s">
        <v>366</v>
      </c>
      <c r="V69" s="282">
        <v>0</v>
      </c>
      <c r="W69" s="283" t="s">
        <v>201</v>
      </c>
      <c r="X69" s="290" t="s">
        <v>153</v>
      </c>
      <c r="Y69" s="276" t="s">
        <v>153</v>
      </c>
      <c r="Z69" s="274">
        <v>500</v>
      </c>
      <c r="AA69" s="264">
        <v>1000</v>
      </c>
      <c r="AB69" s="316"/>
      <c r="AC69" s="9"/>
      <c r="AD69" s="19"/>
      <c r="AE69" t="s">
        <v>227</v>
      </c>
      <c r="AF69" s="17">
        <f>ROUND(Conv!G17,-1)</f>
        <v>3930</v>
      </c>
      <c r="AG69" s="17">
        <f>ROUND(Conv!K17,-3)</f>
        <v>10000</v>
      </c>
      <c r="AH69" s="17">
        <f>ROUND(Conv!O17,-3)</f>
        <v>58000</v>
      </c>
      <c r="AI69" s="40">
        <f>ROUND(Conv!S17,-3)</f>
        <v>155000</v>
      </c>
      <c r="AJ69" s="9"/>
      <c r="AK69" s="9"/>
    </row>
    <row r="70" spans="1:39" x14ac:dyDescent="0.3">
      <c r="A70" s="10"/>
      <c r="B70" s="9"/>
      <c r="C70" s="9"/>
      <c r="D70" s="9"/>
      <c r="E70" s="9"/>
      <c r="F70" s="9"/>
      <c r="G70" s="9"/>
      <c r="H70" s="9"/>
      <c r="I70" s="9"/>
      <c r="J70" s="9"/>
      <c r="K70" s="9"/>
      <c r="L70" s="9"/>
      <c r="M70" s="24"/>
      <c r="N70" s="24"/>
      <c r="O70" s="24"/>
      <c r="P70" s="9"/>
      <c r="S70" s="356"/>
      <c r="T70" s="363"/>
      <c r="U70" s="262" t="s">
        <v>368</v>
      </c>
      <c r="V70" s="282">
        <v>0</v>
      </c>
      <c r="W70" s="283" t="s">
        <v>201</v>
      </c>
      <c r="X70" s="290" t="s">
        <v>153</v>
      </c>
      <c r="Y70" s="276" t="s">
        <v>153</v>
      </c>
      <c r="Z70" s="274">
        <v>500</v>
      </c>
      <c r="AA70" s="264">
        <v>1000</v>
      </c>
      <c r="AB70" s="316"/>
      <c r="AC70" s="9"/>
      <c r="AD70" s="19"/>
      <c r="AE70" t="s">
        <v>21</v>
      </c>
      <c r="AF70" s="17">
        <f>AJ48</f>
        <v>40300</v>
      </c>
      <c r="AG70" s="17">
        <f>AF70</f>
        <v>40300</v>
      </c>
      <c r="AH70" s="17">
        <f>ROUND(Conv!O37,-3)</f>
        <v>64000</v>
      </c>
      <c r="AI70" s="40">
        <f>ROUND(Conv!S37,-3)</f>
        <v>78000</v>
      </c>
      <c r="AJ70" s="9"/>
      <c r="AK70" s="9"/>
      <c r="AL70" s="253"/>
      <c r="AM70" s="253"/>
    </row>
    <row r="71" spans="1:39" x14ac:dyDescent="0.3">
      <c r="A71" s="10"/>
      <c r="B71" s="9"/>
      <c r="C71" s="9"/>
      <c r="D71" s="9"/>
      <c r="E71" s="9"/>
      <c r="F71" s="9"/>
      <c r="G71" s="9"/>
      <c r="H71" s="9"/>
      <c r="I71" s="9"/>
      <c r="J71" s="9"/>
      <c r="K71" s="9"/>
      <c r="L71" s="9"/>
      <c r="M71" s="24"/>
      <c r="N71" s="24"/>
      <c r="O71" s="24"/>
      <c r="P71" s="9"/>
      <c r="S71" s="356"/>
      <c r="T71" s="364"/>
      <c r="U71" s="265" t="s">
        <v>369</v>
      </c>
      <c r="V71" s="284">
        <v>0</v>
      </c>
      <c r="W71" s="285" t="s">
        <v>201</v>
      </c>
      <c r="X71" s="291" t="s">
        <v>392</v>
      </c>
      <c r="Y71" s="277" t="s">
        <v>153</v>
      </c>
      <c r="Z71" s="266">
        <v>500</v>
      </c>
      <c r="AA71" s="267">
        <v>1000</v>
      </c>
      <c r="AB71" s="316"/>
      <c r="AC71" s="9"/>
      <c r="AD71" s="20"/>
      <c r="AE71" s="23" t="s">
        <v>146</v>
      </c>
      <c r="AF71" s="44">
        <f>AF70/AF68</f>
        <v>0.91114628080488358</v>
      </c>
      <c r="AG71" s="44">
        <f>AG70/AG68</f>
        <v>0.80119284294234594</v>
      </c>
      <c r="AH71" s="44">
        <f>AH70/AH68</f>
        <v>0.52459016393442626</v>
      </c>
      <c r="AI71" s="45">
        <f>AI70/AI68</f>
        <v>0.33476394849785407</v>
      </c>
      <c r="AJ71" s="9"/>
      <c r="AK71" s="9"/>
      <c r="AL71" s="253"/>
      <c r="AM71" s="253"/>
    </row>
    <row r="72" spans="1:39" x14ac:dyDescent="0.3">
      <c r="A72" s="10"/>
      <c r="B72" s="9"/>
      <c r="C72" s="9"/>
      <c r="D72" s="9"/>
      <c r="E72" s="9"/>
      <c r="F72" s="9"/>
      <c r="G72" s="9"/>
      <c r="H72" s="9"/>
      <c r="I72" s="9"/>
      <c r="J72" s="9"/>
      <c r="K72" s="9"/>
      <c r="L72" s="9"/>
      <c r="M72" s="24"/>
      <c r="N72" s="24"/>
      <c r="O72" s="24"/>
      <c r="P72" s="9"/>
      <c r="S72" s="356"/>
      <c r="T72" s="362" t="s">
        <v>68</v>
      </c>
      <c r="U72" s="262" t="s">
        <v>380</v>
      </c>
      <c r="V72" s="282">
        <v>0</v>
      </c>
      <c r="W72" s="283" t="s">
        <v>201</v>
      </c>
      <c r="X72" s="290" t="s">
        <v>153</v>
      </c>
      <c r="Y72" s="276" t="s">
        <v>153</v>
      </c>
      <c r="Z72" s="263">
        <v>500</v>
      </c>
      <c r="AA72" s="264">
        <v>1000</v>
      </c>
      <c r="AB72" s="316"/>
      <c r="AC72" s="9"/>
      <c r="AD72" s="9"/>
      <c r="AE72" s="9"/>
      <c r="AF72" s="9"/>
      <c r="AG72" s="9"/>
      <c r="AH72" s="9"/>
      <c r="AI72" s="9"/>
      <c r="AJ72" s="9"/>
      <c r="AK72" s="9"/>
      <c r="AM72" s="253"/>
    </row>
    <row r="73" spans="1:39" x14ac:dyDescent="0.3">
      <c r="A73" s="10"/>
      <c r="B73" s="9"/>
      <c r="C73" s="9"/>
      <c r="D73" s="9"/>
      <c r="E73" s="9"/>
      <c r="F73" s="9"/>
      <c r="G73" s="9"/>
      <c r="H73" s="9"/>
      <c r="I73" s="9"/>
      <c r="J73" s="9"/>
      <c r="K73" s="9"/>
      <c r="L73" s="9"/>
      <c r="M73" s="24"/>
      <c r="N73" s="24"/>
      <c r="O73" s="24"/>
      <c r="P73" s="9"/>
      <c r="S73" s="356"/>
      <c r="T73" s="363"/>
      <c r="U73" s="262" t="s">
        <v>370</v>
      </c>
      <c r="V73" s="282">
        <v>0</v>
      </c>
      <c r="W73" s="283" t="s">
        <v>201</v>
      </c>
      <c r="X73" s="358" t="s">
        <v>393</v>
      </c>
      <c r="Y73" s="276" t="s">
        <v>153</v>
      </c>
      <c r="Z73" s="263">
        <v>500</v>
      </c>
      <c r="AA73" s="264">
        <v>750</v>
      </c>
      <c r="AB73" s="316"/>
      <c r="AC73" s="9"/>
      <c r="AJ73" s="9"/>
      <c r="AK73" s="9"/>
      <c r="AM73" s="253"/>
    </row>
    <row r="74" spans="1:39" x14ac:dyDescent="0.3">
      <c r="A74" s="10"/>
      <c r="B74" s="9"/>
      <c r="C74" s="9"/>
      <c r="D74" s="9"/>
      <c r="E74" s="9"/>
      <c r="F74" s="9"/>
      <c r="G74" s="9"/>
      <c r="H74" s="9"/>
      <c r="I74" s="9"/>
      <c r="J74" s="9"/>
      <c r="K74" s="9"/>
      <c r="L74" s="9"/>
      <c r="M74" s="24"/>
      <c r="N74" s="24"/>
      <c r="O74" s="24"/>
      <c r="P74" s="9"/>
      <c r="S74" s="356"/>
      <c r="T74" s="363"/>
      <c r="U74" s="262" t="s">
        <v>371</v>
      </c>
      <c r="V74" s="282">
        <v>0</v>
      </c>
      <c r="W74" s="283" t="s">
        <v>201</v>
      </c>
      <c r="X74" s="359"/>
      <c r="Y74" s="276" t="s">
        <v>153</v>
      </c>
      <c r="Z74" s="263">
        <v>500</v>
      </c>
      <c r="AA74" s="264">
        <v>750</v>
      </c>
      <c r="AB74" s="316"/>
      <c r="AC74" s="9"/>
      <c r="AM74" s="253"/>
    </row>
    <row r="75" spans="1:39" ht="15" customHeight="1" x14ac:dyDescent="0.3">
      <c r="A75" s="10"/>
      <c r="B75" s="9"/>
      <c r="C75" s="9"/>
      <c r="D75" s="9"/>
      <c r="E75" s="9"/>
      <c r="F75" s="9"/>
      <c r="G75" s="9"/>
      <c r="H75" s="9"/>
      <c r="I75" s="9"/>
      <c r="J75" s="9"/>
      <c r="K75" s="9"/>
      <c r="L75" s="9"/>
      <c r="M75" s="24"/>
      <c r="N75" s="24"/>
      <c r="O75" s="24"/>
      <c r="P75" s="9"/>
      <c r="S75" s="356"/>
      <c r="T75" s="363"/>
      <c r="U75" s="262" t="s">
        <v>381</v>
      </c>
      <c r="V75" s="282">
        <v>0</v>
      </c>
      <c r="W75" s="283" t="s">
        <v>201</v>
      </c>
      <c r="X75" s="290" t="s">
        <v>153</v>
      </c>
      <c r="Y75" s="276" t="s">
        <v>153</v>
      </c>
      <c r="Z75" s="263">
        <v>500</v>
      </c>
      <c r="AA75" s="264">
        <v>1000</v>
      </c>
      <c r="AB75" s="316"/>
      <c r="AC75" s="9"/>
      <c r="AM75" s="253"/>
    </row>
    <row r="76" spans="1:39" s="247" customFormat="1" ht="15" customHeight="1" x14ac:dyDescent="0.35">
      <c r="A76" s="241"/>
      <c r="B76" s="242"/>
      <c r="C76" s="242"/>
      <c r="D76" s="242"/>
      <c r="E76" s="243" t="s">
        <v>20</v>
      </c>
      <c r="F76" s="244">
        <f>AG42</f>
        <v>0.14416058394160583</v>
      </c>
      <c r="G76" s="245"/>
      <c r="H76" s="242"/>
      <c r="I76" s="242"/>
      <c r="J76" s="242"/>
      <c r="K76" s="242"/>
      <c r="L76" s="246" t="s">
        <v>20</v>
      </c>
      <c r="M76" s="248">
        <f>AI33/1000000</f>
        <v>13.865500000000001</v>
      </c>
      <c r="N76" s="249" t="s">
        <v>333</v>
      </c>
      <c r="O76" s="245"/>
      <c r="P76" s="242"/>
      <c r="Q76" s="242"/>
      <c r="R76" s="242"/>
      <c r="S76" s="357"/>
      <c r="T76" s="364"/>
      <c r="U76" s="262" t="s">
        <v>382</v>
      </c>
      <c r="V76" s="284">
        <v>0</v>
      </c>
      <c r="W76" s="285" t="s">
        <v>201</v>
      </c>
      <c r="X76" s="291" t="s">
        <v>153</v>
      </c>
      <c r="Y76" s="276" t="s">
        <v>153</v>
      </c>
      <c r="Z76" s="263">
        <v>500</v>
      </c>
      <c r="AA76" s="264">
        <v>500</v>
      </c>
      <c r="AB76" s="316"/>
      <c r="AC76" s="242"/>
      <c r="AM76" s="254"/>
    </row>
    <row r="77" spans="1:39" x14ac:dyDescent="0.3">
      <c r="A77" s="10"/>
      <c r="B77" s="9"/>
      <c r="C77" s="9"/>
      <c r="D77" s="9"/>
      <c r="E77" s="9"/>
      <c r="F77" s="9"/>
      <c r="G77" s="9"/>
      <c r="H77" s="9"/>
      <c r="I77" s="9"/>
      <c r="J77" s="9"/>
      <c r="K77" s="9"/>
      <c r="L77" s="9"/>
      <c r="M77" s="24"/>
      <c r="N77" s="24"/>
      <c r="O77" s="24"/>
      <c r="P77" s="9"/>
      <c r="S77" s="268" t="s">
        <v>16</v>
      </c>
      <c r="T77" s="230"/>
      <c r="U77" s="269"/>
      <c r="V77" s="286">
        <f>SUM(V52:V76)</f>
        <v>0</v>
      </c>
      <c r="W77" s="287" t="s">
        <v>201</v>
      </c>
      <c r="X77" s="279" t="s">
        <v>395</v>
      </c>
      <c r="Y77" s="271" t="s">
        <v>153</v>
      </c>
      <c r="Z77" s="232">
        <f t="shared" ref="Z77:AA77" si="4">SUM(Z52:Z76)</f>
        <v>12500</v>
      </c>
      <c r="AA77" s="234">
        <f t="shared" si="4"/>
        <v>21500</v>
      </c>
      <c r="AB77" s="315"/>
      <c r="AC77" s="9"/>
      <c r="AM77" s="253"/>
    </row>
    <row r="78" spans="1:39" x14ac:dyDescent="0.3">
      <c r="A78" s="10"/>
      <c r="B78" s="9"/>
      <c r="C78" s="9"/>
      <c r="D78" s="9"/>
      <c r="G78" s="9"/>
      <c r="H78" s="9"/>
      <c r="I78" s="9"/>
      <c r="J78" s="9"/>
      <c r="K78" s="9"/>
      <c r="L78" s="9"/>
      <c r="M78" s="24"/>
      <c r="N78" s="24"/>
      <c r="O78" s="24"/>
      <c r="P78" s="9"/>
      <c r="AC78" s="9"/>
      <c r="AM78" s="253"/>
    </row>
    <row r="79" spans="1:39" x14ac:dyDescent="0.3">
      <c r="A79" s="10"/>
      <c r="B79" s="9"/>
      <c r="C79" s="9"/>
      <c r="D79" s="9"/>
      <c r="G79" s="9"/>
      <c r="H79" s="9"/>
      <c r="I79" s="9"/>
      <c r="J79" s="9"/>
      <c r="K79" s="9"/>
      <c r="L79" s="9"/>
      <c r="M79" s="24"/>
      <c r="N79" s="24"/>
      <c r="O79" s="24"/>
      <c r="P79" s="9"/>
      <c r="S79" s="228" t="s">
        <v>20</v>
      </c>
      <c r="T79" s="292"/>
      <c r="U79" s="229"/>
      <c r="V79" s="288">
        <f>V77+V48</f>
        <v>6988</v>
      </c>
      <c r="W79" s="289">
        <v>1000000</v>
      </c>
      <c r="X79" s="270" t="s">
        <v>153</v>
      </c>
      <c r="Y79" s="251">
        <f>Y48</f>
        <v>33500</v>
      </c>
      <c r="Z79" s="250">
        <f>Z77+Z48</f>
        <v>98750</v>
      </c>
      <c r="AA79" s="252">
        <f>AA77+AA48</f>
        <v>159500</v>
      </c>
      <c r="AB79" s="317"/>
      <c r="AC79" s="9"/>
      <c r="AM79" s="253"/>
    </row>
    <row r="80" spans="1:39" ht="18" x14ac:dyDescent="0.35">
      <c r="A80" s="10"/>
      <c r="B80" s="9"/>
      <c r="C80" s="9"/>
      <c r="D80" s="9"/>
      <c r="E80" s="24"/>
      <c r="F80" s="24"/>
      <c r="G80" s="9"/>
      <c r="H80" s="9"/>
      <c r="I80" s="9"/>
      <c r="J80" s="9"/>
      <c r="K80" s="9"/>
      <c r="L80" s="9"/>
      <c r="M80" s="24"/>
      <c r="N80" s="24"/>
      <c r="O80" s="24"/>
      <c r="P80" s="9"/>
      <c r="S80" s="107" t="s">
        <v>351</v>
      </c>
      <c r="T80" s="107"/>
      <c r="U80" s="242"/>
      <c r="V80" s="242"/>
      <c r="W80" s="242"/>
      <c r="X80" s="242"/>
      <c r="Y80" s="242"/>
      <c r="Z80" s="242"/>
      <c r="AA80" s="242"/>
      <c r="AB80" s="242"/>
      <c r="AC80" s="9"/>
      <c r="AM80" s="253"/>
    </row>
    <row r="81" spans="1:51" x14ac:dyDescent="0.3">
      <c r="A81" s="10"/>
      <c r="B81" s="9"/>
      <c r="C81" s="9"/>
      <c r="D81" s="9"/>
      <c r="O81" s="24"/>
      <c r="P81" s="9"/>
      <c r="S81" s="107" t="s">
        <v>386</v>
      </c>
      <c r="T81" s="9"/>
      <c r="U81" s="9"/>
      <c r="V81" s="9"/>
      <c r="W81" s="9"/>
      <c r="X81" s="9"/>
      <c r="Y81" s="9"/>
      <c r="Z81" s="9"/>
      <c r="AA81" s="9"/>
      <c r="AC81" s="9"/>
    </row>
    <row r="82" spans="1:51" ht="15" customHeight="1" x14ac:dyDescent="0.3">
      <c r="A82" s="10"/>
      <c r="B82" s="9"/>
      <c r="C82" s="9"/>
      <c r="D82" s="9"/>
      <c r="E82" s="9"/>
      <c r="F82" s="9"/>
      <c r="G82" s="9"/>
      <c r="H82" s="9"/>
      <c r="I82" s="9"/>
      <c r="J82" s="9"/>
      <c r="K82" s="9"/>
      <c r="L82" s="9"/>
      <c r="M82" s="24"/>
      <c r="N82" s="24"/>
      <c r="O82" s="24"/>
      <c r="P82" s="9"/>
      <c r="S82" s="107" t="s">
        <v>406</v>
      </c>
      <c r="T82" s="9"/>
      <c r="U82" s="9"/>
      <c r="V82" s="9"/>
      <c r="W82" s="9"/>
      <c r="X82" s="9"/>
      <c r="Y82" s="9"/>
      <c r="Z82" s="9"/>
      <c r="AA82" s="9"/>
      <c r="AC82" s="9"/>
    </row>
    <row r="83" spans="1:51" x14ac:dyDescent="0.3">
      <c r="B83" s="9"/>
      <c r="C83" s="9"/>
      <c r="D83" s="9"/>
      <c r="E83" s="9"/>
      <c r="F83" s="9"/>
      <c r="G83" s="9"/>
      <c r="H83" s="9"/>
      <c r="I83" s="9"/>
      <c r="J83" s="9"/>
      <c r="K83" s="9"/>
      <c r="L83" s="9"/>
      <c r="M83" s="24"/>
      <c r="N83" s="24"/>
      <c r="O83" s="24"/>
      <c r="P83" s="9"/>
      <c r="S83" s="107" t="s">
        <v>407</v>
      </c>
      <c r="T83" s="9"/>
      <c r="U83" s="9"/>
      <c r="V83" s="24"/>
      <c r="W83" s="24"/>
      <c r="X83" s="24"/>
      <c r="Y83" s="9"/>
      <c r="Z83" s="9"/>
      <c r="AA83" s="9"/>
      <c r="AC83" s="9"/>
      <c r="AR83" s="9"/>
      <c r="AS83" s="9"/>
      <c r="AT83" s="24"/>
      <c r="AU83" s="24"/>
      <c r="AV83" s="24"/>
      <c r="AW83" s="9"/>
      <c r="AX83" s="9"/>
      <c r="AY83" s="9"/>
    </row>
    <row r="84" spans="1:51" x14ac:dyDescent="0.3">
      <c r="B84" s="9"/>
      <c r="C84" s="9"/>
      <c r="D84" s="9"/>
      <c r="E84" s="9"/>
      <c r="F84" s="9"/>
      <c r="G84" s="9"/>
      <c r="H84" s="9"/>
      <c r="I84" s="9"/>
      <c r="J84" s="9"/>
      <c r="K84" s="9"/>
      <c r="L84" s="9"/>
      <c r="M84" s="24"/>
      <c r="N84" s="24"/>
      <c r="O84" s="24"/>
      <c r="P84" s="9"/>
      <c r="T84" s="9"/>
      <c r="U84" s="9"/>
      <c r="V84" s="9"/>
      <c r="W84" s="9"/>
      <c r="X84" s="9"/>
      <c r="Y84" s="9"/>
      <c r="Z84" s="9"/>
      <c r="AA84" s="9"/>
      <c r="AC84" s="9"/>
      <c r="AX84" s="9"/>
      <c r="AY84" s="9"/>
    </row>
    <row r="85" spans="1:51" x14ac:dyDescent="0.3">
      <c r="AC85" s="9"/>
      <c r="AX85" s="9"/>
      <c r="AY85" s="9"/>
    </row>
    <row r="86" spans="1:51" x14ac:dyDescent="0.3">
      <c r="AC86" s="9"/>
      <c r="AX86" s="9"/>
      <c r="AY86" s="9"/>
    </row>
    <row r="87" spans="1:51" x14ac:dyDescent="0.3">
      <c r="AC87" s="9"/>
      <c r="AX87" s="9"/>
      <c r="AY87" s="9"/>
    </row>
    <row r="88" spans="1:51" x14ac:dyDescent="0.3">
      <c r="X88">
        <v>500</v>
      </c>
      <c r="Y88">
        <v>2000</v>
      </c>
      <c r="AC88" s="9"/>
      <c r="AX88" s="9"/>
      <c r="AY88" s="9"/>
    </row>
    <row r="89" spans="1:51" x14ac:dyDescent="0.3">
      <c r="X89">
        <v>2000</v>
      </c>
      <c r="Y89">
        <v>2000</v>
      </c>
      <c r="AC89" s="9"/>
      <c r="AX89" s="9"/>
      <c r="AY89" s="9"/>
    </row>
    <row r="90" spans="1:51" x14ac:dyDescent="0.3">
      <c r="X90">
        <v>500</v>
      </c>
      <c r="Y90">
        <v>500</v>
      </c>
      <c r="AC90" s="9"/>
      <c r="AX90" s="9"/>
      <c r="AY90" s="9"/>
    </row>
    <row r="91" spans="1:51" x14ac:dyDescent="0.3">
      <c r="X91">
        <v>2000</v>
      </c>
      <c r="Y91">
        <v>3000</v>
      </c>
      <c r="AC91" s="9"/>
      <c r="AX91" s="9"/>
      <c r="AY91" s="9"/>
    </row>
    <row r="92" spans="1:51" x14ac:dyDescent="0.3">
      <c r="X92">
        <v>500</v>
      </c>
      <c r="Y92">
        <v>1000</v>
      </c>
      <c r="AC92" s="9"/>
      <c r="AX92" s="9"/>
      <c r="AY92" s="9"/>
    </row>
    <row r="93" spans="1:51" x14ac:dyDescent="0.3">
      <c r="X93">
        <v>3000</v>
      </c>
      <c r="Y93">
        <v>4000</v>
      </c>
      <c r="AC93" s="9"/>
      <c r="AX93" s="9"/>
      <c r="AY93" s="9"/>
    </row>
    <row r="94" spans="1:51" x14ac:dyDescent="0.3">
      <c r="X94">
        <v>1000</v>
      </c>
      <c r="Y94">
        <v>1000</v>
      </c>
      <c r="AC94" s="9"/>
      <c r="AX94" s="9"/>
      <c r="AY94" s="9"/>
    </row>
    <row r="95" spans="1:51" x14ac:dyDescent="0.3">
      <c r="X95">
        <f>SUM(X88:X94)</f>
        <v>9500</v>
      </c>
      <c r="Y95" s="261">
        <f>SUM(Y88:Y94)</f>
        <v>13500</v>
      </c>
      <c r="AC95" s="9"/>
      <c r="AX95" s="9"/>
      <c r="AY95" s="9"/>
    </row>
    <row r="96" spans="1:51" x14ac:dyDescent="0.3">
      <c r="AC96" s="9"/>
      <c r="AX96" s="9"/>
      <c r="AY96" s="9"/>
    </row>
    <row r="97" spans="10:51" x14ac:dyDescent="0.3">
      <c r="AC97" s="9"/>
      <c r="AX97" s="9"/>
      <c r="AY97" s="9"/>
    </row>
    <row r="98" spans="10:51" x14ac:dyDescent="0.3">
      <c r="AC98" s="9"/>
      <c r="AX98" s="9"/>
      <c r="AY98" s="9"/>
    </row>
    <row r="99" spans="10:51" x14ac:dyDescent="0.3">
      <c r="AC99" s="9"/>
      <c r="AX99" s="9"/>
      <c r="AY99" s="9"/>
    </row>
    <row r="100" spans="10:51" x14ac:dyDescent="0.3">
      <c r="AC100" s="9"/>
      <c r="AX100" s="9"/>
      <c r="AY100" s="9"/>
    </row>
    <row r="101" spans="10:51" x14ac:dyDescent="0.3">
      <c r="AC101" s="9"/>
      <c r="AX101" s="9"/>
      <c r="AY101" s="9"/>
    </row>
    <row r="102" spans="10:51" x14ac:dyDescent="0.3">
      <c r="AC102" s="9"/>
      <c r="AX102" s="9"/>
      <c r="AY102" s="9"/>
    </row>
    <row r="103" spans="10:51" x14ac:dyDescent="0.3">
      <c r="AC103" s="9"/>
    </row>
    <row r="104" spans="10:51" x14ac:dyDescent="0.3">
      <c r="AC104" s="9"/>
    </row>
    <row r="105" spans="10:51" x14ac:dyDescent="0.3">
      <c r="AC105" s="9"/>
    </row>
    <row r="106" spans="10:51" x14ac:dyDescent="0.3">
      <c r="AC106" s="9"/>
    </row>
    <row r="107" spans="10:51" x14ac:dyDescent="0.3">
      <c r="AC107" s="9"/>
    </row>
    <row r="108" spans="10:51" x14ac:dyDescent="0.3">
      <c r="AC108" s="9"/>
    </row>
    <row r="109" spans="10:51" x14ac:dyDescent="0.3">
      <c r="AC109" s="9"/>
    </row>
    <row r="110" spans="10:51" x14ac:dyDescent="0.3">
      <c r="AC110" s="9"/>
    </row>
    <row r="111" spans="10:51" x14ac:dyDescent="0.3">
      <c r="AC111" s="9"/>
    </row>
    <row r="112" spans="10:51" x14ac:dyDescent="0.3">
      <c r="J112" s="9"/>
      <c r="K112" s="9"/>
      <c r="AC112" s="9"/>
    </row>
    <row r="113" spans="10:29" x14ac:dyDescent="0.3">
      <c r="J113" s="9"/>
      <c r="K113" s="9"/>
      <c r="AC113" s="9"/>
    </row>
    <row r="114" spans="10:29" x14ac:dyDescent="0.3">
      <c r="AC114" s="9"/>
    </row>
    <row r="115" spans="10:29" x14ac:dyDescent="0.3">
      <c r="AC115" s="9"/>
    </row>
    <row r="116" spans="10:29" x14ac:dyDescent="0.3">
      <c r="AC116" s="9"/>
    </row>
    <row r="117" spans="10:29" x14ac:dyDescent="0.3">
      <c r="AC117" s="9"/>
    </row>
  </sheetData>
  <mergeCells count="28">
    <mergeCell ref="AK38:AK41"/>
    <mergeCell ref="AK44:AK47"/>
    <mergeCell ref="AH40:AH41"/>
    <mergeCell ref="AJ40:AJ41"/>
    <mergeCell ref="AG40:AG41"/>
    <mergeCell ref="T60:T64"/>
    <mergeCell ref="T65:T67"/>
    <mergeCell ref="AD37:AD42"/>
    <mergeCell ref="AD43:AD48"/>
    <mergeCell ref="AI38:AI41"/>
    <mergeCell ref="AI44:AI47"/>
    <mergeCell ref="AD50:AE51"/>
    <mergeCell ref="S4:S47"/>
    <mergeCell ref="S51:S76"/>
    <mergeCell ref="X62:X63"/>
    <mergeCell ref="X57:X59"/>
    <mergeCell ref="X65:X67"/>
    <mergeCell ref="X73:X74"/>
    <mergeCell ref="T68:T71"/>
    <mergeCell ref="T72:T76"/>
    <mergeCell ref="T5:T6"/>
    <mergeCell ref="T7:T10"/>
    <mergeCell ref="T18:T25"/>
    <mergeCell ref="T26:T29"/>
    <mergeCell ref="T11:T17"/>
    <mergeCell ref="T30:T38"/>
    <mergeCell ref="T39:T47"/>
    <mergeCell ref="T52:T59"/>
  </mergeCells>
  <printOptions horizontalCentered="1" verticalCentered="1"/>
  <pageMargins left="0.7" right="0.7" top="0.5" bottom="0.5" header="0.3" footer="0.3"/>
  <pageSetup scale="28"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O259"/>
  <sheetViews>
    <sheetView workbookViewId="0">
      <pane ySplit="1" topLeftCell="A2" activePane="bottomLeft" state="frozen"/>
      <selection pane="bottomLeft" activeCell="A141" sqref="A141"/>
    </sheetView>
  </sheetViews>
  <sheetFormatPr defaultRowHeight="14.4" x14ac:dyDescent="0.3"/>
  <cols>
    <col min="1" max="1" width="3.33203125" customWidth="1"/>
    <col min="2" max="3" width="25.44140625" customWidth="1"/>
    <col min="4" max="4" width="28.88671875" customWidth="1"/>
    <col min="5" max="5" width="17.88671875" customWidth="1"/>
    <col min="6" max="6" width="11.6640625" style="22" customWidth="1"/>
    <col min="7" max="7" width="20" customWidth="1"/>
    <col min="8" max="8" width="17" customWidth="1"/>
    <col min="9" max="9" width="22.88671875" customWidth="1"/>
    <col min="10" max="10" width="13.6640625" style="22" customWidth="1"/>
    <col min="11" max="11" width="22.109375" style="22" customWidth="1"/>
    <col min="12" max="12" width="25.6640625" customWidth="1"/>
    <col min="13" max="13" width="28.44140625" customWidth="1"/>
    <col min="14" max="14" width="48.33203125" customWidth="1"/>
  </cols>
  <sheetData>
    <row r="1" spans="2:15" s="117" customFormat="1" x14ac:dyDescent="0.3">
      <c r="B1" s="117" t="s">
        <v>190</v>
      </c>
      <c r="C1" s="117" t="s">
        <v>191</v>
      </c>
      <c r="D1" s="117" t="s">
        <v>192</v>
      </c>
      <c r="E1" s="117" t="s">
        <v>193</v>
      </c>
      <c r="F1" s="118" t="s">
        <v>194</v>
      </c>
      <c r="G1" s="118" t="s">
        <v>195</v>
      </c>
      <c r="H1" s="118" t="s">
        <v>299</v>
      </c>
      <c r="I1" s="117" t="s">
        <v>196</v>
      </c>
      <c r="J1" s="118" t="s">
        <v>197</v>
      </c>
      <c r="K1" s="118" t="s">
        <v>237</v>
      </c>
      <c r="L1" s="117" t="s">
        <v>198</v>
      </c>
      <c r="M1" s="117" t="s">
        <v>199</v>
      </c>
      <c r="N1" s="117" t="s">
        <v>200</v>
      </c>
    </row>
    <row r="2" spans="2:15" x14ac:dyDescent="0.3">
      <c r="B2" t="s">
        <v>238</v>
      </c>
      <c r="C2" t="s">
        <v>2</v>
      </c>
      <c r="D2" s="25" t="s">
        <v>23</v>
      </c>
      <c r="E2" t="s">
        <v>6</v>
      </c>
      <c r="F2" s="17">
        <f>Summary!V5</f>
        <v>240</v>
      </c>
      <c r="G2" t="s">
        <v>311</v>
      </c>
      <c r="H2" t="s">
        <v>290</v>
      </c>
      <c r="I2" t="s">
        <v>240</v>
      </c>
      <c r="J2" s="22" t="s">
        <v>263</v>
      </c>
      <c r="K2" s="22" t="s">
        <v>249</v>
      </c>
      <c r="L2" t="s">
        <v>295</v>
      </c>
      <c r="M2" s="184" t="s">
        <v>285</v>
      </c>
      <c r="N2" t="s">
        <v>286</v>
      </c>
    </row>
    <row r="3" spans="2:15" x14ac:dyDescent="0.3">
      <c r="B3" t="s">
        <v>238</v>
      </c>
      <c r="C3" t="s">
        <v>2</v>
      </c>
      <c r="D3" t="s">
        <v>55</v>
      </c>
      <c r="E3" t="s">
        <v>6</v>
      </c>
      <c r="F3" s="17">
        <v>50</v>
      </c>
      <c r="G3" t="s">
        <v>311</v>
      </c>
      <c r="H3" t="s">
        <v>290</v>
      </c>
      <c r="I3" t="s">
        <v>240</v>
      </c>
      <c r="J3" s="22" t="s">
        <v>263</v>
      </c>
      <c r="K3" s="22" t="s">
        <v>249</v>
      </c>
      <c r="L3" t="s">
        <v>295</v>
      </c>
      <c r="M3" s="184" t="s">
        <v>285</v>
      </c>
    </row>
    <row r="4" spans="2:15" x14ac:dyDescent="0.3">
      <c r="B4" t="s">
        <v>238</v>
      </c>
      <c r="C4" t="s">
        <v>2</v>
      </c>
      <c r="D4" t="s">
        <v>56</v>
      </c>
      <c r="E4" t="s">
        <v>6</v>
      </c>
      <c r="F4" s="17">
        <f>Summary!V7</f>
        <v>0</v>
      </c>
      <c r="G4" t="s">
        <v>311</v>
      </c>
      <c r="H4" s="90"/>
      <c r="N4" t="s">
        <v>324</v>
      </c>
    </row>
    <row r="5" spans="2:15" x14ac:dyDescent="0.3">
      <c r="B5" t="s">
        <v>238</v>
      </c>
      <c r="C5" t="s">
        <v>2</v>
      </c>
      <c r="D5" t="s">
        <v>57</v>
      </c>
      <c r="E5" t="s">
        <v>6</v>
      </c>
      <c r="F5" s="17">
        <f>Summary!V8</f>
        <v>0</v>
      </c>
      <c r="G5" t="s">
        <v>311</v>
      </c>
      <c r="H5" s="90"/>
      <c r="N5" t="s">
        <v>324</v>
      </c>
    </row>
    <row r="6" spans="2:15" x14ac:dyDescent="0.3">
      <c r="B6" t="s">
        <v>238</v>
      </c>
      <c r="C6" t="s">
        <v>2</v>
      </c>
      <c r="D6" t="s">
        <v>58</v>
      </c>
      <c r="E6" t="s">
        <v>6</v>
      </c>
      <c r="F6" s="17">
        <f>Summary!V9</f>
        <v>0</v>
      </c>
      <c r="G6" t="s">
        <v>311</v>
      </c>
      <c r="H6" s="90"/>
      <c r="N6" t="s">
        <v>324</v>
      </c>
    </row>
    <row r="7" spans="2:15" x14ac:dyDescent="0.3">
      <c r="B7" t="s">
        <v>238</v>
      </c>
      <c r="C7" t="s">
        <v>2</v>
      </c>
      <c r="D7" t="s">
        <v>59</v>
      </c>
      <c r="E7" t="s">
        <v>6</v>
      </c>
      <c r="F7" s="17" t="str">
        <f>Summary!V10</f>
        <v>na</v>
      </c>
      <c r="G7" t="s">
        <v>311</v>
      </c>
      <c r="H7" s="90"/>
      <c r="N7" t="s">
        <v>324</v>
      </c>
    </row>
    <row r="8" spans="2:15" x14ac:dyDescent="0.3">
      <c r="B8" t="s">
        <v>238</v>
      </c>
      <c r="C8" t="s">
        <v>2</v>
      </c>
      <c r="D8" t="s">
        <v>70</v>
      </c>
      <c r="E8" t="s">
        <v>6</v>
      </c>
      <c r="F8" s="17">
        <f>Summary!V11</f>
        <v>0</v>
      </c>
      <c r="G8" t="s">
        <v>311</v>
      </c>
      <c r="H8" s="90"/>
      <c r="N8" t="s">
        <v>324</v>
      </c>
    </row>
    <row r="9" spans="2:15" x14ac:dyDescent="0.3">
      <c r="B9" t="s">
        <v>238</v>
      </c>
      <c r="C9" t="s">
        <v>2</v>
      </c>
      <c r="D9" t="s">
        <v>71</v>
      </c>
      <c r="E9" t="s">
        <v>6</v>
      </c>
      <c r="F9" s="17">
        <f>Summary!V12</f>
        <v>0</v>
      </c>
      <c r="G9" t="s">
        <v>311</v>
      </c>
      <c r="H9" s="90"/>
      <c r="N9" t="s">
        <v>324</v>
      </c>
    </row>
    <row r="10" spans="2:15" x14ac:dyDescent="0.3">
      <c r="B10" t="s">
        <v>238</v>
      </c>
      <c r="C10" t="s">
        <v>2</v>
      </c>
      <c r="D10" t="s">
        <v>60</v>
      </c>
      <c r="E10" t="s">
        <v>6</v>
      </c>
      <c r="F10" s="17" t="str">
        <f>Summary!V13</f>
        <v>na</v>
      </c>
      <c r="G10" t="s">
        <v>311</v>
      </c>
      <c r="H10" s="90"/>
      <c r="M10" s="119"/>
      <c r="N10" t="s">
        <v>324</v>
      </c>
      <c r="O10" s="119"/>
    </row>
    <row r="11" spans="2:15" x14ac:dyDescent="0.3">
      <c r="B11" t="s">
        <v>238</v>
      </c>
      <c r="C11" t="s">
        <v>2</v>
      </c>
      <c r="D11" t="s">
        <v>61</v>
      </c>
      <c r="E11" t="s">
        <v>6</v>
      </c>
      <c r="F11" s="17" t="str">
        <f>Summary!V14</f>
        <v>na</v>
      </c>
      <c r="G11" t="s">
        <v>311</v>
      </c>
      <c r="H11" s="90"/>
      <c r="N11" t="s">
        <v>324</v>
      </c>
    </row>
    <row r="12" spans="2:15" x14ac:dyDescent="0.3">
      <c r="B12" t="s">
        <v>238</v>
      </c>
      <c r="C12" t="s">
        <v>2</v>
      </c>
      <c r="D12" t="s">
        <v>62</v>
      </c>
      <c r="E12" t="s">
        <v>6</v>
      </c>
      <c r="F12" s="17" t="str">
        <f>Summary!V15</f>
        <v>na</v>
      </c>
      <c r="G12" t="s">
        <v>311</v>
      </c>
      <c r="H12" s="90"/>
      <c r="N12" t="s">
        <v>324</v>
      </c>
    </row>
    <row r="13" spans="2:15" x14ac:dyDescent="0.3">
      <c r="B13" t="s">
        <v>238</v>
      </c>
      <c r="C13" t="s">
        <v>2</v>
      </c>
      <c r="D13" t="s">
        <v>63</v>
      </c>
      <c r="E13" t="s">
        <v>6</v>
      </c>
      <c r="F13" s="17" t="str">
        <f>Summary!V16</f>
        <v>na</v>
      </c>
      <c r="G13" t="s">
        <v>311</v>
      </c>
      <c r="H13" s="90"/>
      <c r="N13" t="s">
        <v>324</v>
      </c>
    </row>
    <row r="14" spans="2:15" x14ac:dyDescent="0.3">
      <c r="B14" t="s">
        <v>238</v>
      </c>
      <c r="C14" t="s">
        <v>2</v>
      </c>
      <c r="D14" t="s">
        <v>64</v>
      </c>
      <c r="E14" t="s">
        <v>6</v>
      </c>
      <c r="F14" s="17" t="str">
        <f>Summary!V17</f>
        <v>na</v>
      </c>
      <c r="G14" t="s">
        <v>311</v>
      </c>
      <c r="H14" s="90"/>
      <c r="N14" t="s">
        <v>324</v>
      </c>
    </row>
    <row r="15" spans="2:15" x14ac:dyDescent="0.3">
      <c r="B15" t="s">
        <v>238</v>
      </c>
      <c r="C15" t="s">
        <v>2</v>
      </c>
      <c r="D15" s="181" t="s">
        <v>31</v>
      </c>
      <c r="E15" t="s">
        <v>6</v>
      </c>
      <c r="F15" s="17">
        <f>Summary!V18</f>
        <v>420</v>
      </c>
      <c r="G15" t="s">
        <v>311</v>
      </c>
      <c r="H15" t="s">
        <v>290</v>
      </c>
      <c r="I15" t="s">
        <v>240</v>
      </c>
      <c r="J15" s="22" t="s">
        <v>263</v>
      </c>
      <c r="K15" s="22" t="s">
        <v>249</v>
      </c>
      <c r="L15" t="s">
        <v>298</v>
      </c>
      <c r="M15" s="184" t="s">
        <v>261</v>
      </c>
    </row>
    <row r="16" spans="2:15" x14ac:dyDescent="0.3">
      <c r="B16" t="s">
        <v>238</v>
      </c>
      <c r="C16" t="s">
        <v>2</v>
      </c>
      <c r="D16" s="181" t="s">
        <v>32</v>
      </c>
      <c r="E16" t="s">
        <v>6</v>
      </c>
      <c r="F16" s="17">
        <f>Summary!V19</f>
        <v>530</v>
      </c>
      <c r="G16" t="s">
        <v>311</v>
      </c>
      <c r="H16" t="s">
        <v>290</v>
      </c>
      <c r="I16" t="s">
        <v>240</v>
      </c>
      <c r="J16" s="22" t="s">
        <v>263</v>
      </c>
      <c r="K16" s="22" t="s">
        <v>249</v>
      </c>
      <c r="L16" t="s">
        <v>298</v>
      </c>
      <c r="M16" s="184" t="s">
        <v>261</v>
      </c>
    </row>
    <row r="17" spans="2:14" x14ac:dyDescent="0.3">
      <c r="B17" t="s">
        <v>238</v>
      </c>
      <c r="C17" t="s">
        <v>2</v>
      </c>
      <c r="D17" s="181" t="s">
        <v>33</v>
      </c>
      <c r="E17" t="s">
        <v>6</v>
      </c>
      <c r="F17" s="17">
        <f>Summary!V20</f>
        <v>190</v>
      </c>
      <c r="G17" t="s">
        <v>311</v>
      </c>
      <c r="H17" t="s">
        <v>290</v>
      </c>
      <c r="I17" t="s">
        <v>240</v>
      </c>
      <c r="J17" s="22" t="s">
        <v>263</v>
      </c>
      <c r="K17" s="22" t="s">
        <v>249</v>
      </c>
      <c r="L17" t="s">
        <v>298</v>
      </c>
      <c r="M17" s="184" t="s">
        <v>261</v>
      </c>
    </row>
    <row r="18" spans="2:14" x14ac:dyDescent="0.3">
      <c r="B18" t="s">
        <v>238</v>
      </c>
      <c r="C18" t="s">
        <v>2</v>
      </c>
      <c r="D18" s="181" t="s">
        <v>65</v>
      </c>
      <c r="E18" t="s">
        <v>6</v>
      </c>
      <c r="F18" s="17" t="str">
        <f>Summary!V21</f>
        <v>na</v>
      </c>
      <c r="G18" t="s">
        <v>311</v>
      </c>
      <c r="H18" t="s">
        <v>290</v>
      </c>
      <c r="I18" t="s">
        <v>240</v>
      </c>
      <c r="J18" s="22" t="s">
        <v>263</v>
      </c>
      <c r="K18" s="22" t="s">
        <v>249</v>
      </c>
      <c r="M18" s="184"/>
      <c r="N18" t="s">
        <v>324</v>
      </c>
    </row>
    <row r="19" spans="2:14" x14ac:dyDescent="0.3">
      <c r="B19" t="s">
        <v>238</v>
      </c>
      <c r="C19" t="s">
        <v>2</v>
      </c>
      <c r="D19" s="181" t="s">
        <v>34</v>
      </c>
      <c r="E19" t="s">
        <v>6</v>
      </c>
      <c r="F19" s="17">
        <f>Summary!V22</f>
        <v>635</v>
      </c>
      <c r="G19" t="s">
        <v>311</v>
      </c>
      <c r="H19" t="s">
        <v>290</v>
      </c>
      <c r="I19" t="s">
        <v>240</v>
      </c>
      <c r="J19" s="22" t="s">
        <v>263</v>
      </c>
      <c r="K19" s="22" t="s">
        <v>249</v>
      </c>
      <c r="L19" t="s">
        <v>298</v>
      </c>
      <c r="M19" s="184" t="s">
        <v>261</v>
      </c>
      <c r="N19" t="s">
        <v>286</v>
      </c>
    </row>
    <row r="20" spans="2:14" x14ac:dyDescent="0.3">
      <c r="B20" t="s">
        <v>238</v>
      </c>
      <c r="C20" t="s">
        <v>2</v>
      </c>
      <c r="D20" s="181" t="s">
        <v>35</v>
      </c>
      <c r="E20" t="s">
        <v>6</v>
      </c>
      <c r="F20" s="17">
        <f>Summary!V23</f>
        <v>70</v>
      </c>
      <c r="G20" t="s">
        <v>311</v>
      </c>
      <c r="H20" t="s">
        <v>290</v>
      </c>
      <c r="I20" t="s">
        <v>240</v>
      </c>
      <c r="J20" s="22" t="s">
        <v>263</v>
      </c>
      <c r="K20" s="22" t="s">
        <v>249</v>
      </c>
      <c r="L20" t="s">
        <v>298</v>
      </c>
      <c r="M20" s="184" t="s">
        <v>261</v>
      </c>
    </row>
    <row r="21" spans="2:14" x14ac:dyDescent="0.3">
      <c r="B21" t="s">
        <v>238</v>
      </c>
      <c r="C21" t="s">
        <v>2</v>
      </c>
      <c r="D21" s="181" t="s">
        <v>36</v>
      </c>
      <c r="E21" t="s">
        <v>6</v>
      </c>
      <c r="F21" s="17">
        <f>Summary!V24</f>
        <v>410</v>
      </c>
      <c r="G21" t="s">
        <v>311</v>
      </c>
      <c r="H21" t="s">
        <v>290</v>
      </c>
      <c r="I21" t="s">
        <v>240</v>
      </c>
      <c r="J21" s="22" t="s">
        <v>263</v>
      </c>
      <c r="K21" s="22" t="s">
        <v>249</v>
      </c>
      <c r="L21" t="s">
        <v>298</v>
      </c>
      <c r="M21" s="184" t="s">
        <v>261</v>
      </c>
    </row>
    <row r="22" spans="2:14" x14ac:dyDescent="0.3">
      <c r="B22" t="s">
        <v>238</v>
      </c>
      <c r="C22" t="s">
        <v>2</v>
      </c>
      <c r="D22" s="181" t="s">
        <v>66</v>
      </c>
      <c r="E22" t="s">
        <v>6</v>
      </c>
      <c r="F22" s="17" t="str">
        <f>Summary!V25</f>
        <v>na</v>
      </c>
      <c r="G22" t="s">
        <v>311</v>
      </c>
      <c r="K22" s="22" t="s">
        <v>249</v>
      </c>
      <c r="M22" s="184"/>
      <c r="N22" t="s">
        <v>324</v>
      </c>
    </row>
    <row r="23" spans="2:14" x14ac:dyDescent="0.3">
      <c r="B23" t="s">
        <v>238</v>
      </c>
      <c r="C23" t="s">
        <v>2</v>
      </c>
      <c r="D23" t="s">
        <v>37</v>
      </c>
      <c r="E23" t="s">
        <v>6</v>
      </c>
      <c r="F23" s="17" t="str">
        <f>Summary!V26</f>
        <v>na</v>
      </c>
      <c r="G23" t="s">
        <v>311</v>
      </c>
      <c r="K23" s="22" t="s">
        <v>249</v>
      </c>
      <c r="N23" t="s">
        <v>324</v>
      </c>
    </row>
    <row r="24" spans="2:14" x14ac:dyDescent="0.3">
      <c r="B24" t="s">
        <v>238</v>
      </c>
      <c r="C24" t="s">
        <v>2</v>
      </c>
      <c r="D24" t="s">
        <v>38</v>
      </c>
      <c r="E24" t="s">
        <v>6</v>
      </c>
      <c r="F24" s="17" t="str">
        <f>Summary!V27</f>
        <v>na</v>
      </c>
      <c r="G24" t="s">
        <v>311</v>
      </c>
      <c r="K24" s="22" t="s">
        <v>249</v>
      </c>
      <c r="N24" t="s">
        <v>324</v>
      </c>
    </row>
    <row r="25" spans="2:14" x14ac:dyDescent="0.3">
      <c r="B25" t="s">
        <v>238</v>
      </c>
      <c r="C25" t="s">
        <v>2</v>
      </c>
      <c r="D25" t="s">
        <v>27</v>
      </c>
      <c r="E25" t="s">
        <v>6</v>
      </c>
      <c r="F25" s="17">
        <f>Summary!V28</f>
        <v>510</v>
      </c>
      <c r="G25" t="s">
        <v>311</v>
      </c>
      <c r="H25" t="s">
        <v>290</v>
      </c>
      <c r="I25" t="s">
        <v>240</v>
      </c>
      <c r="J25" s="22" t="s">
        <v>263</v>
      </c>
      <c r="K25" s="22" t="s">
        <v>249</v>
      </c>
      <c r="L25" t="s">
        <v>297</v>
      </c>
      <c r="M25" s="184" t="s">
        <v>285</v>
      </c>
    </row>
    <row r="26" spans="2:14" x14ac:dyDescent="0.3">
      <c r="B26" t="s">
        <v>238</v>
      </c>
      <c r="C26" t="s">
        <v>2</v>
      </c>
      <c r="D26" t="s">
        <v>39</v>
      </c>
      <c r="E26" t="s">
        <v>6</v>
      </c>
      <c r="F26" s="17" t="str">
        <f>Summary!V29</f>
        <v>na</v>
      </c>
      <c r="G26" t="s">
        <v>311</v>
      </c>
      <c r="H26" s="90"/>
      <c r="I26" t="s">
        <v>240</v>
      </c>
      <c r="K26" s="22" t="s">
        <v>249</v>
      </c>
      <c r="N26" t="s">
        <v>324</v>
      </c>
    </row>
    <row r="27" spans="2:14" x14ac:dyDescent="0.3">
      <c r="B27" t="s">
        <v>238</v>
      </c>
      <c r="C27" t="s">
        <v>2</v>
      </c>
      <c r="D27" t="s">
        <v>40</v>
      </c>
      <c r="E27" t="s">
        <v>6</v>
      </c>
      <c r="F27" s="17">
        <f>Summary!V30</f>
        <v>840</v>
      </c>
      <c r="G27" t="s">
        <v>311</v>
      </c>
      <c r="H27" t="s">
        <v>290</v>
      </c>
      <c r="I27" t="s">
        <v>240</v>
      </c>
      <c r="J27" s="22" t="s">
        <v>296</v>
      </c>
      <c r="K27" s="22" t="s">
        <v>249</v>
      </c>
      <c r="L27" t="s">
        <v>297</v>
      </c>
      <c r="M27" s="184" t="s">
        <v>285</v>
      </c>
    </row>
    <row r="28" spans="2:14" x14ac:dyDescent="0.3">
      <c r="B28" t="s">
        <v>238</v>
      </c>
      <c r="C28" t="s">
        <v>2</v>
      </c>
      <c r="D28" t="s">
        <v>41</v>
      </c>
      <c r="E28" t="s">
        <v>6</v>
      </c>
      <c r="F28" s="17">
        <f>Summary!V31</f>
        <v>200</v>
      </c>
      <c r="G28" t="s">
        <v>311</v>
      </c>
      <c r="H28" t="s">
        <v>290</v>
      </c>
      <c r="I28" t="s">
        <v>240</v>
      </c>
      <c r="J28" s="22" t="s">
        <v>263</v>
      </c>
      <c r="K28" s="22" t="s">
        <v>249</v>
      </c>
      <c r="L28" t="s">
        <v>297</v>
      </c>
      <c r="M28" s="184" t="s">
        <v>285</v>
      </c>
    </row>
    <row r="29" spans="2:14" x14ac:dyDescent="0.3">
      <c r="B29" t="s">
        <v>238</v>
      </c>
      <c r="C29" t="s">
        <v>2</v>
      </c>
      <c r="D29" t="s">
        <v>42</v>
      </c>
      <c r="E29" t="s">
        <v>6</v>
      </c>
      <c r="F29" s="17">
        <f>Summary!V32</f>
        <v>10</v>
      </c>
      <c r="G29" t="s">
        <v>311</v>
      </c>
      <c r="H29" t="s">
        <v>290</v>
      </c>
      <c r="I29" t="s">
        <v>240</v>
      </c>
      <c r="J29" s="22" t="s">
        <v>296</v>
      </c>
      <c r="K29" s="22" t="s">
        <v>249</v>
      </c>
      <c r="L29" t="s">
        <v>297</v>
      </c>
      <c r="M29" s="184" t="s">
        <v>285</v>
      </c>
    </row>
    <row r="30" spans="2:14" x14ac:dyDescent="0.3">
      <c r="B30" t="s">
        <v>238</v>
      </c>
      <c r="C30" t="s">
        <v>2</v>
      </c>
      <c r="D30" t="s">
        <v>43</v>
      </c>
      <c r="E30" t="s">
        <v>6</v>
      </c>
      <c r="F30" s="17">
        <f>Summary!V33</f>
        <v>40</v>
      </c>
      <c r="G30" t="s">
        <v>311</v>
      </c>
      <c r="H30" t="s">
        <v>290</v>
      </c>
      <c r="I30" t="s">
        <v>240</v>
      </c>
      <c r="J30" s="22" t="s">
        <v>296</v>
      </c>
      <c r="K30" s="22" t="s">
        <v>249</v>
      </c>
      <c r="L30" t="s">
        <v>297</v>
      </c>
      <c r="M30" s="184" t="s">
        <v>285</v>
      </c>
    </row>
    <row r="31" spans="2:14" x14ac:dyDescent="0.3">
      <c r="B31" t="s">
        <v>238</v>
      </c>
      <c r="C31" t="s">
        <v>2</v>
      </c>
      <c r="D31" t="s">
        <v>44</v>
      </c>
      <c r="E31" t="s">
        <v>6</v>
      </c>
      <c r="F31" s="17">
        <f>Summary!V34</f>
        <v>60</v>
      </c>
      <c r="G31" t="s">
        <v>311</v>
      </c>
      <c r="H31" t="s">
        <v>290</v>
      </c>
      <c r="I31" t="s">
        <v>240</v>
      </c>
      <c r="J31" s="22" t="s">
        <v>296</v>
      </c>
      <c r="K31" s="22" t="s">
        <v>249</v>
      </c>
      <c r="L31" t="s">
        <v>297</v>
      </c>
      <c r="M31" s="184" t="s">
        <v>285</v>
      </c>
    </row>
    <row r="32" spans="2:14" x14ac:dyDescent="0.3">
      <c r="B32" t="s">
        <v>238</v>
      </c>
      <c r="C32" t="s">
        <v>2</v>
      </c>
      <c r="D32" t="s">
        <v>45</v>
      </c>
      <c r="E32" t="s">
        <v>6</v>
      </c>
      <c r="F32" s="17">
        <f>Summary!V35</f>
        <v>80</v>
      </c>
      <c r="G32" t="s">
        <v>311</v>
      </c>
      <c r="H32" t="s">
        <v>290</v>
      </c>
      <c r="I32" t="s">
        <v>240</v>
      </c>
      <c r="J32" s="22" t="s">
        <v>296</v>
      </c>
      <c r="K32" s="22" t="s">
        <v>249</v>
      </c>
      <c r="L32" t="s">
        <v>297</v>
      </c>
      <c r="M32" s="184" t="s">
        <v>285</v>
      </c>
    </row>
    <row r="33" spans="2:14" x14ac:dyDescent="0.3">
      <c r="B33" t="s">
        <v>238</v>
      </c>
      <c r="C33" t="s">
        <v>2</v>
      </c>
      <c r="D33" t="s">
        <v>46</v>
      </c>
      <c r="E33" t="s">
        <v>6</v>
      </c>
      <c r="F33" s="17">
        <f>Summary!V36</f>
        <v>90</v>
      </c>
      <c r="G33" t="s">
        <v>311</v>
      </c>
      <c r="H33" t="s">
        <v>290</v>
      </c>
      <c r="I33" t="s">
        <v>240</v>
      </c>
      <c r="J33" s="22" t="s">
        <v>296</v>
      </c>
      <c r="K33" s="22" t="s">
        <v>249</v>
      </c>
      <c r="L33" t="s">
        <v>297</v>
      </c>
      <c r="M33" s="184" t="s">
        <v>285</v>
      </c>
    </row>
    <row r="34" spans="2:14" x14ac:dyDescent="0.3">
      <c r="B34" t="s">
        <v>238</v>
      </c>
      <c r="C34" t="s">
        <v>2</v>
      </c>
      <c r="D34" t="s">
        <v>47</v>
      </c>
      <c r="E34" t="s">
        <v>6</v>
      </c>
      <c r="F34" s="17">
        <f>Summary!V37</f>
        <v>510</v>
      </c>
      <c r="G34" t="s">
        <v>311</v>
      </c>
      <c r="H34" t="s">
        <v>290</v>
      </c>
      <c r="I34" t="s">
        <v>240</v>
      </c>
      <c r="J34" s="22" t="s">
        <v>263</v>
      </c>
      <c r="K34" s="22" t="s">
        <v>249</v>
      </c>
      <c r="L34" t="s">
        <v>297</v>
      </c>
      <c r="M34" s="184" t="s">
        <v>285</v>
      </c>
    </row>
    <row r="35" spans="2:14" x14ac:dyDescent="0.3">
      <c r="B35" t="s">
        <v>238</v>
      </c>
      <c r="C35" t="s">
        <v>2</v>
      </c>
      <c r="D35" t="s">
        <v>48</v>
      </c>
      <c r="E35" t="s">
        <v>6</v>
      </c>
      <c r="F35" s="17">
        <f>Summary!V38</f>
        <v>400</v>
      </c>
      <c r="G35" t="s">
        <v>311</v>
      </c>
      <c r="H35" t="s">
        <v>290</v>
      </c>
      <c r="I35" t="s">
        <v>240</v>
      </c>
      <c r="J35" s="22" t="s">
        <v>296</v>
      </c>
      <c r="K35" s="22" t="s">
        <v>249</v>
      </c>
      <c r="L35" t="s">
        <v>297</v>
      </c>
      <c r="M35" s="184" t="s">
        <v>285</v>
      </c>
    </row>
    <row r="36" spans="2:14" x14ac:dyDescent="0.3">
      <c r="B36" t="s">
        <v>238</v>
      </c>
      <c r="C36" t="s">
        <v>2</v>
      </c>
      <c r="D36" t="s">
        <v>49</v>
      </c>
      <c r="E36" t="s">
        <v>6</v>
      </c>
      <c r="F36" s="17">
        <f>Summary!V39</f>
        <v>100</v>
      </c>
      <c r="G36" t="s">
        <v>311</v>
      </c>
      <c r="H36" t="s">
        <v>290</v>
      </c>
      <c r="I36" t="s">
        <v>240</v>
      </c>
      <c r="J36" s="22" t="s">
        <v>296</v>
      </c>
      <c r="K36" s="22" t="s">
        <v>249</v>
      </c>
      <c r="L36" t="s">
        <v>297</v>
      </c>
      <c r="M36" s="184" t="s">
        <v>285</v>
      </c>
    </row>
    <row r="37" spans="2:14" x14ac:dyDescent="0.3">
      <c r="B37" t="s">
        <v>238</v>
      </c>
      <c r="C37" t="s">
        <v>2</v>
      </c>
      <c r="D37" t="s">
        <v>50</v>
      </c>
      <c r="E37" t="s">
        <v>6</v>
      </c>
      <c r="F37" s="17">
        <f>Summary!V40</f>
        <v>200</v>
      </c>
      <c r="G37" t="s">
        <v>311</v>
      </c>
      <c r="H37" t="s">
        <v>290</v>
      </c>
      <c r="I37" t="s">
        <v>240</v>
      </c>
      <c r="J37" s="22" t="s">
        <v>263</v>
      </c>
      <c r="K37" s="22" t="s">
        <v>249</v>
      </c>
      <c r="L37" t="s">
        <v>297</v>
      </c>
      <c r="M37" s="184" t="s">
        <v>285</v>
      </c>
    </row>
    <row r="38" spans="2:14" x14ac:dyDescent="0.3">
      <c r="B38" t="s">
        <v>238</v>
      </c>
      <c r="C38" t="s">
        <v>2</v>
      </c>
      <c r="D38" t="s">
        <v>69</v>
      </c>
      <c r="E38" t="s">
        <v>6</v>
      </c>
      <c r="F38" s="17">
        <f>Summary!V41</f>
        <v>90</v>
      </c>
      <c r="G38" t="s">
        <v>311</v>
      </c>
      <c r="H38" t="s">
        <v>290</v>
      </c>
      <c r="I38" t="s">
        <v>240</v>
      </c>
      <c r="J38" s="22" t="s">
        <v>263</v>
      </c>
      <c r="K38" s="22" t="s">
        <v>249</v>
      </c>
      <c r="L38" t="s">
        <v>297</v>
      </c>
      <c r="M38" s="184" t="s">
        <v>285</v>
      </c>
    </row>
    <row r="39" spans="2:14" x14ac:dyDescent="0.3">
      <c r="B39" t="s">
        <v>238</v>
      </c>
      <c r="C39" t="s">
        <v>2</v>
      </c>
      <c r="D39" t="s">
        <v>51</v>
      </c>
      <c r="E39" t="s">
        <v>6</v>
      </c>
      <c r="F39" s="17">
        <f>Summary!V42</f>
        <v>270</v>
      </c>
      <c r="G39" t="s">
        <v>311</v>
      </c>
      <c r="H39" t="s">
        <v>290</v>
      </c>
      <c r="I39" t="s">
        <v>240</v>
      </c>
      <c r="J39" s="22" t="s">
        <v>263</v>
      </c>
      <c r="K39" s="22" t="s">
        <v>249</v>
      </c>
      <c r="L39" t="s">
        <v>297</v>
      </c>
      <c r="M39" s="184" t="s">
        <v>285</v>
      </c>
    </row>
    <row r="40" spans="2:14" x14ac:dyDescent="0.3">
      <c r="B40" t="s">
        <v>238</v>
      </c>
      <c r="C40" t="s">
        <v>2</v>
      </c>
      <c r="D40" t="s">
        <v>52</v>
      </c>
      <c r="E40" t="s">
        <v>6</v>
      </c>
      <c r="F40" s="17">
        <f>Summary!V43</f>
        <v>440</v>
      </c>
      <c r="G40" t="s">
        <v>311</v>
      </c>
      <c r="H40" t="s">
        <v>290</v>
      </c>
      <c r="I40" t="s">
        <v>240</v>
      </c>
      <c r="J40" s="22" t="s">
        <v>263</v>
      </c>
      <c r="K40" s="22" t="s">
        <v>249</v>
      </c>
      <c r="L40" t="s">
        <v>297</v>
      </c>
      <c r="M40" s="184" t="s">
        <v>285</v>
      </c>
    </row>
    <row r="41" spans="2:14" x14ac:dyDescent="0.3">
      <c r="B41" t="s">
        <v>238</v>
      </c>
      <c r="C41" t="s">
        <v>2</v>
      </c>
      <c r="D41" t="s">
        <v>24</v>
      </c>
      <c r="E41" t="s">
        <v>6</v>
      </c>
      <c r="F41" s="17">
        <f>Summary!V44</f>
        <v>90</v>
      </c>
      <c r="G41" t="s">
        <v>311</v>
      </c>
      <c r="H41" t="s">
        <v>290</v>
      </c>
      <c r="I41" t="s">
        <v>240</v>
      </c>
      <c r="J41" s="22" t="s">
        <v>263</v>
      </c>
      <c r="K41" s="22" t="s">
        <v>249</v>
      </c>
      <c r="L41" t="s">
        <v>297</v>
      </c>
      <c r="M41" s="184" t="s">
        <v>285</v>
      </c>
    </row>
    <row r="42" spans="2:14" x14ac:dyDescent="0.3">
      <c r="B42" t="s">
        <v>238</v>
      </c>
      <c r="C42" t="s">
        <v>2</v>
      </c>
      <c r="D42" t="s">
        <v>53</v>
      </c>
      <c r="E42" t="s">
        <v>6</v>
      </c>
      <c r="F42" s="17">
        <f>Summary!V45</f>
        <v>150</v>
      </c>
      <c r="G42" t="s">
        <v>311</v>
      </c>
      <c r="H42" t="s">
        <v>290</v>
      </c>
      <c r="I42" t="s">
        <v>240</v>
      </c>
      <c r="J42" s="22" t="s">
        <v>263</v>
      </c>
      <c r="K42" s="22" t="s">
        <v>249</v>
      </c>
      <c r="L42" t="s">
        <v>297</v>
      </c>
      <c r="M42" s="184" t="s">
        <v>285</v>
      </c>
    </row>
    <row r="43" spans="2:14" x14ac:dyDescent="0.3">
      <c r="B43" t="s">
        <v>238</v>
      </c>
      <c r="C43" t="s">
        <v>2</v>
      </c>
      <c r="D43" t="s">
        <v>54</v>
      </c>
      <c r="E43" t="s">
        <v>6</v>
      </c>
      <c r="F43" s="17">
        <f>Summary!V46</f>
        <v>390</v>
      </c>
      <c r="G43" t="s">
        <v>311</v>
      </c>
      <c r="H43" t="s">
        <v>290</v>
      </c>
      <c r="I43" t="s">
        <v>240</v>
      </c>
      <c r="J43" s="22" t="s">
        <v>263</v>
      </c>
      <c r="K43" s="22" t="s">
        <v>249</v>
      </c>
      <c r="L43" t="s">
        <v>297</v>
      </c>
      <c r="M43" s="184" t="s">
        <v>285</v>
      </c>
    </row>
    <row r="44" spans="2:14" s="23" customFormat="1" x14ac:dyDescent="0.3">
      <c r="B44" s="23" t="s">
        <v>238</v>
      </c>
      <c r="C44" s="23" t="s">
        <v>2</v>
      </c>
      <c r="D44" s="23" t="s">
        <v>67</v>
      </c>
      <c r="E44" s="23" t="s">
        <v>6</v>
      </c>
      <c r="F44" s="179">
        <f>Summary!V47</f>
        <v>13</v>
      </c>
      <c r="G44" s="23" t="s">
        <v>311</v>
      </c>
      <c r="H44" s="23" t="s">
        <v>290</v>
      </c>
      <c r="I44" s="23" t="s">
        <v>240</v>
      </c>
      <c r="J44" s="183"/>
      <c r="K44" s="183" t="s">
        <v>249</v>
      </c>
      <c r="L44" s="23" t="s">
        <v>253</v>
      </c>
    </row>
    <row r="45" spans="2:14" x14ac:dyDescent="0.3">
      <c r="B45" t="s">
        <v>238</v>
      </c>
      <c r="C45" t="s">
        <v>2</v>
      </c>
      <c r="D45" s="25" t="s">
        <v>23</v>
      </c>
      <c r="E45" t="s">
        <v>239</v>
      </c>
      <c r="F45" s="17" t="str">
        <f>Summary!W5</f>
        <v>na</v>
      </c>
      <c r="G45" t="s">
        <v>311</v>
      </c>
      <c r="K45" s="22" t="s">
        <v>249</v>
      </c>
      <c r="L45" t="s">
        <v>251</v>
      </c>
      <c r="M45" s="184" t="s">
        <v>252</v>
      </c>
      <c r="N45" t="s">
        <v>241</v>
      </c>
    </row>
    <row r="46" spans="2:14" x14ac:dyDescent="0.3">
      <c r="B46" t="s">
        <v>238</v>
      </c>
      <c r="C46" t="s">
        <v>2</v>
      </c>
      <c r="D46" t="s">
        <v>55</v>
      </c>
      <c r="E46" t="s">
        <v>239</v>
      </c>
      <c r="F46" s="17">
        <f>Summary!W6</f>
        <v>0</v>
      </c>
      <c r="G46" t="s">
        <v>311</v>
      </c>
      <c r="K46" s="22" t="s">
        <v>249</v>
      </c>
      <c r="L46" t="s">
        <v>251</v>
      </c>
      <c r="M46" s="184" t="s">
        <v>252</v>
      </c>
      <c r="N46" t="s">
        <v>241</v>
      </c>
    </row>
    <row r="47" spans="2:14" x14ac:dyDescent="0.3">
      <c r="B47" t="s">
        <v>238</v>
      </c>
      <c r="C47" t="s">
        <v>2</v>
      </c>
      <c r="D47" t="s">
        <v>56</v>
      </c>
      <c r="E47" t="s">
        <v>239</v>
      </c>
      <c r="F47" s="17">
        <f>Summary!W7</f>
        <v>0</v>
      </c>
      <c r="G47" t="s">
        <v>311</v>
      </c>
      <c r="K47" s="22" t="s">
        <v>249</v>
      </c>
      <c r="L47" t="s">
        <v>251</v>
      </c>
      <c r="M47" s="184" t="s">
        <v>252</v>
      </c>
      <c r="N47" t="s">
        <v>241</v>
      </c>
    </row>
    <row r="48" spans="2:14" x14ac:dyDescent="0.3">
      <c r="B48" t="s">
        <v>238</v>
      </c>
      <c r="C48" t="s">
        <v>2</v>
      </c>
      <c r="D48" t="s">
        <v>57</v>
      </c>
      <c r="E48" t="s">
        <v>239</v>
      </c>
      <c r="F48" s="17">
        <f>Summary!W8</f>
        <v>0</v>
      </c>
      <c r="G48" t="s">
        <v>311</v>
      </c>
      <c r="K48" s="22" t="s">
        <v>249</v>
      </c>
      <c r="L48" t="s">
        <v>251</v>
      </c>
      <c r="M48" s="184" t="s">
        <v>252</v>
      </c>
      <c r="N48" t="s">
        <v>241</v>
      </c>
    </row>
    <row r="49" spans="2:14" x14ac:dyDescent="0.3">
      <c r="B49" t="s">
        <v>238</v>
      </c>
      <c r="C49" t="s">
        <v>2</v>
      </c>
      <c r="D49" t="s">
        <v>58</v>
      </c>
      <c r="E49" t="s">
        <v>239</v>
      </c>
      <c r="F49" s="17">
        <f>Summary!W9</f>
        <v>0</v>
      </c>
      <c r="G49" t="s">
        <v>311</v>
      </c>
      <c r="K49" s="22" t="s">
        <v>249</v>
      </c>
      <c r="L49" t="s">
        <v>251</v>
      </c>
      <c r="M49" s="184" t="s">
        <v>252</v>
      </c>
      <c r="N49" t="s">
        <v>241</v>
      </c>
    </row>
    <row r="50" spans="2:14" x14ac:dyDescent="0.3">
      <c r="B50" t="s">
        <v>238</v>
      </c>
      <c r="C50" t="s">
        <v>2</v>
      </c>
      <c r="D50" t="s">
        <v>59</v>
      </c>
      <c r="E50" t="s">
        <v>239</v>
      </c>
      <c r="F50" s="17">
        <f>Summary!W10</f>
        <v>0</v>
      </c>
      <c r="G50" t="s">
        <v>311</v>
      </c>
      <c r="K50" s="22" t="s">
        <v>249</v>
      </c>
      <c r="L50" t="s">
        <v>251</v>
      </c>
      <c r="M50" s="184" t="s">
        <v>252</v>
      </c>
      <c r="N50" t="s">
        <v>241</v>
      </c>
    </row>
    <row r="51" spans="2:14" x14ac:dyDescent="0.3">
      <c r="B51" t="s">
        <v>238</v>
      </c>
      <c r="C51" t="s">
        <v>2</v>
      </c>
      <c r="D51" t="s">
        <v>70</v>
      </c>
      <c r="E51" t="s">
        <v>239</v>
      </c>
      <c r="F51" s="17">
        <f>Summary!W11</f>
        <v>0</v>
      </c>
      <c r="G51" t="s">
        <v>311</v>
      </c>
      <c r="K51" s="22" t="s">
        <v>249</v>
      </c>
      <c r="L51" t="s">
        <v>251</v>
      </c>
      <c r="M51" s="184" t="s">
        <v>252</v>
      </c>
      <c r="N51" t="s">
        <v>241</v>
      </c>
    </row>
    <row r="52" spans="2:14" x14ac:dyDescent="0.3">
      <c r="B52" t="s">
        <v>238</v>
      </c>
      <c r="C52" t="s">
        <v>2</v>
      </c>
      <c r="D52" t="s">
        <v>71</v>
      </c>
      <c r="E52" t="s">
        <v>239</v>
      </c>
      <c r="F52" s="17">
        <f>Summary!W12</f>
        <v>0</v>
      </c>
      <c r="G52" t="s">
        <v>311</v>
      </c>
      <c r="K52" s="22" t="s">
        <v>249</v>
      </c>
      <c r="L52" t="s">
        <v>251</v>
      </c>
      <c r="M52" s="184" t="s">
        <v>252</v>
      </c>
      <c r="N52" t="s">
        <v>241</v>
      </c>
    </row>
    <row r="53" spans="2:14" x14ac:dyDescent="0.3">
      <c r="B53" t="s">
        <v>238</v>
      </c>
      <c r="C53" t="s">
        <v>2</v>
      </c>
      <c r="D53" t="s">
        <v>60</v>
      </c>
      <c r="E53" t="s">
        <v>239</v>
      </c>
      <c r="F53" s="17">
        <f>Summary!W13</f>
        <v>0</v>
      </c>
      <c r="G53" t="s">
        <v>311</v>
      </c>
      <c r="K53" s="22" t="s">
        <v>249</v>
      </c>
      <c r="L53" t="s">
        <v>251</v>
      </c>
      <c r="M53" s="184" t="s">
        <v>252</v>
      </c>
      <c r="N53" t="s">
        <v>241</v>
      </c>
    </row>
    <row r="54" spans="2:14" x14ac:dyDescent="0.3">
      <c r="B54" t="s">
        <v>238</v>
      </c>
      <c r="C54" t="s">
        <v>2</v>
      </c>
      <c r="D54" t="s">
        <v>61</v>
      </c>
      <c r="E54" t="s">
        <v>239</v>
      </c>
      <c r="F54" s="17">
        <f>Summary!W14</f>
        <v>0</v>
      </c>
      <c r="G54" t="s">
        <v>311</v>
      </c>
      <c r="K54" s="22" t="s">
        <v>249</v>
      </c>
      <c r="L54" t="s">
        <v>251</v>
      </c>
      <c r="M54" s="184" t="s">
        <v>252</v>
      </c>
      <c r="N54" t="s">
        <v>241</v>
      </c>
    </row>
    <row r="55" spans="2:14" x14ac:dyDescent="0.3">
      <c r="B55" t="s">
        <v>238</v>
      </c>
      <c r="C55" t="s">
        <v>2</v>
      </c>
      <c r="D55" t="s">
        <v>62</v>
      </c>
      <c r="E55" t="s">
        <v>239</v>
      </c>
      <c r="F55" s="17">
        <f>Summary!W15</f>
        <v>0</v>
      </c>
      <c r="G55" t="s">
        <v>311</v>
      </c>
      <c r="K55" s="22" t="s">
        <v>249</v>
      </c>
      <c r="L55" t="s">
        <v>251</v>
      </c>
      <c r="M55" s="184" t="s">
        <v>252</v>
      </c>
      <c r="N55" t="s">
        <v>241</v>
      </c>
    </row>
    <row r="56" spans="2:14" x14ac:dyDescent="0.3">
      <c r="B56" t="s">
        <v>238</v>
      </c>
      <c r="C56" t="s">
        <v>2</v>
      </c>
      <c r="D56" t="s">
        <v>63</v>
      </c>
      <c r="E56" t="s">
        <v>239</v>
      </c>
      <c r="F56" s="17">
        <f>Summary!W16</f>
        <v>0</v>
      </c>
      <c r="G56" t="s">
        <v>311</v>
      </c>
      <c r="K56" s="22" t="s">
        <v>249</v>
      </c>
      <c r="L56" t="s">
        <v>251</v>
      </c>
      <c r="M56" s="184" t="s">
        <v>252</v>
      </c>
      <c r="N56" t="s">
        <v>241</v>
      </c>
    </row>
    <row r="57" spans="2:14" x14ac:dyDescent="0.3">
      <c r="B57" t="s">
        <v>238</v>
      </c>
      <c r="C57" t="s">
        <v>2</v>
      </c>
      <c r="D57" t="s">
        <v>64</v>
      </c>
      <c r="E57" t="s">
        <v>239</v>
      </c>
      <c r="F57" s="17">
        <f>Summary!W17</f>
        <v>0</v>
      </c>
      <c r="G57" t="s">
        <v>311</v>
      </c>
      <c r="K57" s="22" t="s">
        <v>249</v>
      </c>
      <c r="L57" t="s">
        <v>251</v>
      </c>
      <c r="M57" s="184" t="s">
        <v>252</v>
      </c>
      <c r="N57" t="s">
        <v>241</v>
      </c>
    </row>
    <row r="58" spans="2:14" x14ac:dyDescent="0.3">
      <c r="B58" t="s">
        <v>238</v>
      </c>
      <c r="C58" t="s">
        <v>2</v>
      </c>
      <c r="D58" s="181" t="s">
        <v>31</v>
      </c>
      <c r="E58" t="s">
        <v>239</v>
      </c>
      <c r="F58" s="17">
        <f>Summary!W18</f>
        <v>820</v>
      </c>
      <c r="G58" t="s">
        <v>311</v>
      </c>
      <c r="H58" t="s">
        <v>290</v>
      </c>
      <c r="I58" t="s">
        <v>240</v>
      </c>
      <c r="J58" s="22" t="s">
        <v>264</v>
      </c>
      <c r="K58" s="22" t="s">
        <v>249</v>
      </c>
      <c r="L58" t="s">
        <v>262</v>
      </c>
      <c r="M58" s="184" t="s">
        <v>261</v>
      </c>
    </row>
    <row r="59" spans="2:14" x14ac:dyDescent="0.3">
      <c r="B59" t="s">
        <v>238</v>
      </c>
      <c r="C59" t="s">
        <v>2</v>
      </c>
      <c r="D59" s="181" t="s">
        <v>32</v>
      </c>
      <c r="E59" t="s">
        <v>239</v>
      </c>
      <c r="F59" s="17">
        <f>Summary!W19</f>
        <v>1276</v>
      </c>
      <c r="G59" t="s">
        <v>311</v>
      </c>
      <c r="H59" t="s">
        <v>290</v>
      </c>
      <c r="I59" t="s">
        <v>240</v>
      </c>
      <c r="J59" s="22" t="s">
        <v>264</v>
      </c>
      <c r="K59" s="22" t="s">
        <v>249</v>
      </c>
      <c r="L59" t="s">
        <v>262</v>
      </c>
      <c r="M59" s="184" t="s">
        <v>261</v>
      </c>
    </row>
    <row r="60" spans="2:14" x14ac:dyDescent="0.3">
      <c r="B60" t="s">
        <v>238</v>
      </c>
      <c r="C60" t="s">
        <v>2</v>
      </c>
      <c r="D60" s="181" t="s">
        <v>33</v>
      </c>
      <c r="E60" t="s">
        <v>239</v>
      </c>
      <c r="F60" s="17">
        <f>Summary!W20</f>
        <v>969</v>
      </c>
      <c r="G60" t="s">
        <v>311</v>
      </c>
      <c r="H60" t="s">
        <v>290</v>
      </c>
      <c r="I60" t="s">
        <v>240</v>
      </c>
      <c r="J60" s="22" t="s">
        <v>264</v>
      </c>
      <c r="K60" s="22" t="s">
        <v>249</v>
      </c>
      <c r="L60" t="s">
        <v>262</v>
      </c>
      <c r="M60" s="184" t="s">
        <v>261</v>
      </c>
    </row>
    <row r="61" spans="2:14" x14ac:dyDescent="0.3">
      <c r="B61" t="s">
        <v>238</v>
      </c>
      <c r="C61" t="s">
        <v>2</v>
      </c>
      <c r="D61" s="181" t="s">
        <v>65</v>
      </c>
      <c r="E61" t="s">
        <v>239</v>
      </c>
      <c r="F61" s="17" t="str">
        <f>Summary!W21</f>
        <v>na</v>
      </c>
      <c r="G61" t="s">
        <v>311</v>
      </c>
      <c r="K61" s="22" t="s">
        <v>249</v>
      </c>
      <c r="L61" t="s">
        <v>262</v>
      </c>
      <c r="M61" s="184"/>
      <c r="N61" t="s">
        <v>324</v>
      </c>
    </row>
    <row r="62" spans="2:14" x14ac:dyDescent="0.3">
      <c r="B62" t="s">
        <v>238</v>
      </c>
      <c r="C62" t="s">
        <v>2</v>
      </c>
      <c r="D62" s="181" t="s">
        <v>34</v>
      </c>
      <c r="E62" t="s">
        <v>239</v>
      </c>
      <c r="F62" s="17">
        <f>Summary!W22</f>
        <v>926</v>
      </c>
      <c r="G62" t="s">
        <v>311</v>
      </c>
      <c r="H62" t="s">
        <v>290</v>
      </c>
      <c r="I62" t="s">
        <v>240</v>
      </c>
      <c r="J62" s="22" t="s">
        <v>264</v>
      </c>
      <c r="K62" s="22" t="s">
        <v>249</v>
      </c>
      <c r="L62" t="s">
        <v>262</v>
      </c>
      <c r="M62" s="184" t="s">
        <v>261</v>
      </c>
    </row>
    <row r="63" spans="2:14" x14ac:dyDescent="0.3">
      <c r="B63" t="s">
        <v>238</v>
      </c>
      <c r="C63" t="s">
        <v>2</v>
      </c>
      <c r="D63" s="181" t="s">
        <v>35</v>
      </c>
      <c r="E63" t="s">
        <v>239</v>
      </c>
      <c r="F63" s="17">
        <f>Summary!W23</f>
        <v>111</v>
      </c>
      <c r="G63" t="s">
        <v>311</v>
      </c>
      <c r="H63" t="s">
        <v>290</v>
      </c>
      <c r="I63" t="s">
        <v>240</v>
      </c>
      <c r="J63" s="22" t="s">
        <v>264</v>
      </c>
      <c r="K63" s="22" t="s">
        <v>249</v>
      </c>
      <c r="L63" t="s">
        <v>262</v>
      </c>
      <c r="M63" s="184" t="s">
        <v>261</v>
      </c>
    </row>
    <row r="64" spans="2:14" x14ac:dyDescent="0.3">
      <c r="B64" t="s">
        <v>238</v>
      </c>
      <c r="C64" t="s">
        <v>2</v>
      </c>
      <c r="D64" s="181" t="s">
        <v>36</v>
      </c>
      <c r="E64" t="s">
        <v>239</v>
      </c>
      <c r="F64" s="17">
        <f>Summary!W24</f>
        <v>2340</v>
      </c>
      <c r="G64" t="s">
        <v>311</v>
      </c>
      <c r="H64" t="s">
        <v>290</v>
      </c>
      <c r="I64" t="s">
        <v>240</v>
      </c>
      <c r="J64" s="22" t="s">
        <v>264</v>
      </c>
      <c r="K64" s="22" t="s">
        <v>249</v>
      </c>
      <c r="L64" t="s">
        <v>262</v>
      </c>
      <c r="M64" s="184" t="s">
        <v>261</v>
      </c>
    </row>
    <row r="65" spans="2:14" x14ac:dyDescent="0.3">
      <c r="B65" t="s">
        <v>238</v>
      </c>
      <c r="C65" t="s">
        <v>2</v>
      </c>
      <c r="D65" s="181" t="s">
        <v>66</v>
      </c>
      <c r="E65" t="s">
        <v>239</v>
      </c>
      <c r="F65" s="17" t="str">
        <f>Summary!W25</f>
        <v>na</v>
      </c>
      <c r="G65" t="s">
        <v>311</v>
      </c>
      <c r="K65" s="22" t="s">
        <v>249</v>
      </c>
      <c r="L65" t="s">
        <v>262</v>
      </c>
      <c r="N65" t="s">
        <v>324</v>
      </c>
    </row>
    <row r="66" spans="2:14" x14ac:dyDescent="0.3">
      <c r="B66" t="s">
        <v>238</v>
      </c>
      <c r="C66" t="s">
        <v>2</v>
      </c>
      <c r="D66" t="s">
        <v>37</v>
      </c>
      <c r="E66" t="s">
        <v>239</v>
      </c>
      <c r="F66" s="17">
        <f>Summary!W26</f>
        <v>0</v>
      </c>
      <c r="G66" t="s">
        <v>311</v>
      </c>
      <c r="H66" s="90"/>
      <c r="K66" s="22" t="s">
        <v>249</v>
      </c>
      <c r="L66" t="s">
        <v>251</v>
      </c>
      <c r="M66" s="184" t="s">
        <v>252</v>
      </c>
    </row>
    <row r="67" spans="2:14" x14ac:dyDescent="0.3">
      <c r="B67" t="s">
        <v>238</v>
      </c>
      <c r="C67" t="s">
        <v>2</v>
      </c>
      <c r="D67" t="s">
        <v>38</v>
      </c>
      <c r="E67" t="s">
        <v>239</v>
      </c>
      <c r="F67" s="17">
        <f>Summary!W27</f>
        <v>828</v>
      </c>
      <c r="G67" t="s">
        <v>311</v>
      </c>
      <c r="H67" t="s">
        <v>323</v>
      </c>
      <c r="I67" t="s">
        <v>240</v>
      </c>
      <c r="J67" s="22" t="s">
        <v>300</v>
      </c>
      <c r="K67" s="22" t="s">
        <v>249</v>
      </c>
      <c r="L67" t="s">
        <v>253</v>
      </c>
    </row>
    <row r="68" spans="2:14" x14ac:dyDescent="0.3">
      <c r="B68" t="s">
        <v>238</v>
      </c>
      <c r="C68" t="s">
        <v>2</v>
      </c>
      <c r="D68" t="s">
        <v>27</v>
      </c>
      <c r="E68" t="s">
        <v>239</v>
      </c>
      <c r="F68" s="17">
        <f>Summary!W28</f>
        <v>3270</v>
      </c>
      <c r="G68" t="s">
        <v>311</v>
      </c>
      <c r="H68" t="s">
        <v>290</v>
      </c>
      <c r="I68" t="s">
        <v>240</v>
      </c>
      <c r="J68" s="22" t="s">
        <v>300</v>
      </c>
      <c r="K68" s="22" t="s">
        <v>249</v>
      </c>
      <c r="L68" t="s">
        <v>297</v>
      </c>
      <c r="M68" s="184" t="s">
        <v>285</v>
      </c>
    </row>
    <row r="69" spans="2:14" x14ac:dyDescent="0.3">
      <c r="B69" t="s">
        <v>238</v>
      </c>
      <c r="C69" t="s">
        <v>2</v>
      </c>
      <c r="D69" t="s">
        <v>39</v>
      </c>
      <c r="E69" t="s">
        <v>239</v>
      </c>
      <c r="F69" s="17">
        <f>Summary!W29</f>
        <v>537</v>
      </c>
      <c r="G69" t="s">
        <v>311</v>
      </c>
      <c r="H69" t="s">
        <v>323</v>
      </c>
      <c r="I69" t="s">
        <v>240</v>
      </c>
      <c r="J69" s="22" t="s">
        <v>300</v>
      </c>
      <c r="K69" s="22" t="s">
        <v>249</v>
      </c>
      <c r="L69" t="s">
        <v>253</v>
      </c>
    </row>
    <row r="70" spans="2:14" x14ac:dyDescent="0.3">
      <c r="B70" t="s">
        <v>238</v>
      </c>
      <c r="C70" t="s">
        <v>2</v>
      </c>
      <c r="D70" t="s">
        <v>40</v>
      </c>
      <c r="E70" t="s">
        <v>239</v>
      </c>
      <c r="F70" s="17">
        <f>Summary!W30</f>
        <v>780</v>
      </c>
      <c r="G70" t="s">
        <v>311</v>
      </c>
      <c r="H70" t="s">
        <v>290</v>
      </c>
      <c r="I70" t="s">
        <v>240</v>
      </c>
      <c r="J70" s="22" t="s">
        <v>300</v>
      </c>
      <c r="K70" s="22" t="s">
        <v>249</v>
      </c>
      <c r="L70" t="s">
        <v>297</v>
      </c>
      <c r="M70" s="184" t="s">
        <v>285</v>
      </c>
    </row>
    <row r="71" spans="2:14" x14ac:dyDescent="0.3">
      <c r="B71" t="s">
        <v>238</v>
      </c>
      <c r="C71" t="s">
        <v>2</v>
      </c>
      <c r="D71" t="s">
        <v>41</v>
      </c>
      <c r="E71" t="s">
        <v>239</v>
      </c>
      <c r="F71" s="17">
        <f>Summary!W31</f>
        <v>620</v>
      </c>
      <c r="G71" t="s">
        <v>311</v>
      </c>
      <c r="H71" t="s">
        <v>290</v>
      </c>
      <c r="I71" t="s">
        <v>240</v>
      </c>
      <c r="J71" s="22" t="s">
        <v>300</v>
      </c>
      <c r="K71" s="22" t="s">
        <v>249</v>
      </c>
      <c r="L71" t="s">
        <v>297</v>
      </c>
      <c r="M71" s="184" t="s">
        <v>285</v>
      </c>
    </row>
    <row r="72" spans="2:14" x14ac:dyDescent="0.3">
      <c r="B72" t="s">
        <v>238</v>
      </c>
      <c r="C72" t="s">
        <v>2</v>
      </c>
      <c r="D72" t="s">
        <v>42</v>
      </c>
      <c r="E72" t="s">
        <v>239</v>
      </c>
      <c r="F72" s="17">
        <f>Summary!W32</f>
        <v>60</v>
      </c>
      <c r="G72" t="s">
        <v>311</v>
      </c>
      <c r="H72" t="s">
        <v>290</v>
      </c>
      <c r="I72" t="s">
        <v>240</v>
      </c>
      <c r="J72" s="22" t="s">
        <v>300</v>
      </c>
      <c r="K72" s="22" t="s">
        <v>249</v>
      </c>
      <c r="L72" t="s">
        <v>297</v>
      </c>
      <c r="M72" s="184" t="s">
        <v>285</v>
      </c>
    </row>
    <row r="73" spans="2:14" x14ac:dyDescent="0.3">
      <c r="B73" t="s">
        <v>238</v>
      </c>
      <c r="C73" t="s">
        <v>2</v>
      </c>
      <c r="D73" t="s">
        <v>43</v>
      </c>
      <c r="E73" t="s">
        <v>239</v>
      </c>
      <c r="F73" s="17">
        <f>Summary!W33</f>
        <v>240</v>
      </c>
      <c r="G73" t="s">
        <v>311</v>
      </c>
      <c r="H73" t="s">
        <v>290</v>
      </c>
      <c r="I73" t="s">
        <v>240</v>
      </c>
      <c r="J73" s="22" t="s">
        <v>300</v>
      </c>
      <c r="K73" s="22" t="s">
        <v>249</v>
      </c>
      <c r="L73" t="s">
        <v>297</v>
      </c>
      <c r="M73" s="184" t="s">
        <v>285</v>
      </c>
    </row>
    <row r="74" spans="2:14" x14ac:dyDescent="0.3">
      <c r="B74" t="s">
        <v>238</v>
      </c>
      <c r="C74" t="s">
        <v>2</v>
      </c>
      <c r="D74" t="s">
        <v>44</v>
      </c>
      <c r="E74" t="s">
        <v>239</v>
      </c>
      <c r="F74" s="17">
        <f>Summary!W34</f>
        <v>540</v>
      </c>
      <c r="G74" t="s">
        <v>311</v>
      </c>
      <c r="H74" t="s">
        <v>290</v>
      </c>
      <c r="I74" t="s">
        <v>240</v>
      </c>
      <c r="J74" s="22" t="s">
        <v>300</v>
      </c>
      <c r="K74" s="22" t="s">
        <v>249</v>
      </c>
      <c r="L74" t="s">
        <v>297</v>
      </c>
      <c r="M74" s="184" t="s">
        <v>285</v>
      </c>
    </row>
    <row r="75" spans="2:14" x14ac:dyDescent="0.3">
      <c r="B75" t="s">
        <v>238</v>
      </c>
      <c r="C75" t="s">
        <v>2</v>
      </c>
      <c r="D75" t="s">
        <v>45</v>
      </c>
      <c r="E75" t="s">
        <v>239</v>
      </c>
      <c r="F75" s="17">
        <f>Summary!W35</f>
        <v>560</v>
      </c>
      <c r="G75" t="s">
        <v>311</v>
      </c>
      <c r="H75" t="s">
        <v>290</v>
      </c>
      <c r="I75" t="s">
        <v>240</v>
      </c>
      <c r="J75" s="22" t="s">
        <v>300</v>
      </c>
      <c r="K75" s="22" t="s">
        <v>249</v>
      </c>
      <c r="L75" t="s">
        <v>297</v>
      </c>
      <c r="M75" s="184" t="s">
        <v>285</v>
      </c>
    </row>
    <row r="76" spans="2:14" x14ac:dyDescent="0.3">
      <c r="B76" t="s">
        <v>238</v>
      </c>
      <c r="C76" t="s">
        <v>2</v>
      </c>
      <c r="D76" t="s">
        <v>46</v>
      </c>
      <c r="E76" t="s">
        <v>239</v>
      </c>
      <c r="F76" s="17">
        <f>Summary!W36</f>
        <v>280</v>
      </c>
      <c r="G76" t="s">
        <v>311</v>
      </c>
      <c r="H76" t="s">
        <v>290</v>
      </c>
      <c r="I76" t="s">
        <v>240</v>
      </c>
      <c r="J76" s="22" t="s">
        <v>300</v>
      </c>
      <c r="K76" s="22" t="s">
        <v>249</v>
      </c>
      <c r="L76" t="s">
        <v>297</v>
      </c>
      <c r="M76" s="184" t="s">
        <v>285</v>
      </c>
    </row>
    <row r="77" spans="2:14" x14ac:dyDescent="0.3">
      <c r="B77" t="s">
        <v>238</v>
      </c>
      <c r="C77" t="s">
        <v>2</v>
      </c>
      <c r="D77" t="s">
        <v>47</v>
      </c>
      <c r="E77" t="s">
        <v>239</v>
      </c>
      <c r="F77" s="17">
        <f>Summary!W37</f>
        <v>1540</v>
      </c>
      <c r="G77" t="s">
        <v>311</v>
      </c>
      <c r="H77" t="s">
        <v>290</v>
      </c>
      <c r="I77" t="s">
        <v>240</v>
      </c>
      <c r="J77" s="22" t="s">
        <v>300</v>
      </c>
      <c r="K77" s="22" t="s">
        <v>249</v>
      </c>
      <c r="L77" t="s">
        <v>297</v>
      </c>
      <c r="M77" s="184" t="s">
        <v>285</v>
      </c>
    </row>
    <row r="78" spans="2:14" x14ac:dyDescent="0.3">
      <c r="B78" t="s">
        <v>238</v>
      </c>
      <c r="C78" t="s">
        <v>2</v>
      </c>
      <c r="D78" t="s">
        <v>48</v>
      </c>
      <c r="E78" t="s">
        <v>239</v>
      </c>
      <c r="F78" s="17">
        <f>Summary!W38</f>
        <v>510</v>
      </c>
      <c r="G78" t="s">
        <v>311</v>
      </c>
      <c r="H78" t="s">
        <v>290</v>
      </c>
      <c r="I78" t="s">
        <v>240</v>
      </c>
      <c r="J78" s="22" t="s">
        <v>300</v>
      </c>
      <c r="K78" s="22" t="s">
        <v>249</v>
      </c>
      <c r="L78" t="s">
        <v>297</v>
      </c>
      <c r="M78" s="184" t="s">
        <v>285</v>
      </c>
    </row>
    <row r="79" spans="2:14" x14ac:dyDescent="0.3">
      <c r="B79" t="s">
        <v>238</v>
      </c>
      <c r="C79" t="s">
        <v>2</v>
      </c>
      <c r="D79" t="s">
        <v>49</v>
      </c>
      <c r="E79" t="s">
        <v>239</v>
      </c>
      <c r="F79" s="17">
        <f>Summary!W39</f>
        <v>290</v>
      </c>
      <c r="G79" t="s">
        <v>311</v>
      </c>
      <c r="H79" t="s">
        <v>290</v>
      </c>
      <c r="I79" t="s">
        <v>240</v>
      </c>
      <c r="J79" s="22" t="s">
        <v>300</v>
      </c>
      <c r="K79" s="22" t="s">
        <v>249</v>
      </c>
      <c r="L79" t="s">
        <v>297</v>
      </c>
      <c r="M79" s="184" t="s">
        <v>285</v>
      </c>
    </row>
    <row r="80" spans="2:14" x14ac:dyDescent="0.3">
      <c r="B80" t="s">
        <v>238</v>
      </c>
      <c r="C80" t="s">
        <v>2</v>
      </c>
      <c r="D80" t="s">
        <v>50</v>
      </c>
      <c r="E80" t="s">
        <v>239</v>
      </c>
      <c r="F80" s="17">
        <f>Summary!W40</f>
        <v>1160</v>
      </c>
      <c r="G80" t="s">
        <v>311</v>
      </c>
      <c r="H80" t="s">
        <v>290</v>
      </c>
      <c r="I80" t="s">
        <v>240</v>
      </c>
      <c r="J80" s="22" t="s">
        <v>300</v>
      </c>
      <c r="K80" s="22" t="s">
        <v>249</v>
      </c>
      <c r="L80" t="s">
        <v>297</v>
      </c>
      <c r="M80" s="184" t="s">
        <v>285</v>
      </c>
    </row>
    <row r="81" spans="2:15" x14ac:dyDescent="0.3">
      <c r="B81" t="s">
        <v>238</v>
      </c>
      <c r="C81" t="s">
        <v>2</v>
      </c>
      <c r="D81" t="s">
        <v>69</v>
      </c>
      <c r="E81" t="s">
        <v>239</v>
      </c>
      <c r="F81" s="17">
        <f>Summary!W41</f>
        <v>1210</v>
      </c>
      <c r="G81" t="s">
        <v>311</v>
      </c>
      <c r="H81" t="s">
        <v>290</v>
      </c>
      <c r="I81" t="s">
        <v>240</v>
      </c>
      <c r="J81" s="22" t="s">
        <v>300</v>
      </c>
      <c r="K81" s="22" t="s">
        <v>249</v>
      </c>
      <c r="L81" t="s">
        <v>297</v>
      </c>
      <c r="M81" s="184" t="s">
        <v>285</v>
      </c>
    </row>
    <row r="82" spans="2:15" x14ac:dyDescent="0.3">
      <c r="B82" t="s">
        <v>238</v>
      </c>
      <c r="C82" t="s">
        <v>2</v>
      </c>
      <c r="D82" t="s">
        <v>51</v>
      </c>
      <c r="E82" t="s">
        <v>239</v>
      </c>
      <c r="F82" s="17">
        <f>Summary!W42</f>
        <v>0</v>
      </c>
      <c r="G82" t="s">
        <v>311</v>
      </c>
      <c r="K82" s="22" t="s">
        <v>249</v>
      </c>
      <c r="L82" t="s">
        <v>253</v>
      </c>
    </row>
    <row r="83" spans="2:15" x14ac:dyDescent="0.3">
      <c r="B83" t="s">
        <v>238</v>
      </c>
      <c r="C83" t="s">
        <v>2</v>
      </c>
      <c r="D83" t="s">
        <v>52</v>
      </c>
      <c r="E83" t="s">
        <v>239</v>
      </c>
      <c r="F83" s="17">
        <f>Summary!W43</f>
        <v>1320</v>
      </c>
      <c r="G83" t="s">
        <v>311</v>
      </c>
      <c r="H83" t="s">
        <v>290</v>
      </c>
      <c r="I83" t="s">
        <v>240</v>
      </c>
      <c r="J83" s="22" t="s">
        <v>300</v>
      </c>
      <c r="K83" s="22" t="s">
        <v>249</v>
      </c>
      <c r="L83" t="s">
        <v>297</v>
      </c>
      <c r="M83" s="184" t="s">
        <v>285</v>
      </c>
    </row>
    <row r="84" spans="2:15" x14ac:dyDescent="0.3">
      <c r="B84" t="s">
        <v>238</v>
      </c>
      <c r="C84" t="s">
        <v>2</v>
      </c>
      <c r="D84" t="s">
        <v>24</v>
      </c>
      <c r="E84" t="s">
        <v>239</v>
      </c>
      <c r="F84" s="17">
        <f>Summary!W44</f>
        <v>220</v>
      </c>
      <c r="G84" t="s">
        <v>311</v>
      </c>
      <c r="H84" t="s">
        <v>290</v>
      </c>
      <c r="I84" t="s">
        <v>240</v>
      </c>
      <c r="J84" s="22" t="s">
        <v>300</v>
      </c>
      <c r="K84" s="22" t="s">
        <v>249</v>
      </c>
      <c r="L84" t="s">
        <v>297</v>
      </c>
      <c r="M84" s="184" t="s">
        <v>285</v>
      </c>
    </row>
    <row r="85" spans="2:15" x14ac:dyDescent="0.3">
      <c r="B85" t="s">
        <v>238</v>
      </c>
      <c r="C85" t="s">
        <v>2</v>
      </c>
      <c r="D85" t="s">
        <v>53</v>
      </c>
      <c r="E85" t="s">
        <v>239</v>
      </c>
      <c r="F85" s="17">
        <f>Summary!W45</f>
        <v>450</v>
      </c>
      <c r="G85" t="s">
        <v>311</v>
      </c>
      <c r="H85" t="s">
        <v>290</v>
      </c>
      <c r="I85" t="s">
        <v>240</v>
      </c>
      <c r="J85" s="22" t="s">
        <v>300</v>
      </c>
      <c r="K85" s="22" t="s">
        <v>249</v>
      </c>
      <c r="L85" t="s">
        <v>297</v>
      </c>
      <c r="M85" s="184" t="s">
        <v>285</v>
      </c>
    </row>
    <row r="86" spans="2:15" x14ac:dyDescent="0.3">
      <c r="B86" t="s">
        <v>238</v>
      </c>
      <c r="C86" t="s">
        <v>2</v>
      </c>
      <c r="D86" t="s">
        <v>54</v>
      </c>
      <c r="E86" t="s">
        <v>239</v>
      </c>
      <c r="F86" s="17">
        <f>Summary!W46</f>
        <v>1350</v>
      </c>
      <c r="G86" t="s">
        <v>311</v>
      </c>
      <c r="H86" t="s">
        <v>290</v>
      </c>
      <c r="I86" t="s">
        <v>240</v>
      </c>
      <c r="J86" s="22" t="s">
        <v>300</v>
      </c>
      <c r="K86" s="22" t="s">
        <v>249</v>
      </c>
      <c r="L86" t="s">
        <v>297</v>
      </c>
      <c r="M86" s="184" t="s">
        <v>285</v>
      </c>
    </row>
    <row r="87" spans="2:15" s="23" customFormat="1" x14ac:dyDescent="0.3">
      <c r="B87" s="23" t="s">
        <v>238</v>
      </c>
      <c r="C87" s="23" t="s">
        <v>2</v>
      </c>
      <c r="D87" s="23" t="s">
        <v>67</v>
      </c>
      <c r="E87" s="23" t="s">
        <v>239</v>
      </c>
      <c r="F87" s="179">
        <f>Summary!W47</f>
        <v>0</v>
      </c>
      <c r="G87" s="23" t="s">
        <v>311</v>
      </c>
      <c r="H87" s="164"/>
      <c r="J87" s="183"/>
      <c r="K87" s="183" t="s">
        <v>249</v>
      </c>
      <c r="L87" s="23" t="s">
        <v>253</v>
      </c>
      <c r="N87" s="23" t="s">
        <v>241</v>
      </c>
    </row>
    <row r="88" spans="2:15" x14ac:dyDescent="0.3">
      <c r="B88" t="s">
        <v>238</v>
      </c>
      <c r="C88" t="s">
        <v>2</v>
      </c>
      <c r="D88" s="25" t="s">
        <v>23</v>
      </c>
      <c r="E88" t="s">
        <v>312</v>
      </c>
      <c r="F88" s="17">
        <f>Summary!X5</f>
        <v>22000</v>
      </c>
      <c r="G88" t="s">
        <v>311</v>
      </c>
      <c r="H88" t="s">
        <v>323</v>
      </c>
      <c r="I88" t="s">
        <v>248</v>
      </c>
      <c r="K88" s="22" t="s">
        <v>249</v>
      </c>
      <c r="L88" t="s">
        <v>246</v>
      </c>
      <c r="M88" s="184" t="s">
        <v>242</v>
      </c>
      <c r="N88" t="s">
        <v>247</v>
      </c>
      <c r="O88" t="s">
        <v>245</v>
      </c>
    </row>
    <row r="89" spans="2:15" x14ac:dyDescent="0.3">
      <c r="B89" t="s">
        <v>238</v>
      </c>
      <c r="C89" t="s">
        <v>2</v>
      </c>
      <c r="D89" t="s">
        <v>55</v>
      </c>
      <c r="E89" t="s">
        <v>312</v>
      </c>
      <c r="F89" s="17">
        <f>Summary!X6</f>
        <v>10000</v>
      </c>
      <c r="G89" t="s">
        <v>311</v>
      </c>
      <c r="H89" t="s">
        <v>323</v>
      </c>
      <c r="I89" t="s">
        <v>248</v>
      </c>
      <c r="K89" s="22" t="s">
        <v>249</v>
      </c>
      <c r="L89" t="s">
        <v>246</v>
      </c>
      <c r="M89" s="184" t="s">
        <v>242</v>
      </c>
      <c r="N89" t="s">
        <v>247</v>
      </c>
      <c r="O89" t="s">
        <v>245</v>
      </c>
    </row>
    <row r="90" spans="2:15" x14ac:dyDescent="0.3">
      <c r="B90" t="s">
        <v>238</v>
      </c>
      <c r="C90" t="s">
        <v>2</v>
      </c>
      <c r="D90" t="s">
        <v>56</v>
      </c>
      <c r="E90" t="s">
        <v>312</v>
      </c>
      <c r="F90" s="17">
        <f>Summary!X7</f>
        <v>0</v>
      </c>
      <c r="G90" t="s">
        <v>311</v>
      </c>
      <c r="H90" t="s">
        <v>323</v>
      </c>
      <c r="I90" t="s">
        <v>248</v>
      </c>
      <c r="K90" s="22" t="s">
        <v>249</v>
      </c>
      <c r="L90" t="s">
        <v>246</v>
      </c>
      <c r="M90" s="184" t="s">
        <v>242</v>
      </c>
      <c r="N90" t="s">
        <v>243</v>
      </c>
      <c r="O90" t="s">
        <v>245</v>
      </c>
    </row>
    <row r="91" spans="2:15" x14ac:dyDescent="0.3">
      <c r="B91" t="s">
        <v>238</v>
      </c>
      <c r="C91" t="s">
        <v>2</v>
      </c>
      <c r="D91" t="s">
        <v>57</v>
      </c>
      <c r="E91" t="s">
        <v>312</v>
      </c>
      <c r="F91" s="17">
        <f>Summary!X8</f>
        <v>15000</v>
      </c>
      <c r="G91" t="s">
        <v>311</v>
      </c>
      <c r="H91" t="s">
        <v>323</v>
      </c>
      <c r="I91" t="s">
        <v>248</v>
      </c>
      <c r="K91" s="22" t="s">
        <v>249</v>
      </c>
      <c r="L91" t="s">
        <v>246</v>
      </c>
      <c r="M91" s="184" t="s">
        <v>242</v>
      </c>
      <c r="N91" t="s">
        <v>247</v>
      </c>
      <c r="O91" t="s">
        <v>245</v>
      </c>
    </row>
    <row r="92" spans="2:15" x14ac:dyDescent="0.3">
      <c r="B92" t="s">
        <v>238</v>
      </c>
      <c r="C92" t="s">
        <v>2</v>
      </c>
      <c r="D92" t="s">
        <v>58</v>
      </c>
      <c r="E92" t="s">
        <v>312</v>
      </c>
      <c r="F92" s="17">
        <f>Summary!X9</f>
        <v>13000</v>
      </c>
      <c r="G92" t="s">
        <v>311</v>
      </c>
      <c r="H92" t="s">
        <v>323</v>
      </c>
      <c r="I92" t="s">
        <v>248</v>
      </c>
      <c r="K92" s="22" t="s">
        <v>249</v>
      </c>
      <c r="L92" t="s">
        <v>246</v>
      </c>
      <c r="M92" s="184" t="s">
        <v>242</v>
      </c>
      <c r="N92" t="s">
        <v>247</v>
      </c>
      <c r="O92" t="s">
        <v>245</v>
      </c>
    </row>
    <row r="93" spans="2:15" x14ac:dyDescent="0.3">
      <c r="B93" t="s">
        <v>238</v>
      </c>
      <c r="C93" t="s">
        <v>2</v>
      </c>
      <c r="D93" t="s">
        <v>59</v>
      </c>
      <c r="E93" t="s">
        <v>312</v>
      </c>
      <c r="F93" s="17">
        <f>Summary!X10</f>
        <v>22000</v>
      </c>
      <c r="G93" t="s">
        <v>311</v>
      </c>
      <c r="H93" t="s">
        <v>323</v>
      </c>
      <c r="I93" t="s">
        <v>248</v>
      </c>
      <c r="K93" s="22" t="s">
        <v>249</v>
      </c>
      <c r="L93" t="s">
        <v>246</v>
      </c>
      <c r="M93" s="184" t="s">
        <v>242</v>
      </c>
      <c r="N93" t="s">
        <v>247</v>
      </c>
      <c r="O93" t="s">
        <v>245</v>
      </c>
    </row>
    <row r="94" spans="2:15" x14ac:dyDescent="0.3">
      <c r="B94" t="s">
        <v>238</v>
      </c>
      <c r="C94" t="s">
        <v>2</v>
      </c>
      <c r="D94" t="s">
        <v>70</v>
      </c>
      <c r="E94" t="s">
        <v>312</v>
      </c>
      <c r="F94" s="17">
        <f>Summary!X11</f>
        <v>0</v>
      </c>
      <c r="G94" t="s">
        <v>311</v>
      </c>
      <c r="H94" t="s">
        <v>323</v>
      </c>
      <c r="I94" t="s">
        <v>248</v>
      </c>
      <c r="K94" s="22" t="s">
        <v>249</v>
      </c>
      <c r="L94" t="s">
        <v>246</v>
      </c>
      <c r="M94" s="184" t="s">
        <v>242</v>
      </c>
      <c r="N94" t="s">
        <v>244</v>
      </c>
      <c r="O94" t="s">
        <v>245</v>
      </c>
    </row>
    <row r="95" spans="2:15" x14ac:dyDescent="0.3">
      <c r="B95" t="s">
        <v>238</v>
      </c>
      <c r="C95" t="s">
        <v>2</v>
      </c>
      <c r="D95" t="s">
        <v>71</v>
      </c>
      <c r="E95" t="s">
        <v>312</v>
      </c>
      <c r="F95" s="17">
        <f>Summary!X12</f>
        <v>0</v>
      </c>
      <c r="G95" t="s">
        <v>311</v>
      </c>
      <c r="H95" t="s">
        <v>323</v>
      </c>
      <c r="I95" t="s">
        <v>248</v>
      </c>
      <c r="K95" s="22" t="s">
        <v>249</v>
      </c>
      <c r="L95" t="s">
        <v>246</v>
      </c>
      <c r="M95" s="184" t="s">
        <v>242</v>
      </c>
      <c r="N95" t="s">
        <v>244</v>
      </c>
      <c r="O95" t="s">
        <v>245</v>
      </c>
    </row>
    <row r="96" spans="2:15" x14ac:dyDescent="0.3">
      <c r="B96" t="s">
        <v>238</v>
      </c>
      <c r="C96" t="s">
        <v>2</v>
      </c>
      <c r="D96" t="s">
        <v>60</v>
      </c>
      <c r="E96" t="s">
        <v>312</v>
      </c>
      <c r="F96" s="17">
        <f>Summary!X13</f>
        <v>15000</v>
      </c>
      <c r="G96" t="s">
        <v>311</v>
      </c>
      <c r="H96" t="s">
        <v>323</v>
      </c>
      <c r="I96" t="s">
        <v>248</v>
      </c>
      <c r="K96" s="22" t="s">
        <v>249</v>
      </c>
      <c r="L96" t="s">
        <v>246</v>
      </c>
      <c r="M96" s="184" t="s">
        <v>242</v>
      </c>
      <c r="N96" t="s">
        <v>247</v>
      </c>
      <c r="O96" t="s">
        <v>245</v>
      </c>
    </row>
    <row r="97" spans="2:15" x14ac:dyDescent="0.3">
      <c r="B97" t="s">
        <v>238</v>
      </c>
      <c r="C97" t="s">
        <v>2</v>
      </c>
      <c r="D97" t="s">
        <v>61</v>
      </c>
      <c r="E97" t="s">
        <v>312</v>
      </c>
      <c r="F97" s="17">
        <f>Summary!X14</f>
        <v>24000</v>
      </c>
      <c r="G97" t="s">
        <v>311</v>
      </c>
      <c r="H97" t="s">
        <v>323</v>
      </c>
      <c r="I97" t="s">
        <v>248</v>
      </c>
      <c r="K97" s="22" t="s">
        <v>249</v>
      </c>
      <c r="L97" t="s">
        <v>246</v>
      </c>
      <c r="M97" s="184" t="s">
        <v>242</v>
      </c>
      <c r="N97" t="s">
        <v>247</v>
      </c>
      <c r="O97" t="s">
        <v>245</v>
      </c>
    </row>
    <row r="98" spans="2:15" x14ac:dyDescent="0.3">
      <c r="B98" t="s">
        <v>238</v>
      </c>
      <c r="C98" t="s">
        <v>2</v>
      </c>
      <c r="D98" t="s">
        <v>62</v>
      </c>
      <c r="E98" t="s">
        <v>312</v>
      </c>
      <c r="F98" s="17">
        <f>Summary!X15</f>
        <v>8000</v>
      </c>
      <c r="G98" t="s">
        <v>311</v>
      </c>
      <c r="H98" t="s">
        <v>323</v>
      </c>
      <c r="I98" t="s">
        <v>248</v>
      </c>
      <c r="K98" s="22" t="s">
        <v>249</v>
      </c>
      <c r="L98" t="s">
        <v>246</v>
      </c>
      <c r="M98" s="184" t="s">
        <v>242</v>
      </c>
      <c r="N98" t="s">
        <v>247</v>
      </c>
      <c r="O98" t="s">
        <v>245</v>
      </c>
    </row>
    <row r="99" spans="2:15" x14ac:dyDescent="0.3">
      <c r="B99" t="s">
        <v>238</v>
      </c>
      <c r="C99" t="s">
        <v>2</v>
      </c>
      <c r="D99" t="s">
        <v>63</v>
      </c>
      <c r="E99" t="s">
        <v>312</v>
      </c>
      <c r="F99" s="17">
        <f>Summary!X16</f>
        <v>12000</v>
      </c>
      <c r="G99" t="s">
        <v>311</v>
      </c>
      <c r="H99" t="s">
        <v>323</v>
      </c>
      <c r="I99" t="s">
        <v>248</v>
      </c>
      <c r="K99" s="22" t="s">
        <v>249</v>
      </c>
      <c r="L99" t="s">
        <v>246</v>
      </c>
      <c r="M99" s="184" t="s">
        <v>242</v>
      </c>
      <c r="N99" t="s">
        <v>247</v>
      </c>
      <c r="O99" t="s">
        <v>245</v>
      </c>
    </row>
    <row r="100" spans="2:15" x14ac:dyDescent="0.3">
      <c r="B100" t="s">
        <v>238</v>
      </c>
      <c r="C100" t="s">
        <v>2</v>
      </c>
      <c r="D100" t="s">
        <v>64</v>
      </c>
      <c r="E100" t="s">
        <v>312</v>
      </c>
      <c r="F100" s="17">
        <f>Summary!X17</f>
        <v>18000</v>
      </c>
      <c r="G100" t="s">
        <v>311</v>
      </c>
      <c r="H100" t="s">
        <v>323</v>
      </c>
      <c r="I100" t="s">
        <v>248</v>
      </c>
      <c r="K100" s="22" t="s">
        <v>249</v>
      </c>
      <c r="L100" t="s">
        <v>246</v>
      </c>
      <c r="M100" s="184" t="s">
        <v>242</v>
      </c>
      <c r="N100" t="s">
        <v>247</v>
      </c>
      <c r="O100" t="s">
        <v>245</v>
      </c>
    </row>
    <row r="101" spans="2:15" x14ac:dyDescent="0.3">
      <c r="B101" t="s">
        <v>238</v>
      </c>
      <c r="C101" t="s">
        <v>2</v>
      </c>
      <c r="D101" s="181" t="s">
        <v>31</v>
      </c>
      <c r="E101" t="s">
        <v>312</v>
      </c>
      <c r="F101" s="17">
        <f>Summary!X18</f>
        <v>13000</v>
      </c>
      <c r="G101" t="s">
        <v>311</v>
      </c>
      <c r="H101" t="s">
        <v>323</v>
      </c>
      <c r="I101" t="s">
        <v>248</v>
      </c>
      <c r="K101" s="22" t="s">
        <v>249</v>
      </c>
      <c r="L101" t="s">
        <v>246</v>
      </c>
      <c r="M101" s="184" t="s">
        <v>242</v>
      </c>
      <c r="N101" t="s">
        <v>247</v>
      </c>
      <c r="O101" t="s">
        <v>245</v>
      </c>
    </row>
    <row r="102" spans="2:15" x14ac:dyDescent="0.3">
      <c r="B102" t="s">
        <v>238</v>
      </c>
      <c r="C102" t="s">
        <v>2</v>
      </c>
      <c r="D102" s="181" t="s">
        <v>32</v>
      </c>
      <c r="E102" t="s">
        <v>312</v>
      </c>
      <c r="F102" s="17">
        <f>Summary!X19</f>
        <v>14000</v>
      </c>
      <c r="G102" t="s">
        <v>311</v>
      </c>
      <c r="H102" t="s">
        <v>323</v>
      </c>
      <c r="I102" t="s">
        <v>248</v>
      </c>
      <c r="K102" s="22" t="s">
        <v>249</v>
      </c>
      <c r="L102" t="s">
        <v>246</v>
      </c>
      <c r="M102" s="184" t="s">
        <v>242</v>
      </c>
      <c r="N102" t="s">
        <v>247</v>
      </c>
      <c r="O102" t="s">
        <v>245</v>
      </c>
    </row>
    <row r="103" spans="2:15" x14ac:dyDescent="0.3">
      <c r="B103" t="s">
        <v>238</v>
      </c>
      <c r="C103" t="s">
        <v>2</v>
      </c>
      <c r="D103" s="181" t="s">
        <v>33</v>
      </c>
      <c r="E103" t="s">
        <v>312</v>
      </c>
      <c r="F103" s="17">
        <f>Summary!X20</f>
        <v>22000</v>
      </c>
      <c r="G103" t="s">
        <v>311</v>
      </c>
      <c r="H103" t="s">
        <v>323</v>
      </c>
      <c r="I103" t="s">
        <v>248</v>
      </c>
      <c r="K103" s="22" t="s">
        <v>249</v>
      </c>
      <c r="L103" t="s">
        <v>246</v>
      </c>
      <c r="M103" s="184" t="s">
        <v>242</v>
      </c>
      <c r="N103" t="s">
        <v>247</v>
      </c>
      <c r="O103" t="s">
        <v>245</v>
      </c>
    </row>
    <row r="104" spans="2:15" x14ac:dyDescent="0.3">
      <c r="B104" t="s">
        <v>238</v>
      </c>
      <c r="C104" t="s">
        <v>2</v>
      </c>
      <c r="D104" s="181" t="s">
        <v>65</v>
      </c>
      <c r="E104" t="s">
        <v>312</v>
      </c>
      <c r="F104" s="17">
        <f>Summary!X21</f>
        <v>3000</v>
      </c>
      <c r="G104" t="s">
        <v>311</v>
      </c>
      <c r="H104" t="s">
        <v>323</v>
      </c>
      <c r="I104" t="s">
        <v>248</v>
      </c>
      <c r="K104" s="22" t="s">
        <v>249</v>
      </c>
      <c r="L104" t="s">
        <v>246</v>
      </c>
      <c r="M104" s="184" t="s">
        <v>242</v>
      </c>
      <c r="N104" t="s">
        <v>247</v>
      </c>
      <c r="O104" t="s">
        <v>245</v>
      </c>
    </row>
    <row r="105" spans="2:15" x14ac:dyDescent="0.3">
      <c r="B105" t="s">
        <v>238</v>
      </c>
      <c r="C105" t="s">
        <v>2</v>
      </c>
      <c r="D105" s="181" t="s">
        <v>34</v>
      </c>
      <c r="E105" t="s">
        <v>312</v>
      </c>
      <c r="F105" s="17">
        <f>Summary!X22</f>
        <v>36000</v>
      </c>
      <c r="G105" t="s">
        <v>311</v>
      </c>
      <c r="H105" t="s">
        <v>323</v>
      </c>
      <c r="I105" t="s">
        <v>248</v>
      </c>
      <c r="K105" s="22" t="s">
        <v>249</v>
      </c>
      <c r="L105" t="s">
        <v>246</v>
      </c>
      <c r="M105" s="184" t="s">
        <v>242</v>
      </c>
      <c r="N105" t="s">
        <v>247</v>
      </c>
      <c r="O105" t="s">
        <v>245</v>
      </c>
    </row>
    <row r="106" spans="2:15" x14ac:dyDescent="0.3">
      <c r="B106" t="s">
        <v>238</v>
      </c>
      <c r="C106" t="s">
        <v>2</v>
      </c>
      <c r="D106" s="181" t="s">
        <v>35</v>
      </c>
      <c r="E106" t="s">
        <v>312</v>
      </c>
      <c r="F106" s="17">
        <f>Summary!X23</f>
        <v>31000</v>
      </c>
      <c r="G106" t="s">
        <v>311</v>
      </c>
      <c r="H106" t="s">
        <v>323</v>
      </c>
      <c r="I106" t="s">
        <v>248</v>
      </c>
      <c r="K106" s="22" t="s">
        <v>249</v>
      </c>
      <c r="L106" t="s">
        <v>246</v>
      </c>
      <c r="M106" s="184" t="s">
        <v>242</v>
      </c>
      <c r="N106" t="s">
        <v>247</v>
      </c>
      <c r="O106" t="s">
        <v>245</v>
      </c>
    </row>
    <row r="107" spans="2:15" x14ac:dyDescent="0.3">
      <c r="B107" t="s">
        <v>238</v>
      </c>
      <c r="C107" t="s">
        <v>2</v>
      </c>
      <c r="D107" s="181" t="s">
        <v>36</v>
      </c>
      <c r="E107" t="s">
        <v>312</v>
      </c>
      <c r="F107" s="17">
        <f>Summary!X24</f>
        <v>38000</v>
      </c>
      <c r="G107" t="s">
        <v>311</v>
      </c>
      <c r="H107" t="s">
        <v>323</v>
      </c>
      <c r="I107" t="s">
        <v>248</v>
      </c>
      <c r="K107" s="22" t="s">
        <v>249</v>
      </c>
      <c r="L107" t="s">
        <v>246</v>
      </c>
      <c r="M107" s="184" t="s">
        <v>242</v>
      </c>
      <c r="N107" t="s">
        <v>247</v>
      </c>
      <c r="O107" t="s">
        <v>245</v>
      </c>
    </row>
    <row r="108" spans="2:15" x14ac:dyDescent="0.3">
      <c r="B108" t="s">
        <v>238</v>
      </c>
      <c r="C108" t="s">
        <v>2</v>
      </c>
      <c r="D108" s="181" t="s">
        <v>66</v>
      </c>
      <c r="E108" t="s">
        <v>312</v>
      </c>
      <c r="F108" s="17">
        <f>Summary!X25</f>
        <v>0</v>
      </c>
      <c r="G108" t="s">
        <v>311</v>
      </c>
      <c r="H108" t="s">
        <v>323</v>
      </c>
      <c r="I108" t="s">
        <v>248</v>
      </c>
      <c r="K108" s="22" t="s">
        <v>249</v>
      </c>
      <c r="L108" t="s">
        <v>246</v>
      </c>
      <c r="M108" s="184" t="s">
        <v>242</v>
      </c>
      <c r="N108" t="s">
        <v>247</v>
      </c>
      <c r="O108" t="s">
        <v>245</v>
      </c>
    </row>
    <row r="109" spans="2:15" x14ac:dyDescent="0.3">
      <c r="B109" t="s">
        <v>238</v>
      </c>
      <c r="C109" t="s">
        <v>2</v>
      </c>
      <c r="D109" t="s">
        <v>37</v>
      </c>
      <c r="E109" t="s">
        <v>312</v>
      </c>
      <c r="F109" s="17">
        <f>Summary!X26</f>
        <v>14000</v>
      </c>
      <c r="G109" t="s">
        <v>311</v>
      </c>
      <c r="H109" t="s">
        <v>323</v>
      </c>
      <c r="I109" t="s">
        <v>248</v>
      </c>
      <c r="K109" s="22" t="s">
        <v>249</v>
      </c>
      <c r="L109" t="s">
        <v>246</v>
      </c>
      <c r="M109" s="184" t="s">
        <v>242</v>
      </c>
      <c r="N109" t="s">
        <v>247</v>
      </c>
      <c r="O109" t="s">
        <v>245</v>
      </c>
    </row>
    <row r="110" spans="2:15" x14ac:dyDescent="0.3">
      <c r="B110" t="s">
        <v>238</v>
      </c>
      <c r="C110" t="s">
        <v>2</v>
      </c>
      <c r="D110" t="s">
        <v>38</v>
      </c>
      <c r="E110" t="s">
        <v>312</v>
      </c>
      <c r="F110" s="17">
        <f>Summary!X27</f>
        <v>15000</v>
      </c>
      <c r="G110" t="s">
        <v>311</v>
      </c>
      <c r="H110" t="s">
        <v>323</v>
      </c>
      <c r="I110" t="s">
        <v>248</v>
      </c>
      <c r="K110" s="22" t="s">
        <v>249</v>
      </c>
      <c r="L110" t="s">
        <v>246</v>
      </c>
      <c r="M110" s="184" t="s">
        <v>242</v>
      </c>
      <c r="N110" t="s">
        <v>247</v>
      </c>
      <c r="O110" t="s">
        <v>245</v>
      </c>
    </row>
    <row r="111" spans="2:15" x14ac:dyDescent="0.3">
      <c r="B111" t="s">
        <v>238</v>
      </c>
      <c r="C111" t="s">
        <v>2</v>
      </c>
      <c r="D111" t="s">
        <v>27</v>
      </c>
      <c r="E111" t="s">
        <v>312</v>
      </c>
      <c r="F111" s="17">
        <f>Summary!X28</f>
        <v>24000</v>
      </c>
      <c r="G111" t="s">
        <v>311</v>
      </c>
      <c r="H111" t="s">
        <v>323</v>
      </c>
      <c r="I111" t="s">
        <v>248</v>
      </c>
      <c r="K111" s="22" t="s">
        <v>249</v>
      </c>
      <c r="L111" t="s">
        <v>246</v>
      </c>
      <c r="M111" s="184" t="s">
        <v>242</v>
      </c>
      <c r="N111" t="s">
        <v>247</v>
      </c>
      <c r="O111" t="s">
        <v>245</v>
      </c>
    </row>
    <row r="112" spans="2:15" x14ac:dyDescent="0.3">
      <c r="B112" t="s">
        <v>238</v>
      </c>
      <c r="C112" t="s">
        <v>2</v>
      </c>
      <c r="D112" t="s">
        <v>39</v>
      </c>
      <c r="E112" t="s">
        <v>312</v>
      </c>
      <c r="F112" s="17">
        <f>Summary!X29</f>
        <v>19000</v>
      </c>
      <c r="G112" t="s">
        <v>311</v>
      </c>
      <c r="H112" t="s">
        <v>323</v>
      </c>
      <c r="I112" t="s">
        <v>248</v>
      </c>
      <c r="K112" s="22" t="s">
        <v>249</v>
      </c>
      <c r="L112" t="s">
        <v>246</v>
      </c>
      <c r="M112" s="184" t="s">
        <v>242</v>
      </c>
      <c r="N112" t="s">
        <v>247</v>
      </c>
      <c r="O112" t="s">
        <v>245</v>
      </c>
    </row>
    <row r="113" spans="2:15" x14ac:dyDescent="0.3">
      <c r="B113" t="s">
        <v>238</v>
      </c>
      <c r="C113" t="s">
        <v>2</v>
      </c>
      <c r="D113" t="s">
        <v>40</v>
      </c>
      <c r="E113" t="s">
        <v>312</v>
      </c>
      <c r="F113" s="17">
        <f>Summary!X30</f>
        <v>11000</v>
      </c>
      <c r="G113" t="s">
        <v>311</v>
      </c>
      <c r="H113" t="s">
        <v>323</v>
      </c>
      <c r="I113" t="s">
        <v>248</v>
      </c>
      <c r="K113" s="22" t="s">
        <v>249</v>
      </c>
      <c r="L113" t="s">
        <v>246</v>
      </c>
      <c r="M113" s="184" t="s">
        <v>242</v>
      </c>
      <c r="N113" t="s">
        <v>247</v>
      </c>
      <c r="O113" t="s">
        <v>245</v>
      </c>
    </row>
    <row r="114" spans="2:15" x14ac:dyDescent="0.3">
      <c r="B114" t="s">
        <v>238</v>
      </c>
      <c r="C114" t="s">
        <v>2</v>
      </c>
      <c r="D114" t="s">
        <v>41</v>
      </c>
      <c r="E114" t="s">
        <v>312</v>
      </c>
      <c r="F114" s="17">
        <f>Summary!X31</f>
        <v>19000</v>
      </c>
      <c r="G114" t="s">
        <v>311</v>
      </c>
      <c r="H114" t="s">
        <v>323</v>
      </c>
      <c r="I114" t="s">
        <v>248</v>
      </c>
      <c r="K114" s="22" t="s">
        <v>249</v>
      </c>
      <c r="L114" t="s">
        <v>246</v>
      </c>
      <c r="M114" s="184" t="s">
        <v>242</v>
      </c>
      <c r="N114" t="s">
        <v>247</v>
      </c>
      <c r="O114" t="s">
        <v>245</v>
      </c>
    </row>
    <row r="115" spans="2:15" x14ac:dyDescent="0.3">
      <c r="B115" t="s">
        <v>238</v>
      </c>
      <c r="C115" t="s">
        <v>2</v>
      </c>
      <c r="D115" t="s">
        <v>42</v>
      </c>
      <c r="E115" t="s">
        <v>312</v>
      </c>
      <c r="F115" s="17">
        <f>Summary!X32</f>
        <v>6000</v>
      </c>
      <c r="G115" t="s">
        <v>311</v>
      </c>
      <c r="H115" t="s">
        <v>323</v>
      </c>
      <c r="I115" t="s">
        <v>248</v>
      </c>
      <c r="K115" s="22" t="s">
        <v>249</v>
      </c>
      <c r="L115" t="s">
        <v>246</v>
      </c>
      <c r="M115" s="184" t="s">
        <v>242</v>
      </c>
      <c r="N115" t="s">
        <v>247</v>
      </c>
      <c r="O115" t="s">
        <v>245</v>
      </c>
    </row>
    <row r="116" spans="2:15" x14ac:dyDescent="0.3">
      <c r="B116" t="s">
        <v>238</v>
      </c>
      <c r="C116" t="s">
        <v>2</v>
      </c>
      <c r="D116" t="s">
        <v>43</v>
      </c>
      <c r="E116" t="s">
        <v>312</v>
      </c>
      <c r="F116" s="17">
        <f>Summary!X33</f>
        <v>8000</v>
      </c>
      <c r="G116" t="s">
        <v>311</v>
      </c>
      <c r="H116" t="s">
        <v>323</v>
      </c>
      <c r="I116" t="s">
        <v>248</v>
      </c>
      <c r="K116" s="22" t="s">
        <v>249</v>
      </c>
      <c r="L116" t="s">
        <v>246</v>
      </c>
      <c r="M116" s="184" t="s">
        <v>242</v>
      </c>
      <c r="N116" t="s">
        <v>247</v>
      </c>
      <c r="O116" t="s">
        <v>245</v>
      </c>
    </row>
    <row r="117" spans="2:15" x14ac:dyDescent="0.3">
      <c r="B117" t="s">
        <v>238</v>
      </c>
      <c r="C117" t="s">
        <v>2</v>
      </c>
      <c r="D117" t="s">
        <v>44</v>
      </c>
      <c r="E117" t="s">
        <v>312</v>
      </c>
      <c r="F117" s="17">
        <f>Summary!X34</f>
        <v>9000</v>
      </c>
      <c r="G117" t="s">
        <v>311</v>
      </c>
      <c r="H117" t="s">
        <v>323</v>
      </c>
      <c r="I117" t="s">
        <v>248</v>
      </c>
      <c r="K117" s="22" t="s">
        <v>249</v>
      </c>
      <c r="L117" t="s">
        <v>246</v>
      </c>
      <c r="M117" s="184" t="s">
        <v>242</v>
      </c>
      <c r="N117" t="s">
        <v>247</v>
      </c>
      <c r="O117" t="s">
        <v>245</v>
      </c>
    </row>
    <row r="118" spans="2:15" x14ac:dyDescent="0.3">
      <c r="B118" t="s">
        <v>238</v>
      </c>
      <c r="C118" t="s">
        <v>2</v>
      </c>
      <c r="D118" t="s">
        <v>45</v>
      </c>
      <c r="E118" t="s">
        <v>312</v>
      </c>
      <c r="F118" s="17">
        <f>Summary!X35</f>
        <v>17000</v>
      </c>
      <c r="G118" t="s">
        <v>311</v>
      </c>
      <c r="H118" t="s">
        <v>323</v>
      </c>
      <c r="I118" t="s">
        <v>248</v>
      </c>
      <c r="K118" s="22" t="s">
        <v>249</v>
      </c>
      <c r="L118" t="s">
        <v>246</v>
      </c>
      <c r="M118" s="184" t="s">
        <v>242</v>
      </c>
      <c r="N118" t="s">
        <v>247</v>
      </c>
      <c r="O118" t="s">
        <v>245</v>
      </c>
    </row>
    <row r="119" spans="2:15" x14ac:dyDescent="0.3">
      <c r="B119" t="s">
        <v>238</v>
      </c>
      <c r="C119" t="s">
        <v>2</v>
      </c>
      <c r="D119" t="s">
        <v>46</v>
      </c>
      <c r="E119" t="s">
        <v>312</v>
      </c>
      <c r="F119" s="17">
        <f>Summary!X36</f>
        <v>4000</v>
      </c>
      <c r="G119" t="s">
        <v>311</v>
      </c>
      <c r="H119" t="s">
        <v>323</v>
      </c>
      <c r="I119" t="s">
        <v>248</v>
      </c>
      <c r="K119" s="22" t="s">
        <v>249</v>
      </c>
      <c r="L119" t="s">
        <v>246</v>
      </c>
      <c r="M119" s="184" t="s">
        <v>242</v>
      </c>
      <c r="N119" t="s">
        <v>247</v>
      </c>
      <c r="O119" t="s">
        <v>245</v>
      </c>
    </row>
    <row r="120" spans="2:15" x14ac:dyDescent="0.3">
      <c r="B120" t="s">
        <v>238</v>
      </c>
      <c r="C120" t="s">
        <v>2</v>
      </c>
      <c r="D120" t="s">
        <v>47</v>
      </c>
      <c r="E120" t="s">
        <v>312</v>
      </c>
      <c r="F120" s="17">
        <f>Summary!X37</f>
        <v>16000</v>
      </c>
      <c r="G120" t="s">
        <v>311</v>
      </c>
      <c r="H120" t="s">
        <v>323</v>
      </c>
      <c r="I120" t="s">
        <v>248</v>
      </c>
      <c r="K120" s="22" t="s">
        <v>249</v>
      </c>
      <c r="L120" t="s">
        <v>246</v>
      </c>
      <c r="M120" s="184" t="s">
        <v>242</v>
      </c>
      <c r="N120" t="s">
        <v>247</v>
      </c>
      <c r="O120" t="s">
        <v>245</v>
      </c>
    </row>
    <row r="121" spans="2:15" x14ac:dyDescent="0.3">
      <c r="B121" t="s">
        <v>238</v>
      </c>
      <c r="C121" t="s">
        <v>2</v>
      </c>
      <c r="D121" t="s">
        <v>48</v>
      </c>
      <c r="E121" t="s">
        <v>312</v>
      </c>
      <c r="F121" s="17">
        <f>Summary!X38</f>
        <v>7000</v>
      </c>
      <c r="G121" t="s">
        <v>311</v>
      </c>
      <c r="H121" t="s">
        <v>323</v>
      </c>
      <c r="I121" t="s">
        <v>248</v>
      </c>
      <c r="K121" s="22" t="s">
        <v>249</v>
      </c>
      <c r="L121" t="s">
        <v>246</v>
      </c>
      <c r="M121" s="184" t="s">
        <v>242</v>
      </c>
      <c r="N121" t="s">
        <v>247</v>
      </c>
      <c r="O121" t="s">
        <v>245</v>
      </c>
    </row>
    <row r="122" spans="2:15" x14ac:dyDescent="0.3">
      <c r="B122" t="s">
        <v>238</v>
      </c>
      <c r="C122" t="s">
        <v>2</v>
      </c>
      <c r="D122" t="s">
        <v>49</v>
      </c>
      <c r="E122" t="s">
        <v>312</v>
      </c>
      <c r="F122" s="17">
        <f>Summary!X39</f>
        <v>6000</v>
      </c>
      <c r="G122" t="s">
        <v>311</v>
      </c>
      <c r="H122" t="s">
        <v>323</v>
      </c>
      <c r="I122" t="s">
        <v>248</v>
      </c>
      <c r="K122" s="22" t="s">
        <v>249</v>
      </c>
      <c r="L122" t="s">
        <v>246</v>
      </c>
      <c r="M122" s="184" t="s">
        <v>242</v>
      </c>
      <c r="N122" t="s">
        <v>247</v>
      </c>
      <c r="O122" t="s">
        <v>245</v>
      </c>
    </row>
    <row r="123" spans="2:15" x14ac:dyDescent="0.3">
      <c r="B123" t="s">
        <v>238</v>
      </c>
      <c r="C123" t="s">
        <v>2</v>
      </c>
      <c r="D123" t="s">
        <v>50</v>
      </c>
      <c r="E123" t="s">
        <v>312</v>
      </c>
      <c r="F123" s="17">
        <f>Summary!X40</f>
        <v>43000</v>
      </c>
      <c r="G123" t="s">
        <v>311</v>
      </c>
      <c r="H123" t="s">
        <v>323</v>
      </c>
      <c r="I123" t="s">
        <v>248</v>
      </c>
      <c r="K123" s="22" t="s">
        <v>249</v>
      </c>
      <c r="L123" t="s">
        <v>246</v>
      </c>
      <c r="M123" s="184" t="s">
        <v>242</v>
      </c>
      <c r="N123" t="s">
        <v>247</v>
      </c>
      <c r="O123" t="s">
        <v>245</v>
      </c>
    </row>
    <row r="124" spans="2:15" x14ac:dyDescent="0.3">
      <c r="B124" t="s">
        <v>238</v>
      </c>
      <c r="C124" t="s">
        <v>2</v>
      </c>
      <c r="D124" t="s">
        <v>69</v>
      </c>
      <c r="E124" t="s">
        <v>312</v>
      </c>
      <c r="F124" s="17">
        <f>Summary!X41</f>
        <v>46000</v>
      </c>
      <c r="G124" t="s">
        <v>311</v>
      </c>
      <c r="H124" t="s">
        <v>323</v>
      </c>
      <c r="I124" t="s">
        <v>248</v>
      </c>
      <c r="K124" s="22" t="s">
        <v>249</v>
      </c>
      <c r="L124" t="s">
        <v>246</v>
      </c>
      <c r="M124" s="184" t="s">
        <v>242</v>
      </c>
      <c r="N124" t="s">
        <v>247</v>
      </c>
      <c r="O124" t="s">
        <v>245</v>
      </c>
    </row>
    <row r="125" spans="2:15" x14ac:dyDescent="0.3">
      <c r="B125" t="s">
        <v>238</v>
      </c>
      <c r="C125" t="s">
        <v>2</v>
      </c>
      <c r="D125" t="s">
        <v>51</v>
      </c>
      <c r="E125" t="s">
        <v>312</v>
      </c>
      <c r="F125" s="17">
        <f>Summary!X42</f>
        <v>35000</v>
      </c>
      <c r="G125" t="s">
        <v>311</v>
      </c>
      <c r="H125" t="s">
        <v>323</v>
      </c>
      <c r="I125" t="s">
        <v>248</v>
      </c>
      <c r="K125" s="22" t="s">
        <v>249</v>
      </c>
      <c r="L125" t="s">
        <v>246</v>
      </c>
      <c r="M125" s="184" t="s">
        <v>242</v>
      </c>
      <c r="N125" t="s">
        <v>247</v>
      </c>
      <c r="O125" t="s">
        <v>245</v>
      </c>
    </row>
    <row r="126" spans="2:15" x14ac:dyDescent="0.3">
      <c r="B126" t="s">
        <v>238</v>
      </c>
      <c r="C126" t="s">
        <v>2</v>
      </c>
      <c r="D126" t="s">
        <v>52</v>
      </c>
      <c r="E126" t="s">
        <v>312</v>
      </c>
      <c r="F126" s="17">
        <f>Summary!X43</f>
        <v>18000</v>
      </c>
      <c r="G126" t="s">
        <v>311</v>
      </c>
      <c r="H126" t="s">
        <v>323</v>
      </c>
      <c r="I126" t="s">
        <v>248</v>
      </c>
      <c r="K126" s="22" t="s">
        <v>249</v>
      </c>
      <c r="L126" t="s">
        <v>246</v>
      </c>
      <c r="M126" s="184" t="s">
        <v>242</v>
      </c>
      <c r="N126" t="s">
        <v>247</v>
      </c>
      <c r="O126" t="s">
        <v>245</v>
      </c>
    </row>
    <row r="127" spans="2:15" x14ac:dyDescent="0.3">
      <c r="B127" t="s">
        <v>238</v>
      </c>
      <c r="C127" t="s">
        <v>2</v>
      </c>
      <c r="D127" t="s">
        <v>24</v>
      </c>
      <c r="E127" t="s">
        <v>312</v>
      </c>
      <c r="F127" s="17">
        <f>Summary!X44</f>
        <v>7000</v>
      </c>
      <c r="G127" t="s">
        <v>311</v>
      </c>
      <c r="H127" t="s">
        <v>323</v>
      </c>
      <c r="I127" t="s">
        <v>248</v>
      </c>
      <c r="K127" s="22" t="s">
        <v>249</v>
      </c>
      <c r="L127" t="s">
        <v>246</v>
      </c>
      <c r="M127" s="184" t="s">
        <v>242</v>
      </c>
      <c r="N127" t="s">
        <v>247</v>
      </c>
      <c r="O127" t="s">
        <v>245</v>
      </c>
    </row>
    <row r="128" spans="2:15" x14ac:dyDescent="0.3">
      <c r="B128" t="s">
        <v>238</v>
      </c>
      <c r="C128" t="s">
        <v>2</v>
      </c>
      <c r="D128" t="s">
        <v>53</v>
      </c>
      <c r="E128" t="s">
        <v>312</v>
      </c>
      <c r="F128" s="17">
        <f>Summary!X45</f>
        <v>9000</v>
      </c>
      <c r="G128" t="s">
        <v>311</v>
      </c>
      <c r="H128" t="s">
        <v>323</v>
      </c>
      <c r="I128" t="s">
        <v>248</v>
      </c>
      <c r="K128" s="22" t="s">
        <v>249</v>
      </c>
      <c r="L128" t="s">
        <v>246</v>
      </c>
      <c r="M128" s="184" t="s">
        <v>242</v>
      </c>
      <c r="N128" t="s">
        <v>247</v>
      </c>
      <c r="O128" t="s">
        <v>245</v>
      </c>
    </row>
    <row r="129" spans="2:15" x14ac:dyDescent="0.3">
      <c r="B129" t="s">
        <v>238</v>
      </c>
      <c r="C129" t="s">
        <v>2</v>
      </c>
      <c r="D129" t="s">
        <v>54</v>
      </c>
      <c r="E129" t="s">
        <v>312</v>
      </c>
      <c r="F129" s="17">
        <f>Summary!X46</f>
        <v>22000</v>
      </c>
      <c r="G129" t="s">
        <v>311</v>
      </c>
      <c r="H129" t="s">
        <v>323</v>
      </c>
      <c r="I129" t="s">
        <v>248</v>
      </c>
      <c r="K129" s="22" t="s">
        <v>249</v>
      </c>
      <c r="L129" t="s">
        <v>246</v>
      </c>
      <c r="M129" s="184" t="s">
        <v>242</v>
      </c>
      <c r="N129" t="s">
        <v>247</v>
      </c>
      <c r="O129" t="s">
        <v>245</v>
      </c>
    </row>
    <row r="130" spans="2:15" s="23" customFormat="1" x14ac:dyDescent="0.3">
      <c r="B130" s="23" t="s">
        <v>238</v>
      </c>
      <c r="C130" s="23" t="s">
        <v>2</v>
      </c>
      <c r="D130" s="23" t="s">
        <v>67</v>
      </c>
      <c r="E130" s="23" t="s">
        <v>312</v>
      </c>
      <c r="F130" s="179" t="str">
        <f>Summary!X47</f>
        <v>na</v>
      </c>
      <c r="G130" s="23" t="s">
        <v>311</v>
      </c>
      <c r="H130" s="23" t="s">
        <v>323</v>
      </c>
      <c r="I130" s="23" t="s">
        <v>248</v>
      </c>
      <c r="J130" s="183"/>
      <c r="K130" s="183" t="s">
        <v>249</v>
      </c>
      <c r="L130" s="23" t="s">
        <v>246</v>
      </c>
      <c r="M130" s="217" t="s">
        <v>242</v>
      </c>
      <c r="N130" s="23" t="s">
        <v>244</v>
      </c>
      <c r="O130" s="23" t="s">
        <v>245</v>
      </c>
    </row>
    <row r="131" spans="2:15" x14ac:dyDescent="0.3">
      <c r="B131" t="s">
        <v>238</v>
      </c>
      <c r="C131" t="s">
        <v>2</v>
      </c>
      <c r="D131" s="25" t="s">
        <v>23</v>
      </c>
      <c r="E131" t="s">
        <v>155</v>
      </c>
      <c r="F131" s="17">
        <f>Summary!Y5</f>
        <v>750</v>
      </c>
      <c r="G131" t="s">
        <v>311</v>
      </c>
      <c r="H131" t="s">
        <v>290</v>
      </c>
      <c r="I131" t="s">
        <v>250</v>
      </c>
      <c r="J131" s="22" t="s">
        <v>249</v>
      </c>
      <c r="K131" s="22" t="s">
        <v>260</v>
      </c>
      <c r="L131" t="s">
        <v>251</v>
      </c>
      <c r="M131" s="184" t="s">
        <v>252</v>
      </c>
    </row>
    <row r="132" spans="2:15" x14ac:dyDescent="0.3">
      <c r="B132" t="s">
        <v>238</v>
      </c>
      <c r="C132" t="s">
        <v>2</v>
      </c>
      <c r="D132" t="s">
        <v>55</v>
      </c>
      <c r="E132" t="s">
        <v>155</v>
      </c>
      <c r="F132" s="17">
        <f>Summary!Y6</f>
        <v>500</v>
      </c>
      <c r="G132" t="s">
        <v>311</v>
      </c>
      <c r="H132" t="s">
        <v>290</v>
      </c>
      <c r="I132" t="s">
        <v>250</v>
      </c>
      <c r="J132" s="22" t="s">
        <v>249</v>
      </c>
      <c r="K132" s="22" t="s">
        <v>260</v>
      </c>
      <c r="L132" t="s">
        <v>251</v>
      </c>
      <c r="M132" s="184" t="s">
        <v>252</v>
      </c>
    </row>
    <row r="133" spans="2:15" x14ac:dyDescent="0.3">
      <c r="B133" t="s">
        <v>238</v>
      </c>
      <c r="C133" t="s">
        <v>2</v>
      </c>
      <c r="D133" t="s">
        <v>56</v>
      </c>
      <c r="E133" t="s">
        <v>155</v>
      </c>
      <c r="F133" s="17">
        <f>Summary!Y7</f>
        <v>500</v>
      </c>
      <c r="G133" t="s">
        <v>311</v>
      </c>
      <c r="H133" t="s">
        <v>290</v>
      </c>
      <c r="I133" t="s">
        <v>250</v>
      </c>
      <c r="J133" s="22" t="s">
        <v>249</v>
      </c>
      <c r="K133" s="22" t="s">
        <v>260</v>
      </c>
      <c r="L133" t="s">
        <v>253</v>
      </c>
    </row>
    <row r="134" spans="2:15" x14ac:dyDescent="0.3">
      <c r="B134" t="s">
        <v>238</v>
      </c>
      <c r="C134" t="s">
        <v>2</v>
      </c>
      <c r="D134" t="s">
        <v>57</v>
      </c>
      <c r="E134" t="s">
        <v>155</v>
      </c>
      <c r="F134" s="17">
        <f>Summary!Y8</f>
        <v>750</v>
      </c>
      <c r="G134" t="s">
        <v>311</v>
      </c>
      <c r="H134" t="s">
        <v>290</v>
      </c>
      <c r="I134" t="s">
        <v>250</v>
      </c>
      <c r="J134" s="22" t="s">
        <v>249</v>
      </c>
      <c r="K134" s="22" t="s">
        <v>260</v>
      </c>
      <c r="L134" t="s">
        <v>253</v>
      </c>
    </row>
    <row r="135" spans="2:15" x14ac:dyDescent="0.3">
      <c r="B135" t="s">
        <v>238</v>
      </c>
      <c r="C135" t="s">
        <v>2</v>
      </c>
      <c r="D135" t="s">
        <v>58</v>
      </c>
      <c r="E135" t="s">
        <v>155</v>
      </c>
      <c r="F135" s="17">
        <f>Summary!Y9</f>
        <v>500</v>
      </c>
      <c r="G135" t="s">
        <v>311</v>
      </c>
      <c r="H135" t="s">
        <v>290</v>
      </c>
      <c r="I135" t="s">
        <v>250</v>
      </c>
      <c r="J135" s="22" t="s">
        <v>249</v>
      </c>
      <c r="K135" s="22" t="s">
        <v>260</v>
      </c>
      <c r="L135" t="s">
        <v>253</v>
      </c>
    </row>
    <row r="136" spans="2:15" x14ac:dyDescent="0.3">
      <c r="B136" t="s">
        <v>238</v>
      </c>
      <c r="C136" t="s">
        <v>2</v>
      </c>
      <c r="D136" t="s">
        <v>59</v>
      </c>
      <c r="E136" t="s">
        <v>155</v>
      </c>
      <c r="F136" s="17">
        <f>Summary!Y10</f>
        <v>1000</v>
      </c>
      <c r="G136" t="s">
        <v>311</v>
      </c>
      <c r="H136" t="s">
        <v>290</v>
      </c>
      <c r="I136" t="s">
        <v>250</v>
      </c>
      <c r="J136" s="22" t="s">
        <v>249</v>
      </c>
      <c r="K136" s="22" t="s">
        <v>260</v>
      </c>
      <c r="L136" t="s">
        <v>253</v>
      </c>
    </row>
    <row r="137" spans="2:15" x14ac:dyDescent="0.3">
      <c r="B137" t="s">
        <v>238</v>
      </c>
      <c r="C137" t="s">
        <v>2</v>
      </c>
      <c r="D137" t="s">
        <v>70</v>
      </c>
      <c r="E137" t="s">
        <v>155</v>
      </c>
      <c r="F137" s="17">
        <f>Summary!Y11</f>
        <v>1000</v>
      </c>
      <c r="G137" t="s">
        <v>311</v>
      </c>
      <c r="H137" t="s">
        <v>290</v>
      </c>
      <c r="J137" s="22" t="s">
        <v>249</v>
      </c>
      <c r="L137" t="s">
        <v>253</v>
      </c>
      <c r="N137" t="s">
        <v>305</v>
      </c>
    </row>
    <row r="138" spans="2:15" x14ac:dyDescent="0.3">
      <c r="B138" t="s">
        <v>238</v>
      </c>
      <c r="C138" t="s">
        <v>2</v>
      </c>
      <c r="D138" t="s">
        <v>71</v>
      </c>
      <c r="E138" t="s">
        <v>155</v>
      </c>
      <c r="F138" s="17">
        <f>Summary!Y12</f>
        <v>750</v>
      </c>
      <c r="G138" t="s">
        <v>311</v>
      </c>
      <c r="H138" t="s">
        <v>290</v>
      </c>
      <c r="J138" s="22" t="s">
        <v>249</v>
      </c>
      <c r="L138" t="s">
        <v>253</v>
      </c>
      <c r="N138" t="s">
        <v>305</v>
      </c>
    </row>
    <row r="139" spans="2:15" x14ac:dyDescent="0.3">
      <c r="B139" t="s">
        <v>238</v>
      </c>
      <c r="C139" t="s">
        <v>2</v>
      </c>
      <c r="D139" t="s">
        <v>60</v>
      </c>
      <c r="E139" t="s">
        <v>155</v>
      </c>
      <c r="F139" s="17">
        <f>Summary!Y13</f>
        <v>500</v>
      </c>
      <c r="G139" t="s">
        <v>311</v>
      </c>
      <c r="H139" t="s">
        <v>290</v>
      </c>
      <c r="I139" t="s">
        <v>250</v>
      </c>
      <c r="J139" s="22" t="s">
        <v>249</v>
      </c>
      <c r="K139" s="22" t="s">
        <v>260</v>
      </c>
      <c r="L139" t="s">
        <v>253</v>
      </c>
    </row>
    <row r="140" spans="2:15" x14ac:dyDescent="0.3">
      <c r="B140" t="s">
        <v>238</v>
      </c>
      <c r="C140" t="s">
        <v>2</v>
      </c>
      <c r="D140" t="s">
        <v>61</v>
      </c>
      <c r="E140" t="s">
        <v>155</v>
      </c>
      <c r="F140" s="17">
        <f>Summary!Y14</f>
        <v>1000</v>
      </c>
      <c r="G140" t="s">
        <v>311</v>
      </c>
      <c r="H140" t="s">
        <v>290</v>
      </c>
      <c r="I140" t="s">
        <v>250</v>
      </c>
      <c r="J140" s="22" t="s">
        <v>249</v>
      </c>
      <c r="K140" s="22" t="s">
        <v>260</v>
      </c>
      <c r="L140" t="s">
        <v>253</v>
      </c>
    </row>
    <row r="141" spans="2:15" x14ac:dyDescent="0.3">
      <c r="B141" t="s">
        <v>238</v>
      </c>
      <c r="C141" t="s">
        <v>2</v>
      </c>
      <c r="D141" t="s">
        <v>62</v>
      </c>
      <c r="E141" t="s">
        <v>155</v>
      </c>
      <c r="F141" s="17">
        <f>Summary!Y15</f>
        <v>500</v>
      </c>
      <c r="G141" t="s">
        <v>311</v>
      </c>
      <c r="H141" t="s">
        <v>290</v>
      </c>
      <c r="I141" t="s">
        <v>250</v>
      </c>
      <c r="J141" s="22" t="s">
        <v>249</v>
      </c>
      <c r="K141" s="22" t="s">
        <v>260</v>
      </c>
      <c r="L141" t="s">
        <v>253</v>
      </c>
    </row>
    <row r="142" spans="2:15" x14ac:dyDescent="0.3">
      <c r="B142" t="s">
        <v>238</v>
      </c>
      <c r="C142" t="s">
        <v>2</v>
      </c>
      <c r="D142" t="s">
        <v>63</v>
      </c>
      <c r="E142" t="s">
        <v>155</v>
      </c>
      <c r="F142" s="17">
        <f>Summary!Y16</f>
        <v>750</v>
      </c>
      <c r="G142" t="s">
        <v>311</v>
      </c>
      <c r="H142" t="s">
        <v>290</v>
      </c>
      <c r="I142" t="s">
        <v>250</v>
      </c>
      <c r="J142" s="22" t="s">
        <v>249</v>
      </c>
      <c r="K142" s="22" t="s">
        <v>260</v>
      </c>
      <c r="L142" t="s">
        <v>253</v>
      </c>
    </row>
    <row r="143" spans="2:15" x14ac:dyDescent="0.3">
      <c r="B143" t="s">
        <v>238</v>
      </c>
      <c r="C143" t="s">
        <v>2</v>
      </c>
      <c r="D143" t="s">
        <v>64</v>
      </c>
      <c r="E143" t="s">
        <v>155</v>
      </c>
      <c r="F143" s="17">
        <f>Summary!Y17</f>
        <v>1000</v>
      </c>
      <c r="G143" t="s">
        <v>311</v>
      </c>
      <c r="H143" t="s">
        <v>290</v>
      </c>
      <c r="I143" t="s">
        <v>250</v>
      </c>
      <c r="J143" s="22" t="s">
        <v>249</v>
      </c>
      <c r="K143" s="22" t="s">
        <v>260</v>
      </c>
      <c r="L143" t="s">
        <v>253</v>
      </c>
    </row>
    <row r="144" spans="2:15" x14ac:dyDescent="0.3">
      <c r="B144" t="s">
        <v>238</v>
      </c>
      <c r="C144" t="s">
        <v>2</v>
      </c>
      <c r="D144" s="181" t="s">
        <v>31</v>
      </c>
      <c r="E144" t="s">
        <v>155</v>
      </c>
      <c r="F144" s="17">
        <f>Summary!Y18</f>
        <v>750</v>
      </c>
      <c r="G144" t="s">
        <v>311</v>
      </c>
      <c r="H144" t="s">
        <v>290</v>
      </c>
      <c r="I144" t="s">
        <v>250</v>
      </c>
      <c r="J144" s="22" t="s">
        <v>249</v>
      </c>
      <c r="K144" s="22" t="s">
        <v>260</v>
      </c>
      <c r="L144" t="s">
        <v>253</v>
      </c>
    </row>
    <row r="145" spans="2:13" x14ac:dyDescent="0.3">
      <c r="B145" t="s">
        <v>238</v>
      </c>
      <c r="C145" t="s">
        <v>2</v>
      </c>
      <c r="D145" s="181" t="s">
        <v>32</v>
      </c>
      <c r="E145" t="s">
        <v>155</v>
      </c>
      <c r="F145" s="17">
        <f>Summary!Y19</f>
        <v>750</v>
      </c>
      <c r="G145" t="s">
        <v>311</v>
      </c>
      <c r="H145" t="s">
        <v>290</v>
      </c>
      <c r="I145" t="s">
        <v>250</v>
      </c>
      <c r="J145" s="22" t="s">
        <v>249</v>
      </c>
      <c r="K145" s="22" t="s">
        <v>260</v>
      </c>
      <c r="L145" t="s">
        <v>251</v>
      </c>
      <c r="M145" s="184" t="s">
        <v>252</v>
      </c>
    </row>
    <row r="146" spans="2:13" x14ac:dyDescent="0.3">
      <c r="B146" t="s">
        <v>238</v>
      </c>
      <c r="C146" t="s">
        <v>2</v>
      </c>
      <c r="D146" s="181" t="s">
        <v>33</v>
      </c>
      <c r="E146" t="s">
        <v>155</v>
      </c>
      <c r="F146" s="17">
        <f>Summary!Y20</f>
        <v>750</v>
      </c>
      <c r="G146" t="s">
        <v>311</v>
      </c>
      <c r="H146" t="s">
        <v>290</v>
      </c>
      <c r="I146" t="s">
        <v>250</v>
      </c>
      <c r="J146" s="22" t="s">
        <v>249</v>
      </c>
      <c r="K146" s="22" t="s">
        <v>260</v>
      </c>
      <c r="L146" t="s">
        <v>251</v>
      </c>
      <c r="M146" s="184" t="s">
        <v>252</v>
      </c>
    </row>
    <row r="147" spans="2:13" x14ac:dyDescent="0.3">
      <c r="B147" t="s">
        <v>238</v>
      </c>
      <c r="C147" t="s">
        <v>2</v>
      </c>
      <c r="D147" s="181" t="s">
        <v>65</v>
      </c>
      <c r="E147" t="s">
        <v>155</v>
      </c>
      <c r="F147" s="17">
        <f>Summary!Y21</f>
        <v>500</v>
      </c>
      <c r="G147" t="s">
        <v>311</v>
      </c>
      <c r="H147" t="s">
        <v>290</v>
      </c>
      <c r="I147" t="s">
        <v>250</v>
      </c>
      <c r="J147" s="22" t="s">
        <v>249</v>
      </c>
      <c r="K147" s="22" t="s">
        <v>260</v>
      </c>
      <c r="L147" t="s">
        <v>251</v>
      </c>
      <c r="M147" s="184" t="s">
        <v>252</v>
      </c>
    </row>
    <row r="148" spans="2:13" x14ac:dyDescent="0.3">
      <c r="B148" t="s">
        <v>238</v>
      </c>
      <c r="C148" t="s">
        <v>2</v>
      </c>
      <c r="D148" s="181" t="s">
        <v>34</v>
      </c>
      <c r="E148" t="s">
        <v>155</v>
      </c>
      <c r="F148" s="17">
        <f>Summary!Y22</f>
        <v>1000</v>
      </c>
      <c r="G148" t="s">
        <v>311</v>
      </c>
      <c r="H148" t="s">
        <v>290</v>
      </c>
      <c r="I148" t="s">
        <v>250</v>
      </c>
      <c r="J148" s="22" t="s">
        <v>249</v>
      </c>
      <c r="K148" s="22" t="s">
        <v>260</v>
      </c>
      <c r="L148" t="s">
        <v>251</v>
      </c>
      <c r="M148" s="184" t="s">
        <v>252</v>
      </c>
    </row>
    <row r="149" spans="2:13" x14ac:dyDescent="0.3">
      <c r="B149" t="s">
        <v>238</v>
      </c>
      <c r="C149" t="s">
        <v>2</v>
      </c>
      <c r="D149" s="181" t="s">
        <v>35</v>
      </c>
      <c r="E149" t="s">
        <v>155</v>
      </c>
      <c r="F149" s="17">
        <f>Summary!Y23</f>
        <v>1000</v>
      </c>
      <c r="G149" t="s">
        <v>311</v>
      </c>
      <c r="H149" t="s">
        <v>290</v>
      </c>
      <c r="I149" t="s">
        <v>250</v>
      </c>
      <c r="J149" s="22" t="s">
        <v>249</v>
      </c>
      <c r="K149" s="22" t="s">
        <v>260</v>
      </c>
      <c r="L149" t="s">
        <v>251</v>
      </c>
      <c r="M149" s="184" t="s">
        <v>252</v>
      </c>
    </row>
    <row r="150" spans="2:13" x14ac:dyDescent="0.3">
      <c r="B150" t="s">
        <v>238</v>
      </c>
      <c r="C150" t="s">
        <v>2</v>
      </c>
      <c r="D150" s="181" t="s">
        <v>36</v>
      </c>
      <c r="E150" t="s">
        <v>155</v>
      </c>
      <c r="F150" s="17">
        <f>Summary!Y24</f>
        <v>750</v>
      </c>
      <c r="G150" t="s">
        <v>311</v>
      </c>
      <c r="H150" t="s">
        <v>290</v>
      </c>
      <c r="I150" t="s">
        <v>250</v>
      </c>
      <c r="J150" s="22" t="s">
        <v>249</v>
      </c>
      <c r="K150" s="22" t="s">
        <v>260</v>
      </c>
      <c r="L150" t="s">
        <v>251</v>
      </c>
      <c r="M150" s="184" t="s">
        <v>252</v>
      </c>
    </row>
    <row r="151" spans="2:13" x14ac:dyDescent="0.3">
      <c r="B151" t="s">
        <v>238</v>
      </c>
      <c r="C151" t="s">
        <v>2</v>
      </c>
      <c r="D151" s="181" t="s">
        <v>66</v>
      </c>
      <c r="E151" t="s">
        <v>155</v>
      </c>
      <c r="F151" s="17">
        <f>Summary!Y25</f>
        <v>500</v>
      </c>
      <c r="G151" t="s">
        <v>311</v>
      </c>
      <c r="H151" t="s">
        <v>290</v>
      </c>
      <c r="I151" t="s">
        <v>250</v>
      </c>
      <c r="J151" s="22" t="s">
        <v>249</v>
      </c>
      <c r="K151" s="22" t="s">
        <v>260</v>
      </c>
      <c r="L151" t="s">
        <v>251</v>
      </c>
      <c r="M151" s="184" t="s">
        <v>252</v>
      </c>
    </row>
    <row r="152" spans="2:13" x14ac:dyDescent="0.3">
      <c r="B152" t="s">
        <v>238</v>
      </c>
      <c r="C152" t="s">
        <v>2</v>
      </c>
      <c r="D152" t="s">
        <v>37</v>
      </c>
      <c r="E152" t="s">
        <v>155</v>
      </c>
      <c r="F152" s="17">
        <f>Summary!Y26</f>
        <v>500</v>
      </c>
      <c r="G152" t="s">
        <v>311</v>
      </c>
      <c r="H152" t="s">
        <v>290</v>
      </c>
      <c r="I152" t="s">
        <v>250</v>
      </c>
      <c r="J152" s="22" t="s">
        <v>249</v>
      </c>
      <c r="K152" s="22" t="s">
        <v>260</v>
      </c>
      <c r="L152" t="s">
        <v>251</v>
      </c>
      <c r="M152" s="184" t="s">
        <v>252</v>
      </c>
    </row>
    <row r="153" spans="2:13" x14ac:dyDescent="0.3">
      <c r="B153" t="s">
        <v>238</v>
      </c>
      <c r="C153" t="s">
        <v>2</v>
      </c>
      <c r="D153" t="s">
        <v>38</v>
      </c>
      <c r="E153" t="s">
        <v>155</v>
      </c>
      <c r="F153" s="17">
        <f>Summary!Y27</f>
        <v>750</v>
      </c>
      <c r="G153" t="s">
        <v>311</v>
      </c>
      <c r="H153" t="s">
        <v>290</v>
      </c>
      <c r="I153" t="s">
        <v>250</v>
      </c>
      <c r="J153" s="22" t="s">
        <v>249</v>
      </c>
      <c r="K153" s="22" t="s">
        <v>260</v>
      </c>
      <c r="L153" t="s">
        <v>251</v>
      </c>
      <c r="M153" s="184" t="s">
        <v>252</v>
      </c>
    </row>
    <row r="154" spans="2:13" x14ac:dyDescent="0.3">
      <c r="B154" t="s">
        <v>238</v>
      </c>
      <c r="C154" t="s">
        <v>2</v>
      </c>
      <c r="D154" t="s">
        <v>27</v>
      </c>
      <c r="E154" t="s">
        <v>155</v>
      </c>
      <c r="F154" s="17">
        <f>Summary!Y28</f>
        <v>1000</v>
      </c>
      <c r="G154" t="s">
        <v>311</v>
      </c>
      <c r="H154" t="s">
        <v>290</v>
      </c>
      <c r="I154" t="s">
        <v>250</v>
      </c>
      <c r="J154" s="22" t="s">
        <v>249</v>
      </c>
      <c r="K154" s="22" t="s">
        <v>260</v>
      </c>
      <c r="L154" t="s">
        <v>251</v>
      </c>
      <c r="M154" s="184" t="s">
        <v>252</v>
      </c>
    </row>
    <row r="155" spans="2:13" x14ac:dyDescent="0.3">
      <c r="B155" t="s">
        <v>238</v>
      </c>
      <c r="C155" t="s">
        <v>2</v>
      </c>
      <c r="D155" t="s">
        <v>39</v>
      </c>
      <c r="E155" t="s">
        <v>155</v>
      </c>
      <c r="F155" s="17">
        <f>Summary!Y29</f>
        <v>1000</v>
      </c>
      <c r="G155" t="s">
        <v>311</v>
      </c>
      <c r="H155" t="s">
        <v>290</v>
      </c>
      <c r="I155" t="s">
        <v>250</v>
      </c>
      <c r="J155" s="22" t="s">
        <v>249</v>
      </c>
      <c r="K155" s="22" t="s">
        <v>260</v>
      </c>
      <c r="L155" t="s">
        <v>251</v>
      </c>
      <c r="M155" s="184" t="s">
        <v>252</v>
      </c>
    </row>
    <row r="156" spans="2:13" x14ac:dyDescent="0.3">
      <c r="B156" t="s">
        <v>238</v>
      </c>
      <c r="C156" t="s">
        <v>2</v>
      </c>
      <c r="D156" t="s">
        <v>40</v>
      </c>
      <c r="E156" t="s">
        <v>155</v>
      </c>
      <c r="F156" s="17">
        <f>Summary!Y30</f>
        <v>500</v>
      </c>
      <c r="G156" t="s">
        <v>311</v>
      </c>
      <c r="H156" t="s">
        <v>290</v>
      </c>
      <c r="I156" t="s">
        <v>250</v>
      </c>
      <c r="J156" s="22" t="s">
        <v>249</v>
      </c>
      <c r="K156" s="22" t="s">
        <v>260</v>
      </c>
      <c r="L156" t="s">
        <v>251</v>
      </c>
      <c r="M156" s="184" t="s">
        <v>252</v>
      </c>
    </row>
    <row r="157" spans="2:13" x14ac:dyDescent="0.3">
      <c r="B157" t="s">
        <v>238</v>
      </c>
      <c r="C157" t="s">
        <v>2</v>
      </c>
      <c r="D157" t="s">
        <v>41</v>
      </c>
      <c r="E157" t="s">
        <v>155</v>
      </c>
      <c r="F157" s="17">
        <f>Summary!Y31</f>
        <v>1000</v>
      </c>
      <c r="G157" t="s">
        <v>311</v>
      </c>
      <c r="H157" t="s">
        <v>290</v>
      </c>
      <c r="I157" t="s">
        <v>250</v>
      </c>
      <c r="J157" s="22" t="s">
        <v>249</v>
      </c>
      <c r="K157" s="22" t="s">
        <v>260</v>
      </c>
      <c r="L157" t="s">
        <v>251</v>
      </c>
      <c r="M157" s="184" t="s">
        <v>252</v>
      </c>
    </row>
    <row r="158" spans="2:13" x14ac:dyDescent="0.3">
      <c r="B158" t="s">
        <v>238</v>
      </c>
      <c r="C158" t="s">
        <v>2</v>
      </c>
      <c r="D158" t="s">
        <v>42</v>
      </c>
      <c r="E158" t="s">
        <v>155</v>
      </c>
      <c r="F158" s="17">
        <f>Summary!Y32</f>
        <v>500</v>
      </c>
      <c r="G158" t="s">
        <v>311</v>
      </c>
      <c r="H158" t="s">
        <v>290</v>
      </c>
      <c r="I158" t="s">
        <v>250</v>
      </c>
      <c r="J158" s="22" t="s">
        <v>249</v>
      </c>
      <c r="K158" s="22" t="s">
        <v>260</v>
      </c>
      <c r="L158" t="s">
        <v>251</v>
      </c>
      <c r="M158" s="184" t="s">
        <v>252</v>
      </c>
    </row>
    <row r="159" spans="2:13" x14ac:dyDescent="0.3">
      <c r="B159" t="s">
        <v>238</v>
      </c>
      <c r="C159" t="s">
        <v>2</v>
      </c>
      <c r="D159" t="s">
        <v>43</v>
      </c>
      <c r="E159" t="s">
        <v>155</v>
      </c>
      <c r="F159" s="17">
        <f>Summary!Y33</f>
        <v>500</v>
      </c>
      <c r="G159" t="s">
        <v>311</v>
      </c>
      <c r="H159" t="s">
        <v>290</v>
      </c>
      <c r="I159" t="s">
        <v>250</v>
      </c>
      <c r="J159" s="22" t="s">
        <v>249</v>
      </c>
      <c r="K159" s="22" t="s">
        <v>260</v>
      </c>
      <c r="L159" t="s">
        <v>251</v>
      </c>
      <c r="M159" s="184" t="s">
        <v>252</v>
      </c>
    </row>
    <row r="160" spans="2:13" x14ac:dyDescent="0.3">
      <c r="B160" t="s">
        <v>238</v>
      </c>
      <c r="C160" t="s">
        <v>2</v>
      </c>
      <c r="D160" t="s">
        <v>44</v>
      </c>
      <c r="E160" t="s">
        <v>155</v>
      </c>
      <c r="F160" s="17">
        <f>Summary!Y34</f>
        <v>500</v>
      </c>
      <c r="G160" t="s">
        <v>311</v>
      </c>
      <c r="H160" t="s">
        <v>290</v>
      </c>
      <c r="I160" t="s">
        <v>250</v>
      </c>
      <c r="J160" s="22" t="s">
        <v>249</v>
      </c>
      <c r="K160" s="22" t="s">
        <v>260</v>
      </c>
      <c r="L160" t="s">
        <v>251</v>
      </c>
      <c r="M160" s="184" t="s">
        <v>252</v>
      </c>
    </row>
    <row r="161" spans="2:13" x14ac:dyDescent="0.3">
      <c r="B161" t="s">
        <v>238</v>
      </c>
      <c r="C161" t="s">
        <v>2</v>
      </c>
      <c r="D161" t="s">
        <v>45</v>
      </c>
      <c r="E161" t="s">
        <v>155</v>
      </c>
      <c r="F161" s="17">
        <f>Summary!Y35</f>
        <v>750</v>
      </c>
      <c r="G161" t="s">
        <v>311</v>
      </c>
      <c r="H161" t="s">
        <v>290</v>
      </c>
      <c r="I161" t="s">
        <v>250</v>
      </c>
      <c r="J161" s="22" t="s">
        <v>249</v>
      </c>
      <c r="K161" s="22" t="s">
        <v>260</v>
      </c>
      <c r="L161" t="s">
        <v>251</v>
      </c>
      <c r="M161" s="184" t="s">
        <v>252</v>
      </c>
    </row>
    <row r="162" spans="2:13" x14ac:dyDescent="0.3">
      <c r="B162" t="s">
        <v>238</v>
      </c>
      <c r="C162" t="s">
        <v>2</v>
      </c>
      <c r="D162" t="s">
        <v>46</v>
      </c>
      <c r="E162" t="s">
        <v>155</v>
      </c>
      <c r="F162" s="17">
        <f>Summary!Y36</f>
        <v>500</v>
      </c>
      <c r="G162" t="s">
        <v>311</v>
      </c>
      <c r="H162" t="s">
        <v>290</v>
      </c>
      <c r="I162" t="s">
        <v>250</v>
      </c>
      <c r="J162" s="22" t="s">
        <v>249</v>
      </c>
      <c r="K162" s="22" t="s">
        <v>260</v>
      </c>
      <c r="L162" t="s">
        <v>251</v>
      </c>
      <c r="M162" s="184" t="s">
        <v>252</v>
      </c>
    </row>
    <row r="163" spans="2:13" x14ac:dyDescent="0.3">
      <c r="B163" t="s">
        <v>238</v>
      </c>
      <c r="C163" t="s">
        <v>2</v>
      </c>
      <c r="D163" t="s">
        <v>47</v>
      </c>
      <c r="E163" t="s">
        <v>155</v>
      </c>
      <c r="F163" s="17">
        <f>Summary!Y37</f>
        <v>750</v>
      </c>
      <c r="G163" t="s">
        <v>311</v>
      </c>
      <c r="H163" t="s">
        <v>290</v>
      </c>
      <c r="I163" t="s">
        <v>250</v>
      </c>
      <c r="J163" s="22" t="s">
        <v>249</v>
      </c>
      <c r="K163" s="22" t="s">
        <v>260</v>
      </c>
      <c r="L163" t="s">
        <v>251</v>
      </c>
      <c r="M163" s="184" t="s">
        <v>252</v>
      </c>
    </row>
    <row r="164" spans="2:13" x14ac:dyDescent="0.3">
      <c r="B164" t="s">
        <v>238</v>
      </c>
      <c r="C164" t="s">
        <v>2</v>
      </c>
      <c r="D164" t="s">
        <v>48</v>
      </c>
      <c r="E164" t="s">
        <v>155</v>
      </c>
      <c r="F164" s="17">
        <f>Summary!Y38</f>
        <v>500</v>
      </c>
      <c r="G164" t="s">
        <v>311</v>
      </c>
      <c r="H164" t="s">
        <v>290</v>
      </c>
      <c r="I164" t="s">
        <v>250</v>
      </c>
      <c r="J164" s="22" t="s">
        <v>249</v>
      </c>
      <c r="K164" s="22" t="s">
        <v>260</v>
      </c>
      <c r="L164" t="s">
        <v>251</v>
      </c>
      <c r="M164" s="184" t="s">
        <v>252</v>
      </c>
    </row>
    <row r="165" spans="2:13" x14ac:dyDescent="0.3">
      <c r="B165" t="s">
        <v>238</v>
      </c>
      <c r="C165" t="s">
        <v>2</v>
      </c>
      <c r="D165" t="s">
        <v>49</v>
      </c>
      <c r="E165" t="s">
        <v>155</v>
      </c>
      <c r="F165" s="17">
        <f>Summary!Y39</f>
        <v>500</v>
      </c>
      <c r="G165" t="s">
        <v>311</v>
      </c>
      <c r="H165" t="s">
        <v>290</v>
      </c>
      <c r="I165" t="s">
        <v>250</v>
      </c>
      <c r="J165" s="22" t="s">
        <v>249</v>
      </c>
      <c r="K165" s="22" t="s">
        <v>260</v>
      </c>
      <c r="L165" t="s">
        <v>251</v>
      </c>
      <c r="M165" s="184" t="s">
        <v>252</v>
      </c>
    </row>
    <row r="166" spans="2:13" x14ac:dyDescent="0.3">
      <c r="B166" t="s">
        <v>238</v>
      </c>
      <c r="C166" t="s">
        <v>2</v>
      </c>
      <c r="D166" t="s">
        <v>50</v>
      </c>
      <c r="E166" t="s">
        <v>155</v>
      </c>
      <c r="F166" s="17">
        <f>Summary!Y40</f>
        <v>2000</v>
      </c>
      <c r="G166" t="s">
        <v>311</v>
      </c>
      <c r="H166" t="s">
        <v>290</v>
      </c>
      <c r="I166" t="s">
        <v>250</v>
      </c>
      <c r="J166" s="22" t="s">
        <v>249</v>
      </c>
      <c r="K166" s="22" t="s">
        <v>260</v>
      </c>
      <c r="L166" t="s">
        <v>251</v>
      </c>
      <c r="M166" s="184" t="s">
        <v>252</v>
      </c>
    </row>
    <row r="167" spans="2:13" x14ac:dyDescent="0.3">
      <c r="B167" t="s">
        <v>238</v>
      </c>
      <c r="C167" t="s">
        <v>2</v>
      </c>
      <c r="D167" t="s">
        <v>69</v>
      </c>
      <c r="E167" t="s">
        <v>155</v>
      </c>
      <c r="F167" s="17">
        <f>Summary!Y41</f>
        <v>2000</v>
      </c>
      <c r="G167" t="s">
        <v>311</v>
      </c>
      <c r="H167" t="s">
        <v>290</v>
      </c>
      <c r="I167" t="s">
        <v>250</v>
      </c>
      <c r="J167" s="22" t="s">
        <v>249</v>
      </c>
      <c r="K167" s="22" t="s">
        <v>260</v>
      </c>
      <c r="L167" t="s">
        <v>251</v>
      </c>
      <c r="M167" s="184" t="s">
        <v>252</v>
      </c>
    </row>
    <row r="168" spans="2:13" x14ac:dyDescent="0.3">
      <c r="B168" t="s">
        <v>238</v>
      </c>
      <c r="C168" t="s">
        <v>2</v>
      </c>
      <c r="D168" t="s">
        <v>51</v>
      </c>
      <c r="E168" t="s">
        <v>155</v>
      </c>
      <c r="F168" s="17">
        <f>Summary!Y42</f>
        <v>1000</v>
      </c>
      <c r="G168" t="s">
        <v>311</v>
      </c>
      <c r="H168" t="s">
        <v>290</v>
      </c>
      <c r="I168" t="s">
        <v>250</v>
      </c>
      <c r="J168" s="22" t="s">
        <v>249</v>
      </c>
      <c r="K168" s="22" t="s">
        <v>260</v>
      </c>
      <c r="L168" t="s">
        <v>251</v>
      </c>
      <c r="M168" s="184" t="s">
        <v>252</v>
      </c>
    </row>
    <row r="169" spans="2:13" x14ac:dyDescent="0.3">
      <c r="B169" t="s">
        <v>238</v>
      </c>
      <c r="C169" t="s">
        <v>2</v>
      </c>
      <c r="D169" t="s">
        <v>52</v>
      </c>
      <c r="E169" t="s">
        <v>155</v>
      </c>
      <c r="F169" s="17">
        <f>Summary!Y43</f>
        <v>1000</v>
      </c>
      <c r="G169" t="s">
        <v>311</v>
      </c>
      <c r="H169" t="s">
        <v>290</v>
      </c>
      <c r="I169" t="s">
        <v>250</v>
      </c>
      <c r="J169" s="22" t="s">
        <v>249</v>
      </c>
      <c r="K169" s="22" t="s">
        <v>260</v>
      </c>
      <c r="L169" t="s">
        <v>251</v>
      </c>
      <c r="M169" s="184" t="s">
        <v>252</v>
      </c>
    </row>
    <row r="170" spans="2:13" x14ac:dyDescent="0.3">
      <c r="B170" t="s">
        <v>238</v>
      </c>
      <c r="C170" t="s">
        <v>2</v>
      </c>
      <c r="D170" t="s">
        <v>24</v>
      </c>
      <c r="E170" t="s">
        <v>155</v>
      </c>
      <c r="F170" s="17">
        <f>Summary!Y44</f>
        <v>500</v>
      </c>
      <c r="G170" t="s">
        <v>311</v>
      </c>
      <c r="H170" t="s">
        <v>290</v>
      </c>
      <c r="I170" t="s">
        <v>250</v>
      </c>
      <c r="J170" s="22" t="s">
        <v>249</v>
      </c>
      <c r="K170" s="22" t="s">
        <v>260</v>
      </c>
      <c r="L170" t="s">
        <v>251</v>
      </c>
      <c r="M170" s="184" t="s">
        <v>252</v>
      </c>
    </row>
    <row r="171" spans="2:13" x14ac:dyDescent="0.3">
      <c r="B171" t="s">
        <v>238</v>
      </c>
      <c r="C171" t="s">
        <v>2</v>
      </c>
      <c r="D171" t="s">
        <v>53</v>
      </c>
      <c r="E171" t="s">
        <v>155</v>
      </c>
      <c r="F171" s="17">
        <f>Summary!Y45</f>
        <v>500</v>
      </c>
      <c r="G171" t="s">
        <v>311</v>
      </c>
      <c r="H171" t="s">
        <v>290</v>
      </c>
      <c r="I171" t="s">
        <v>250</v>
      </c>
      <c r="J171" s="22" t="s">
        <v>249</v>
      </c>
      <c r="K171" s="22" t="s">
        <v>260</v>
      </c>
      <c r="L171" t="s">
        <v>251</v>
      </c>
      <c r="M171" s="184" t="s">
        <v>252</v>
      </c>
    </row>
    <row r="172" spans="2:13" x14ac:dyDescent="0.3">
      <c r="B172" t="s">
        <v>238</v>
      </c>
      <c r="C172" t="s">
        <v>2</v>
      </c>
      <c r="D172" t="s">
        <v>54</v>
      </c>
      <c r="E172" t="s">
        <v>155</v>
      </c>
      <c r="F172" s="17">
        <f>Summary!Y46</f>
        <v>1000</v>
      </c>
      <c r="G172" t="s">
        <v>311</v>
      </c>
      <c r="H172" t="s">
        <v>290</v>
      </c>
      <c r="I172" t="s">
        <v>250</v>
      </c>
      <c r="J172" s="22" t="s">
        <v>249</v>
      </c>
      <c r="K172" s="22" t="s">
        <v>260</v>
      </c>
      <c r="L172" t="s">
        <v>251</v>
      </c>
      <c r="M172" s="184" t="s">
        <v>252</v>
      </c>
    </row>
    <row r="173" spans="2:13" s="23" customFormat="1" x14ac:dyDescent="0.3">
      <c r="B173" s="23" t="s">
        <v>238</v>
      </c>
      <c r="C173" s="23" t="s">
        <v>2</v>
      </c>
      <c r="D173" s="23" t="s">
        <v>67</v>
      </c>
      <c r="E173" s="23" t="s">
        <v>155</v>
      </c>
      <c r="F173" s="179">
        <f>Summary!Y47</f>
        <v>750</v>
      </c>
      <c r="G173" t="s">
        <v>311</v>
      </c>
      <c r="H173" t="s">
        <v>290</v>
      </c>
      <c r="I173" s="23" t="s">
        <v>250</v>
      </c>
      <c r="J173" s="183" t="s">
        <v>249</v>
      </c>
      <c r="K173" s="183" t="s">
        <v>260</v>
      </c>
      <c r="L173" s="23" t="s">
        <v>251</v>
      </c>
      <c r="M173" s="184" t="s">
        <v>252</v>
      </c>
    </row>
    <row r="174" spans="2:13" x14ac:dyDescent="0.3">
      <c r="B174" t="s">
        <v>238</v>
      </c>
      <c r="C174" t="s">
        <v>2</v>
      </c>
      <c r="D174" s="25" t="s">
        <v>23</v>
      </c>
      <c r="E174" t="s">
        <v>156</v>
      </c>
      <c r="F174" s="17">
        <f>Summary!Z5</f>
        <v>1875</v>
      </c>
      <c r="G174" t="s">
        <v>311</v>
      </c>
      <c r="H174" t="s">
        <v>290</v>
      </c>
      <c r="I174" t="s">
        <v>256</v>
      </c>
      <c r="J174" s="22" t="s">
        <v>249</v>
      </c>
      <c r="K174" s="22" t="s">
        <v>258</v>
      </c>
      <c r="L174" t="s">
        <v>253</v>
      </c>
    </row>
    <row r="175" spans="2:13" x14ac:dyDescent="0.3">
      <c r="B175" t="s">
        <v>238</v>
      </c>
      <c r="C175" t="s">
        <v>2</v>
      </c>
      <c r="D175" t="s">
        <v>55</v>
      </c>
      <c r="E175" t="s">
        <v>156</v>
      </c>
      <c r="F175" s="17">
        <f>Summary!Z6</f>
        <v>1250</v>
      </c>
      <c r="G175" t="s">
        <v>311</v>
      </c>
      <c r="H175" t="s">
        <v>290</v>
      </c>
      <c r="I175" t="s">
        <v>256</v>
      </c>
      <c r="J175" s="22" t="s">
        <v>249</v>
      </c>
      <c r="K175" s="22" t="s">
        <v>258</v>
      </c>
      <c r="L175" t="s">
        <v>253</v>
      </c>
    </row>
    <row r="176" spans="2:13" x14ac:dyDescent="0.3">
      <c r="B176" t="s">
        <v>238</v>
      </c>
      <c r="C176" t="s">
        <v>2</v>
      </c>
      <c r="D176" t="s">
        <v>56</v>
      </c>
      <c r="E176" t="s">
        <v>156</v>
      </c>
      <c r="F176" s="17">
        <f>Summary!Z7</f>
        <v>1250</v>
      </c>
      <c r="G176" t="s">
        <v>311</v>
      </c>
      <c r="H176" t="s">
        <v>290</v>
      </c>
      <c r="I176" t="s">
        <v>256</v>
      </c>
      <c r="J176" s="22" t="s">
        <v>249</v>
      </c>
      <c r="K176" s="22" t="s">
        <v>258</v>
      </c>
      <c r="L176" t="s">
        <v>253</v>
      </c>
    </row>
    <row r="177" spans="2:14" x14ac:dyDescent="0.3">
      <c r="B177" t="s">
        <v>238</v>
      </c>
      <c r="C177" t="s">
        <v>2</v>
      </c>
      <c r="D177" t="s">
        <v>57</v>
      </c>
      <c r="E177" t="s">
        <v>156</v>
      </c>
      <c r="F177" s="17">
        <f>Summary!Z8</f>
        <v>1875</v>
      </c>
      <c r="G177" t="s">
        <v>311</v>
      </c>
      <c r="H177" t="s">
        <v>290</v>
      </c>
      <c r="I177" t="s">
        <v>256</v>
      </c>
      <c r="J177" s="22" t="s">
        <v>249</v>
      </c>
      <c r="K177" s="22" t="s">
        <v>258</v>
      </c>
      <c r="L177" t="s">
        <v>253</v>
      </c>
    </row>
    <row r="178" spans="2:14" x14ac:dyDescent="0.3">
      <c r="B178" t="s">
        <v>238</v>
      </c>
      <c r="C178" t="s">
        <v>2</v>
      </c>
      <c r="D178" t="s">
        <v>58</v>
      </c>
      <c r="E178" t="s">
        <v>156</v>
      </c>
      <c r="F178" s="17">
        <f>Summary!Z9</f>
        <v>1250</v>
      </c>
      <c r="G178" t="s">
        <v>311</v>
      </c>
      <c r="H178" t="s">
        <v>290</v>
      </c>
      <c r="I178" t="s">
        <v>256</v>
      </c>
      <c r="J178" s="22" t="s">
        <v>249</v>
      </c>
      <c r="K178" s="22" t="s">
        <v>258</v>
      </c>
      <c r="L178" t="s">
        <v>253</v>
      </c>
    </row>
    <row r="179" spans="2:14" x14ac:dyDescent="0.3">
      <c r="B179" t="s">
        <v>238</v>
      </c>
      <c r="C179" t="s">
        <v>2</v>
      </c>
      <c r="D179" t="s">
        <v>59</v>
      </c>
      <c r="E179" t="s">
        <v>156</v>
      </c>
      <c r="F179" s="17">
        <f>Summary!Z10</f>
        <v>2500</v>
      </c>
      <c r="G179" t="s">
        <v>311</v>
      </c>
      <c r="H179" t="s">
        <v>290</v>
      </c>
      <c r="I179" t="s">
        <v>256</v>
      </c>
      <c r="J179" s="22" t="s">
        <v>249</v>
      </c>
      <c r="K179" s="22" t="s">
        <v>258</v>
      </c>
      <c r="L179" t="s">
        <v>253</v>
      </c>
    </row>
    <row r="180" spans="2:14" x14ac:dyDescent="0.3">
      <c r="B180" t="s">
        <v>238</v>
      </c>
      <c r="C180" t="s">
        <v>2</v>
      </c>
      <c r="D180" t="s">
        <v>70</v>
      </c>
      <c r="E180" t="s">
        <v>156</v>
      </c>
      <c r="F180" s="17">
        <f>Summary!Z11</f>
        <v>2500</v>
      </c>
      <c r="G180" t="s">
        <v>311</v>
      </c>
      <c r="H180" t="s">
        <v>290</v>
      </c>
      <c r="I180" t="s">
        <v>256</v>
      </c>
      <c r="J180" s="22" t="s">
        <v>249</v>
      </c>
      <c r="K180" s="22" t="s">
        <v>258</v>
      </c>
      <c r="L180" t="s">
        <v>253</v>
      </c>
      <c r="N180" t="s">
        <v>305</v>
      </c>
    </row>
    <row r="181" spans="2:14" x14ac:dyDescent="0.3">
      <c r="B181" t="s">
        <v>238</v>
      </c>
      <c r="C181" t="s">
        <v>2</v>
      </c>
      <c r="D181" t="s">
        <v>71</v>
      </c>
      <c r="E181" t="s">
        <v>156</v>
      </c>
      <c r="F181" s="17">
        <f>Summary!Z12</f>
        <v>1875</v>
      </c>
      <c r="G181" t="s">
        <v>311</v>
      </c>
      <c r="H181" t="s">
        <v>290</v>
      </c>
      <c r="I181" t="s">
        <v>256</v>
      </c>
      <c r="J181" s="22" t="s">
        <v>249</v>
      </c>
      <c r="K181" s="22" t="s">
        <v>258</v>
      </c>
      <c r="L181" t="s">
        <v>253</v>
      </c>
      <c r="N181" t="s">
        <v>305</v>
      </c>
    </row>
    <row r="182" spans="2:14" x14ac:dyDescent="0.3">
      <c r="B182" t="s">
        <v>238</v>
      </c>
      <c r="C182" t="s">
        <v>2</v>
      </c>
      <c r="D182" t="s">
        <v>60</v>
      </c>
      <c r="E182" t="s">
        <v>156</v>
      </c>
      <c r="F182" s="17">
        <f>Summary!Z13</f>
        <v>1250</v>
      </c>
      <c r="G182" t="s">
        <v>311</v>
      </c>
      <c r="H182" t="s">
        <v>290</v>
      </c>
      <c r="I182" t="s">
        <v>256</v>
      </c>
      <c r="J182" s="22" t="s">
        <v>249</v>
      </c>
      <c r="K182" s="22" t="s">
        <v>258</v>
      </c>
      <c r="L182" t="s">
        <v>253</v>
      </c>
    </row>
    <row r="183" spans="2:14" x14ac:dyDescent="0.3">
      <c r="B183" t="s">
        <v>238</v>
      </c>
      <c r="C183" t="s">
        <v>2</v>
      </c>
      <c r="D183" t="s">
        <v>61</v>
      </c>
      <c r="E183" t="s">
        <v>156</v>
      </c>
      <c r="F183" s="17">
        <f>Summary!Z14</f>
        <v>2500</v>
      </c>
      <c r="G183" t="s">
        <v>311</v>
      </c>
      <c r="H183" t="s">
        <v>290</v>
      </c>
      <c r="I183" t="s">
        <v>256</v>
      </c>
      <c r="J183" s="22" t="s">
        <v>249</v>
      </c>
      <c r="K183" s="22" t="s">
        <v>258</v>
      </c>
      <c r="L183" t="s">
        <v>253</v>
      </c>
    </row>
    <row r="184" spans="2:14" x14ac:dyDescent="0.3">
      <c r="B184" t="s">
        <v>238</v>
      </c>
      <c r="C184" t="s">
        <v>2</v>
      </c>
      <c r="D184" t="s">
        <v>62</v>
      </c>
      <c r="E184" t="s">
        <v>156</v>
      </c>
      <c r="F184" s="17">
        <f>Summary!Z15</f>
        <v>1250</v>
      </c>
      <c r="G184" t="s">
        <v>311</v>
      </c>
      <c r="H184" t="s">
        <v>290</v>
      </c>
      <c r="I184" t="s">
        <v>256</v>
      </c>
      <c r="J184" s="22" t="s">
        <v>249</v>
      </c>
      <c r="K184" s="22" t="s">
        <v>258</v>
      </c>
      <c r="L184" t="s">
        <v>253</v>
      </c>
    </row>
    <row r="185" spans="2:14" x14ac:dyDescent="0.3">
      <c r="B185" t="s">
        <v>238</v>
      </c>
      <c r="C185" t="s">
        <v>2</v>
      </c>
      <c r="D185" t="s">
        <v>63</v>
      </c>
      <c r="E185" t="s">
        <v>156</v>
      </c>
      <c r="F185" s="17">
        <f>Summary!Z16</f>
        <v>1875</v>
      </c>
      <c r="G185" t="s">
        <v>311</v>
      </c>
      <c r="H185" t="s">
        <v>290</v>
      </c>
      <c r="I185" t="s">
        <v>256</v>
      </c>
      <c r="J185" s="22" t="s">
        <v>249</v>
      </c>
      <c r="K185" s="22" t="s">
        <v>258</v>
      </c>
      <c r="L185" t="s">
        <v>253</v>
      </c>
    </row>
    <row r="186" spans="2:14" x14ac:dyDescent="0.3">
      <c r="B186" t="s">
        <v>238</v>
      </c>
      <c r="C186" t="s">
        <v>2</v>
      </c>
      <c r="D186" t="s">
        <v>64</v>
      </c>
      <c r="E186" t="s">
        <v>156</v>
      </c>
      <c r="F186" s="17">
        <f>Summary!Z17</f>
        <v>2500</v>
      </c>
      <c r="G186" t="s">
        <v>311</v>
      </c>
      <c r="H186" t="s">
        <v>290</v>
      </c>
      <c r="I186" t="s">
        <v>256</v>
      </c>
      <c r="J186" s="22" t="s">
        <v>249</v>
      </c>
      <c r="K186" s="22" t="s">
        <v>258</v>
      </c>
      <c r="L186" t="s">
        <v>253</v>
      </c>
    </row>
    <row r="187" spans="2:14" x14ac:dyDescent="0.3">
      <c r="B187" t="s">
        <v>238</v>
      </c>
      <c r="C187" t="s">
        <v>2</v>
      </c>
      <c r="D187" s="181" t="s">
        <v>31</v>
      </c>
      <c r="E187" t="s">
        <v>156</v>
      </c>
      <c r="F187" s="17">
        <f>Summary!Z18</f>
        <v>1875</v>
      </c>
      <c r="G187" t="s">
        <v>311</v>
      </c>
      <c r="H187" t="s">
        <v>290</v>
      </c>
      <c r="I187" t="s">
        <v>256</v>
      </c>
      <c r="J187" s="22" t="s">
        <v>249</v>
      </c>
      <c r="K187" s="22" t="s">
        <v>258</v>
      </c>
      <c r="L187" t="s">
        <v>253</v>
      </c>
    </row>
    <row r="188" spans="2:14" x14ac:dyDescent="0.3">
      <c r="B188" t="s">
        <v>238</v>
      </c>
      <c r="C188" t="s">
        <v>2</v>
      </c>
      <c r="D188" s="181" t="s">
        <v>32</v>
      </c>
      <c r="E188" t="s">
        <v>156</v>
      </c>
      <c r="F188" s="17">
        <f>Summary!Z19</f>
        <v>1875</v>
      </c>
      <c r="G188" t="s">
        <v>311</v>
      </c>
      <c r="H188" t="s">
        <v>290</v>
      </c>
      <c r="I188" t="s">
        <v>256</v>
      </c>
      <c r="J188" s="22" t="s">
        <v>249</v>
      </c>
      <c r="K188" s="22" t="s">
        <v>258</v>
      </c>
      <c r="L188" t="s">
        <v>253</v>
      </c>
    </row>
    <row r="189" spans="2:14" x14ac:dyDescent="0.3">
      <c r="B189" t="s">
        <v>238</v>
      </c>
      <c r="C189" t="s">
        <v>2</v>
      </c>
      <c r="D189" s="181" t="s">
        <v>33</v>
      </c>
      <c r="E189" t="s">
        <v>156</v>
      </c>
      <c r="F189" s="17">
        <f>Summary!Z20</f>
        <v>1875</v>
      </c>
      <c r="G189" t="s">
        <v>311</v>
      </c>
      <c r="H189" t="s">
        <v>290</v>
      </c>
      <c r="I189" t="s">
        <v>256</v>
      </c>
      <c r="J189" s="22" t="s">
        <v>249</v>
      </c>
      <c r="K189" s="22" t="s">
        <v>258</v>
      </c>
      <c r="L189" t="s">
        <v>253</v>
      </c>
    </row>
    <row r="190" spans="2:14" x14ac:dyDescent="0.3">
      <c r="B190" t="s">
        <v>238</v>
      </c>
      <c r="C190" t="s">
        <v>2</v>
      </c>
      <c r="D190" s="181" t="s">
        <v>65</v>
      </c>
      <c r="E190" t="s">
        <v>156</v>
      </c>
      <c r="F190" s="17">
        <f>Summary!Z21</f>
        <v>1250</v>
      </c>
      <c r="G190" t="s">
        <v>311</v>
      </c>
      <c r="H190" t="s">
        <v>290</v>
      </c>
      <c r="I190" t="s">
        <v>256</v>
      </c>
      <c r="J190" s="22" t="s">
        <v>249</v>
      </c>
      <c r="K190" s="22" t="s">
        <v>258</v>
      </c>
      <c r="L190" t="s">
        <v>253</v>
      </c>
    </row>
    <row r="191" spans="2:14" x14ac:dyDescent="0.3">
      <c r="B191" t="s">
        <v>238</v>
      </c>
      <c r="C191" t="s">
        <v>2</v>
      </c>
      <c r="D191" s="181" t="s">
        <v>34</v>
      </c>
      <c r="E191" t="s">
        <v>156</v>
      </c>
      <c r="F191" s="17">
        <f>Summary!Z22</f>
        <v>2500</v>
      </c>
      <c r="G191" t="s">
        <v>311</v>
      </c>
      <c r="H191" t="s">
        <v>290</v>
      </c>
      <c r="I191" t="s">
        <v>256</v>
      </c>
      <c r="J191" s="22" t="s">
        <v>249</v>
      </c>
      <c r="K191" s="22" t="s">
        <v>258</v>
      </c>
      <c r="L191" t="s">
        <v>253</v>
      </c>
    </row>
    <row r="192" spans="2:14" x14ac:dyDescent="0.3">
      <c r="B192" t="s">
        <v>238</v>
      </c>
      <c r="C192" t="s">
        <v>2</v>
      </c>
      <c r="D192" s="181" t="s">
        <v>35</v>
      </c>
      <c r="E192" t="s">
        <v>156</v>
      </c>
      <c r="F192" s="17">
        <f>Summary!Z23</f>
        <v>2500</v>
      </c>
      <c r="G192" t="s">
        <v>311</v>
      </c>
      <c r="H192" t="s">
        <v>290</v>
      </c>
      <c r="I192" t="s">
        <v>256</v>
      </c>
      <c r="J192" s="22" t="s">
        <v>249</v>
      </c>
      <c r="K192" s="22" t="s">
        <v>258</v>
      </c>
      <c r="L192" t="s">
        <v>253</v>
      </c>
    </row>
    <row r="193" spans="2:12" x14ac:dyDescent="0.3">
      <c r="B193" t="s">
        <v>238</v>
      </c>
      <c r="C193" t="s">
        <v>2</v>
      </c>
      <c r="D193" s="181" t="s">
        <v>36</v>
      </c>
      <c r="E193" t="s">
        <v>156</v>
      </c>
      <c r="F193" s="17">
        <f>Summary!Z24</f>
        <v>1875</v>
      </c>
      <c r="G193" t="s">
        <v>311</v>
      </c>
      <c r="H193" t="s">
        <v>290</v>
      </c>
      <c r="I193" t="s">
        <v>256</v>
      </c>
      <c r="J193" s="22" t="s">
        <v>249</v>
      </c>
      <c r="K193" s="22" t="s">
        <v>258</v>
      </c>
      <c r="L193" t="s">
        <v>253</v>
      </c>
    </row>
    <row r="194" spans="2:12" x14ac:dyDescent="0.3">
      <c r="B194" t="s">
        <v>238</v>
      </c>
      <c r="C194" t="s">
        <v>2</v>
      </c>
      <c r="D194" s="181" t="s">
        <v>66</v>
      </c>
      <c r="E194" t="s">
        <v>156</v>
      </c>
      <c r="F194" s="17">
        <f>Summary!Z25</f>
        <v>1250</v>
      </c>
      <c r="G194" t="s">
        <v>311</v>
      </c>
      <c r="H194" t="s">
        <v>290</v>
      </c>
      <c r="I194" t="s">
        <v>256</v>
      </c>
      <c r="J194" s="22" t="s">
        <v>249</v>
      </c>
      <c r="K194" s="22" t="s">
        <v>258</v>
      </c>
      <c r="L194" t="s">
        <v>253</v>
      </c>
    </row>
    <row r="195" spans="2:12" x14ac:dyDescent="0.3">
      <c r="B195" t="s">
        <v>238</v>
      </c>
      <c r="C195" t="s">
        <v>2</v>
      </c>
      <c r="D195" t="s">
        <v>37</v>
      </c>
      <c r="E195" t="s">
        <v>156</v>
      </c>
      <c r="F195" s="17">
        <f>Summary!Z26</f>
        <v>1250</v>
      </c>
      <c r="G195" t="s">
        <v>311</v>
      </c>
      <c r="H195" t="s">
        <v>290</v>
      </c>
      <c r="I195" t="s">
        <v>256</v>
      </c>
      <c r="J195" s="22" t="s">
        <v>249</v>
      </c>
      <c r="K195" s="22" t="s">
        <v>258</v>
      </c>
      <c r="L195" t="s">
        <v>253</v>
      </c>
    </row>
    <row r="196" spans="2:12" x14ac:dyDescent="0.3">
      <c r="B196" t="s">
        <v>238</v>
      </c>
      <c r="C196" t="s">
        <v>2</v>
      </c>
      <c r="D196" t="s">
        <v>38</v>
      </c>
      <c r="E196" t="s">
        <v>156</v>
      </c>
      <c r="F196" s="17">
        <f>Summary!Z27</f>
        <v>1875</v>
      </c>
      <c r="G196" t="s">
        <v>311</v>
      </c>
      <c r="H196" t="s">
        <v>290</v>
      </c>
      <c r="I196" t="s">
        <v>256</v>
      </c>
      <c r="J196" s="22" t="s">
        <v>249</v>
      </c>
      <c r="K196" s="22" t="s">
        <v>258</v>
      </c>
      <c r="L196" t="s">
        <v>253</v>
      </c>
    </row>
    <row r="197" spans="2:12" x14ac:dyDescent="0.3">
      <c r="B197" t="s">
        <v>238</v>
      </c>
      <c r="C197" t="s">
        <v>2</v>
      </c>
      <c r="D197" t="s">
        <v>27</v>
      </c>
      <c r="E197" t="s">
        <v>156</v>
      </c>
      <c r="F197" s="17">
        <f>Summary!Z28</f>
        <v>5000</v>
      </c>
      <c r="G197" t="s">
        <v>311</v>
      </c>
      <c r="H197" t="s">
        <v>290</v>
      </c>
      <c r="I197" t="s">
        <v>256</v>
      </c>
      <c r="J197" s="22" t="s">
        <v>249</v>
      </c>
      <c r="K197" s="22" t="s">
        <v>258</v>
      </c>
      <c r="L197" t="s">
        <v>253</v>
      </c>
    </row>
    <row r="198" spans="2:12" x14ac:dyDescent="0.3">
      <c r="B198" t="s">
        <v>238</v>
      </c>
      <c r="C198" t="s">
        <v>2</v>
      </c>
      <c r="D198" t="s">
        <v>39</v>
      </c>
      <c r="E198" t="s">
        <v>156</v>
      </c>
      <c r="F198" s="17">
        <f>Summary!Z29</f>
        <v>2500</v>
      </c>
      <c r="G198" t="s">
        <v>311</v>
      </c>
      <c r="H198" t="s">
        <v>290</v>
      </c>
      <c r="I198" t="s">
        <v>256</v>
      </c>
      <c r="J198" s="22" t="s">
        <v>249</v>
      </c>
      <c r="K198" s="22" t="s">
        <v>258</v>
      </c>
      <c r="L198" t="s">
        <v>253</v>
      </c>
    </row>
    <row r="199" spans="2:12" x14ac:dyDescent="0.3">
      <c r="B199" t="s">
        <v>238</v>
      </c>
      <c r="C199" t="s">
        <v>2</v>
      </c>
      <c r="D199" t="s">
        <v>40</v>
      </c>
      <c r="E199" t="s">
        <v>156</v>
      </c>
      <c r="F199" s="17">
        <f>Summary!Z30</f>
        <v>1250</v>
      </c>
      <c r="G199" t="s">
        <v>311</v>
      </c>
      <c r="H199" t="s">
        <v>290</v>
      </c>
      <c r="I199" t="s">
        <v>256</v>
      </c>
      <c r="J199" s="22" t="s">
        <v>249</v>
      </c>
      <c r="K199" s="22" t="s">
        <v>258</v>
      </c>
      <c r="L199" t="s">
        <v>253</v>
      </c>
    </row>
    <row r="200" spans="2:12" x14ac:dyDescent="0.3">
      <c r="B200" t="s">
        <v>238</v>
      </c>
      <c r="C200" t="s">
        <v>2</v>
      </c>
      <c r="D200" t="s">
        <v>41</v>
      </c>
      <c r="E200" t="s">
        <v>156</v>
      </c>
      <c r="F200" s="17">
        <f>Summary!Z31</f>
        <v>2500</v>
      </c>
      <c r="G200" t="s">
        <v>311</v>
      </c>
      <c r="H200" t="s">
        <v>290</v>
      </c>
      <c r="I200" t="s">
        <v>256</v>
      </c>
      <c r="J200" s="22" t="s">
        <v>249</v>
      </c>
      <c r="K200" s="22" t="s">
        <v>258</v>
      </c>
      <c r="L200" t="s">
        <v>253</v>
      </c>
    </row>
    <row r="201" spans="2:12" x14ac:dyDescent="0.3">
      <c r="B201" t="s">
        <v>238</v>
      </c>
      <c r="C201" t="s">
        <v>2</v>
      </c>
      <c r="D201" t="s">
        <v>42</v>
      </c>
      <c r="E201" t="s">
        <v>156</v>
      </c>
      <c r="F201" s="17">
        <f>Summary!Z32</f>
        <v>1250</v>
      </c>
      <c r="G201" t="s">
        <v>311</v>
      </c>
      <c r="H201" t="s">
        <v>290</v>
      </c>
      <c r="I201" t="s">
        <v>256</v>
      </c>
      <c r="J201" s="22" t="s">
        <v>249</v>
      </c>
      <c r="K201" s="22" t="s">
        <v>258</v>
      </c>
      <c r="L201" t="s">
        <v>253</v>
      </c>
    </row>
    <row r="202" spans="2:12" x14ac:dyDescent="0.3">
      <c r="B202" t="s">
        <v>238</v>
      </c>
      <c r="C202" t="s">
        <v>2</v>
      </c>
      <c r="D202" t="s">
        <v>43</v>
      </c>
      <c r="E202" t="s">
        <v>156</v>
      </c>
      <c r="F202" s="17">
        <f>Summary!Z33</f>
        <v>1250</v>
      </c>
      <c r="G202" t="s">
        <v>311</v>
      </c>
      <c r="H202" t="s">
        <v>290</v>
      </c>
      <c r="I202" t="s">
        <v>256</v>
      </c>
      <c r="J202" s="22" t="s">
        <v>249</v>
      </c>
      <c r="K202" s="22" t="s">
        <v>258</v>
      </c>
      <c r="L202" t="s">
        <v>253</v>
      </c>
    </row>
    <row r="203" spans="2:12" x14ac:dyDescent="0.3">
      <c r="B203" t="s">
        <v>238</v>
      </c>
      <c r="C203" t="s">
        <v>2</v>
      </c>
      <c r="D203" t="s">
        <v>44</v>
      </c>
      <c r="E203" t="s">
        <v>156</v>
      </c>
      <c r="F203" s="17">
        <f>Summary!Z34</f>
        <v>1250</v>
      </c>
      <c r="G203" t="s">
        <v>311</v>
      </c>
      <c r="H203" t="s">
        <v>290</v>
      </c>
      <c r="I203" t="s">
        <v>256</v>
      </c>
      <c r="J203" s="22" t="s">
        <v>249</v>
      </c>
      <c r="K203" s="22" t="s">
        <v>258</v>
      </c>
      <c r="L203" t="s">
        <v>253</v>
      </c>
    </row>
    <row r="204" spans="2:12" x14ac:dyDescent="0.3">
      <c r="B204" t="s">
        <v>238</v>
      </c>
      <c r="C204" t="s">
        <v>2</v>
      </c>
      <c r="D204" t="s">
        <v>45</v>
      </c>
      <c r="E204" t="s">
        <v>156</v>
      </c>
      <c r="F204" s="17">
        <f>Summary!Z35</f>
        <v>1875</v>
      </c>
      <c r="G204" t="s">
        <v>311</v>
      </c>
      <c r="H204" t="s">
        <v>290</v>
      </c>
      <c r="I204" t="s">
        <v>256</v>
      </c>
      <c r="J204" s="22" t="s">
        <v>249</v>
      </c>
      <c r="K204" s="22" t="s">
        <v>258</v>
      </c>
      <c r="L204" t="s">
        <v>253</v>
      </c>
    </row>
    <row r="205" spans="2:12" x14ac:dyDescent="0.3">
      <c r="B205" t="s">
        <v>238</v>
      </c>
      <c r="C205" t="s">
        <v>2</v>
      </c>
      <c r="D205" t="s">
        <v>46</v>
      </c>
      <c r="E205" t="s">
        <v>156</v>
      </c>
      <c r="F205" s="17">
        <f>Summary!Z36</f>
        <v>1250</v>
      </c>
      <c r="G205" t="s">
        <v>311</v>
      </c>
      <c r="H205" t="s">
        <v>290</v>
      </c>
      <c r="I205" t="s">
        <v>256</v>
      </c>
      <c r="J205" s="22" t="s">
        <v>249</v>
      </c>
      <c r="K205" s="22" t="s">
        <v>258</v>
      </c>
      <c r="L205" t="s">
        <v>253</v>
      </c>
    </row>
    <row r="206" spans="2:12" x14ac:dyDescent="0.3">
      <c r="B206" t="s">
        <v>238</v>
      </c>
      <c r="C206" t="s">
        <v>2</v>
      </c>
      <c r="D206" t="s">
        <v>47</v>
      </c>
      <c r="E206" t="s">
        <v>156</v>
      </c>
      <c r="F206" s="17">
        <f>Summary!Z37</f>
        <v>1875</v>
      </c>
      <c r="G206" t="s">
        <v>311</v>
      </c>
      <c r="H206" t="s">
        <v>290</v>
      </c>
      <c r="I206" t="s">
        <v>256</v>
      </c>
      <c r="J206" s="22" t="s">
        <v>249</v>
      </c>
      <c r="K206" s="22" t="s">
        <v>258</v>
      </c>
      <c r="L206" t="s">
        <v>253</v>
      </c>
    </row>
    <row r="207" spans="2:12" x14ac:dyDescent="0.3">
      <c r="B207" t="s">
        <v>238</v>
      </c>
      <c r="C207" t="s">
        <v>2</v>
      </c>
      <c r="D207" t="s">
        <v>48</v>
      </c>
      <c r="E207" t="s">
        <v>156</v>
      </c>
      <c r="F207" s="17">
        <f>Summary!Z38</f>
        <v>1250</v>
      </c>
      <c r="G207" t="s">
        <v>311</v>
      </c>
      <c r="H207" t="s">
        <v>290</v>
      </c>
      <c r="I207" t="s">
        <v>256</v>
      </c>
      <c r="J207" s="22" t="s">
        <v>249</v>
      </c>
      <c r="K207" s="22" t="s">
        <v>258</v>
      </c>
      <c r="L207" t="s">
        <v>253</v>
      </c>
    </row>
    <row r="208" spans="2:12" x14ac:dyDescent="0.3">
      <c r="B208" t="s">
        <v>238</v>
      </c>
      <c r="C208" t="s">
        <v>2</v>
      </c>
      <c r="D208" t="s">
        <v>49</v>
      </c>
      <c r="E208" t="s">
        <v>156</v>
      </c>
      <c r="F208" s="17">
        <f>Summary!Z39</f>
        <v>1250</v>
      </c>
      <c r="G208" t="s">
        <v>311</v>
      </c>
      <c r="H208" t="s">
        <v>290</v>
      </c>
      <c r="I208" t="s">
        <v>256</v>
      </c>
      <c r="J208" s="22" t="s">
        <v>249</v>
      </c>
      <c r="K208" s="22" t="s">
        <v>258</v>
      </c>
      <c r="L208" t="s">
        <v>253</v>
      </c>
    </row>
    <row r="209" spans="2:14" x14ac:dyDescent="0.3">
      <c r="B209" t="s">
        <v>238</v>
      </c>
      <c r="C209" t="s">
        <v>2</v>
      </c>
      <c r="D209" t="s">
        <v>50</v>
      </c>
      <c r="E209" t="s">
        <v>156</v>
      </c>
      <c r="F209" s="17">
        <f>Summary!Z40</f>
        <v>5000</v>
      </c>
      <c r="G209" t="s">
        <v>311</v>
      </c>
      <c r="H209" t="s">
        <v>290</v>
      </c>
      <c r="I209" t="s">
        <v>256</v>
      </c>
      <c r="J209" s="22" t="s">
        <v>249</v>
      </c>
      <c r="K209" s="22" t="s">
        <v>258</v>
      </c>
      <c r="L209" t="s">
        <v>253</v>
      </c>
    </row>
    <row r="210" spans="2:14" x14ac:dyDescent="0.3">
      <c r="B210" t="s">
        <v>238</v>
      </c>
      <c r="C210" t="s">
        <v>2</v>
      </c>
      <c r="D210" t="s">
        <v>69</v>
      </c>
      <c r="E210" t="s">
        <v>156</v>
      </c>
      <c r="F210" s="17">
        <f>Summary!Z41</f>
        <v>5000</v>
      </c>
      <c r="G210" t="s">
        <v>311</v>
      </c>
      <c r="H210" t="s">
        <v>290</v>
      </c>
      <c r="I210" t="s">
        <v>256</v>
      </c>
      <c r="J210" s="22" t="s">
        <v>249</v>
      </c>
      <c r="K210" s="22" t="s">
        <v>258</v>
      </c>
      <c r="L210" t="s">
        <v>253</v>
      </c>
    </row>
    <row r="211" spans="2:14" x14ac:dyDescent="0.3">
      <c r="B211" t="s">
        <v>238</v>
      </c>
      <c r="C211" t="s">
        <v>2</v>
      </c>
      <c r="D211" t="s">
        <v>51</v>
      </c>
      <c r="E211" t="s">
        <v>156</v>
      </c>
      <c r="F211" s="17">
        <f>Summary!Z42</f>
        <v>2500</v>
      </c>
      <c r="G211" t="s">
        <v>311</v>
      </c>
      <c r="H211" t="s">
        <v>290</v>
      </c>
      <c r="I211" t="s">
        <v>256</v>
      </c>
      <c r="J211" s="22" t="s">
        <v>249</v>
      </c>
      <c r="K211" s="22" t="s">
        <v>258</v>
      </c>
      <c r="L211" t="s">
        <v>253</v>
      </c>
    </row>
    <row r="212" spans="2:14" x14ac:dyDescent="0.3">
      <c r="B212" t="s">
        <v>238</v>
      </c>
      <c r="C212" t="s">
        <v>2</v>
      </c>
      <c r="D212" t="s">
        <v>52</v>
      </c>
      <c r="E212" t="s">
        <v>156</v>
      </c>
      <c r="F212" s="17">
        <f>Summary!Z43</f>
        <v>2500</v>
      </c>
      <c r="G212" t="s">
        <v>311</v>
      </c>
      <c r="H212" t="s">
        <v>290</v>
      </c>
      <c r="I212" t="s">
        <v>256</v>
      </c>
      <c r="J212" s="22" t="s">
        <v>249</v>
      </c>
      <c r="K212" s="22" t="s">
        <v>258</v>
      </c>
      <c r="L212" t="s">
        <v>253</v>
      </c>
    </row>
    <row r="213" spans="2:14" x14ac:dyDescent="0.3">
      <c r="B213" t="s">
        <v>238</v>
      </c>
      <c r="C213" t="s">
        <v>2</v>
      </c>
      <c r="D213" t="s">
        <v>24</v>
      </c>
      <c r="E213" t="s">
        <v>156</v>
      </c>
      <c r="F213" s="17">
        <f>Summary!Z44</f>
        <v>1250</v>
      </c>
      <c r="G213" t="s">
        <v>311</v>
      </c>
      <c r="H213" t="s">
        <v>290</v>
      </c>
      <c r="I213" t="s">
        <v>256</v>
      </c>
      <c r="J213" s="22" t="s">
        <v>249</v>
      </c>
      <c r="K213" s="22" t="s">
        <v>258</v>
      </c>
      <c r="L213" t="s">
        <v>253</v>
      </c>
    </row>
    <row r="214" spans="2:14" x14ac:dyDescent="0.3">
      <c r="B214" t="s">
        <v>238</v>
      </c>
      <c r="C214" t="s">
        <v>2</v>
      </c>
      <c r="D214" t="s">
        <v>53</v>
      </c>
      <c r="E214" t="s">
        <v>156</v>
      </c>
      <c r="F214" s="17">
        <f>Summary!Z45</f>
        <v>1250</v>
      </c>
      <c r="G214" t="s">
        <v>311</v>
      </c>
      <c r="H214" t="s">
        <v>290</v>
      </c>
      <c r="I214" t="s">
        <v>256</v>
      </c>
      <c r="J214" s="22" t="s">
        <v>249</v>
      </c>
      <c r="K214" s="22" t="s">
        <v>258</v>
      </c>
      <c r="L214" t="s">
        <v>253</v>
      </c>
    </row>
    <row r="215" spans="2:14" x14ac:dyDescent="0.3">
      <c r="B215" t="s">
        <v>238</v>
      </c>
      <c r="C215" t="s">
        <v>2</v>
      </c>
      <c r="D215" t="s">
        <v>54</v>
      </c>
      <c r="E215" t="s">
        <v>156</v>
      </c>
      <c r="F215" s="17">
        <f>Summary!Z46</f>
        <v>2500</v>
      </c>
      <c r="G215" t="s">
        <v>311</v>
      </c>
      <c r="H215" t="s">
        <v>290</v>
      </c>
      <c r="I215" t="s">
        <v>256</v>
      </c>
      <c r="J215" s="22" t="s">
        <v>249</v>
      </c>
      <c r="K215" s="22" t="s">
        <v>258</v>
      </c>
      <c r="L215" t="s">
        <v>253</v>
      </c>
    </row>
    <row r="216" spans="2:14" s="23" customFormat="1" x14ac:dyDescent="0.3">
      <c r="B216" s="23" t="s">
        <v>238</v>
      </c>
      <c r="C216" s="23" t="s">
        <v>2</v>
      </c>
      <c r="D216" s="23" t="s">
        <v>67</v>
      </c>
      <c r="E216" s="23" t="s">
        <v>156</v>
      </c>
      <c r="F216" s="179">
        <f>Summary!Z47</f>
        <v>1875</v>
      </c>
      <c r="G216" t="s">
        <v>311</v>
      </c>
      <c r="H216" t="s">
        <v>290</v>
      </c>
      <c r="I216" s="23" t="s">
        <v>256</v>
      </c>
      <c r="J216" s="183" t="s">
        <v>249</v>
      </c>
      <c r="K216" s="183" t="s">
        <v>258</v>
      </c>
      <c r="L216" s="23" t="s">
        <v>253</v>
      </c>
    </row>
    <row r="217" spans="2:14" x14ac:dyDescent="0.3">
      <c r="B217" t="s">
        <v>238</v>
      </c>
      <c r="C217" t="s">
        <v>2</v>
      </c>
      <c r="D217" s="25" t="s">
        <v>23</v>
      </c>
      <c r="E217" t="s">
        <v>157</v>
      </c>
      <c r="F217" s="17">
        <f>Summary!AA5</f>
        <v>3000</v>
      </c>
      <c r="G217" t="s">
        <v>311</v>
      </c>
      <c r="H217" t="s">
        <v>290</v>
      </c>
      <c r="I217" t="s">
        <v>259</v>
      </c>
      <c r="J217" s="22" t="s">
        <v>249</v>
      </c>
      <c r="K217" s="22" t="s">
        <v>257</v>
      </c>
      <c r="L217" t="s">
        <v>253</v>
      </c>
    </row>
    <row r="218" spans="2:14" x14ac:dyDescent="0.3">
      <c r="B218" t="s">
        <v>238</v>
      </c>
      <c r="C218" t="s">
        <v>2</v>
      </c>
      <c r="D218" t="s">
        <v>55</v>
      </c>
      <c r="E218" t="s">
        <v>157</v>
      </c>
      <c r="F218" s="17">
        <f>Summary!AA6</f>
        <v>2000</v>
      </c>
      <c r="G218" t="s">
        <v>311</v>
      </c>
      <c r="H218" t="s">
        <v>290</v>
      </c>
      <c r="I218" t="s">
        <v>259</v>
      </c>
      <c r="J218" s="22" t="s">
        <v>249</v>
      </c>
      <c r="K218" s="22" t="s">
        <v>257</v>
      </c>
      <c r="L218" t="s">
        <v>253</v>
      </c>
    </row>
    <row r="219" spans="2:14" x14ac:dyDescent="0.3">
      <c r="B219" t="s">
        <v>238</v>
      </c>
      <c r="C219" t="s">
        <v>2</v>
      </c>
      <c r="D219" t="s">
        <v>56</v>
      </c>
      <c r="E219" t="s">
        <v>157</v>
      </c>
      <c r="F219" s="17">
        <f>Summary!AA7</f>
        <v>2000</v>
      </c>
      <c r="G219" t="s">
        <v>311</v>
      </c>
      <c r="H219" t="s">
        <v>290</v>
      </c>
      <c r="I219" t="s">
        <v>259</v>
      </c>
      <c r="J219" s="22" t="s">
        <v>249</v>
      </c>
      <c r="K219" s="22" t="s">
        <v>257</v>
      </c>
      <c r="L219" t="s">
        <v>253</v>
      </c>
      <c r="N219" t="s">
        <v>254</v>
      </c>
    </row>
    <row r="220" spans="2:14" x14ac:dyDescent="0.3">
      <c r="B220" t="s">
        <v>238</v>
      </c>
      <c r="C220" t="s">
        <v>2</v>
      </c>
      <c r="D220" t="s">
        <v>57</v>
      </c>
      <c r="E220" t="s">
        <v>157</v>
      </c>
      <c r="F220" s="17">
        <f>Summary!AA8</f>
        <v>3000</v>
      </c>
      <c r="G220" t="s">
        <v>311</v>
      </c>
      <c r="H220" t="s">
        <v>290</v>
      </c>
      <c r="I220" t="s">
        <v>259</v>
      </c>
      <c r="J220" s="22" t="s">
        <v>249</v>
      </c>
      <c r="K220" s="22" t="s">
        <v>257</v>
      </c>
      <c r="L220" t="s">
        <v>253</v>
      </c>
      <c r="N220" t="s">
        <v>254</v>
      </c>
    </row>
    <row r="221" spans="2:14" x14ac:dyDescent="0.3">
      <c r="B221" t="s">
        <v>238</v>
      </c>
      <c r="C221" t="s">
        <v>2</v>
      </c>
      <c r="D221" t="s">
        <v>58</v>
      </c>
      <c r="E221" t="s">
        <v>157</v>
      </c>
      <c r="F221" s="17">
        <f>Summary!AA9</f>
        <v>2000</v>
      </c>
      <c r="G221" t="s">
        <v>311</v>
      </c>
      <c r="H221" t="s">
        <v>290</v>
      </c>
      <c r="I221" t="s">
        <v>259</v>
      </c>
      <c r="J221" s="22" t="s">
        <v>249</v>
      </c>
      <c r="K221" s="22" t="s">
        <v>257</v>
      </c>
      <c r="L221" t="s">
        <v>253</v>
      </c>
      <c r="N221" t="s">
        <v>254</v>
      </c>
    </row>
    <row r="222" spans="2:14" x14ac:dyDescent="0.3">
      <c r="B222" t="s">
        <v>238</v>
      </c>
      <c r="C222" t="s">
        <v>2</v>
      </c>
      <c r="D222" t="s">
        <v>59</v>
      </c>
      <c r="E222" t="s">
        <v>157</v>
      </c>
      <c r="F222" s="17">
        <f>Summary!AA10</f>
        <v>4000</v>
      </c>
      <c r="G222" t="s">
        <v>311</v>
      </c>
      <c r="H222" t="s">
        <v>290</v>
      </c>
      <c r="I222" t="s">
        <v>259</v>
      </c>
      <c r="J222" s="22" t="s">
        <v>249</v>
      </c>
      <c r="K222" s="22" t="s">
        <v>257</v>
      </c>
      <c r="L222" t="s">
        <v>253</v>
      </c>
      <c r="N222" t="s">
        <v>254</v>
      </c>
    </row>
    <row r="223" spans="2:14" x14ac:dyDescent="0.3">
      <c r="B223" t="s">
        <v>238</v>
      </c>
      <c r="C223" t="s">
        <v>2</v>
      </c>
      <c r="D223" t="s">
        <v>70</v>
      </c>
      <c r="E223" t="s">
        <v>157</v>
      </c>
      <c r="F223" s="17">
        <f>Summary!AA11</f>
        <v>4000</v>
      </c>
      <c r="G223" t="s">
        <v>311</v>
      </c>
      <c r="H223" t="s">
        <v>290</v>
      </c>
      <c r="I223" t="s">
        <v>259</v>
      </c>
      <c r="J223" s="22" t="s">
        <v>249</v>
      </c>
      <c r="K223" s="22" t="s">
        <v>257</v>
      </c>
      <c r="L223" t="s">
        <v>253</v>
      </c>
      <c r="N223" t="s">
        <v>305</v>
      </c>
    </row>
    <row r="224" spans="2:14" x14ac:dyDescent="0.3">
      <c r="B224" t="s">
        <v>238</v>
      </c>
      <c r="C224" t="s">
        <v>2</v>
      </c>
      <c r="D224" t="s">
        <v>71</v>
      </c>
      <c r="E224" t="s">
        <v>157</v>
      </c>
      <c r="F224" s="17">
        <f>Summary!AA12</f>
        <v>3000</v>
      </c>
      <c r="G224" t="s">
        <v>311</v>
      </c>
      <c r="H224" t="s">
        <v>290</v>
      </c>
      <c r="I224" t="s">
        <v>259</v>
      </c>
      <c r="J224" s="22" t="s">
        <v>249</v>
      </c>
      <c r="K224" s="22" t="s">
        <v>257</v>
      </c>
      <c r="L224" t="s">
        <v>253</v>
      </c>
      <c r="N224" t="s">
        <v>305</v>
      </c>
    </row>
    <row r="225" spans="2:14" x14ac:dyDescent="0.3">
      <c r="B225" t="s">
        <v>238</v>
      </c>
      <c r="C225" t="s">
        <v>2</v>
      </c>
      <c r="D225" t="s">
        <v>60</v>
      </c>
      <c r="E225" t="s">
        <v>157</v>
      </c>
      <c r="F225" s="17">
        <f>Summary!AA13</f>
        <v>2000</v>
      </c>
      <c r="G225" t="s">
        <v>311</v>
      </c>
      <c r="H225" t="s">
        <v>290</v>
      </c>
      <c r="I225" t="s">
        <v>259</v>
      </c>
      <c r="J225" s="22" t="s">
        <v>249</v>
      </c>
      <c r="K225" s="22" t="s">
        <v>257</v>
      </c>
      <c r="L225" t="s">
        <v>253</v>
      </c>
      <c r="N225" t="s">
        <v>255</v>
      </c>
    </row>
    <row r="226" spans="2:14" x14ac:dyDescent="0.3">
      <c r="B226" t="s">
        <v>238</v>
      </c>
      <c r="C226" t="s">
        <v>2</v>
      </c>
      <c r="D226" t="s">
        <v>61</v>
      </c>
      <c r="E226" t="s">
        <v>157</v>
      </c>
      <c r="F226" s="17">
        <f>Summary!AA14</f>
        <v>4000</v>
      </c>
      <c r="G226" t="s">
        <v>311</v>
      </c>
      <c r="H226" t="s">
        <v>290</v>
      </c>
      <c r="I226" t="s">
        <v>259</v>
      </c>
      <c r="J226" s="22" t="s">
        <v>249</v>
      </c>
      <c r="K226" s="22" t="s">
        <v>257</v>
      </c>
      <c r="L226" t="s">
        <v>253</v>
      </c>
      <c r="N226" t="s">
        <v>255</v>
      </c>
    </row>
    <row r="227" spans="2:14" x14ac:dyDescent="0.3">
      <c r="B227" t="s">
        <v>238</v>
      </c>
      <c r="C227" t="s">
        <v>2</v>
      </c>
      <c r="D227" t="s">
        <v>62</v>
      </c>
      <c r="E227" t="s">
        <v>157</v>
      </c>
      <c r="F227" s="17">
        <f>Summary!AA15</f>
        <v>2000</v>
      </c>
      <c r="G227" t="s">
        <v>311</v>
      </c>
      <c r="H227" t="s">
        <v>290</v>
      </c>
      <c r="I227" t="s">
        <v>259</v>
      </c>
      <c r="J227" s="22" t="s">
        <v>249</v>
      </c>
      <c r="K227" s="22" t="s">
        <v>257</v>
      </c>
      <c r="L227" t="s">
        <v>253</v>
      </c>
      <c r="N227" t="s">
        <v>255</v>
      </c>
    </row>
    <row r="228" spans="2:14" x14ac:dyDescent="0.3">
      <c r="B228" t="s">
        <v>238</v>
      </c>
      <c r="C228" t="s">
        <v>2</v>
      </c>
      <c r="D228" t="s">
        <v>63</v>
      </c>
      <c r="E228" t="s">
        <v>157</v>
      </c>
      <c r="F228" s="17">
        <f>Summary!AA16</f>
        <v>3000</v>
      </c>
      <c r="G228" t="s">
        <v>311</v>
      </c>
      <c r="H228" t="s">
        <v>290</v>
      </c>
      <c r="I228" t="s">
        <v>259</v>
      </c>
      <c r="J228" s="22" t="s">
        <v>249</v>
      </c>
      <c r="K228" s="22" t="s">
        <v>257</v>
      </c>
      <c r="L228" t="s">
        <v>253</v>
      </c>
      <c r="N228" t="s">
        <v>255</v>
      </c>
    </row>
    <row r="229" spans="2:14" x14ac:dyDescent="0.3">
      <c r="B229" t="s">
        <v>238</v>
      </c>
      <c r="C229" t="s">
        <v>2</v>
      </c>
      <c r="D229" t="s">
        <v>64</v>
      </c>
      <c r="E229" t="s">
        <v>157</v>
      </c>
      <c r="F229" s="17">
        <f>Summary!AA17</f>
        <v>4000</v>
      </c>
      <c r="G229" t="s">
        <v>311</v>
      </c>
      <c r="H229" t="s">
        <v>290</v>
      </c>
      <c r="I229" t="s">
        <v>259</v>
      </c>
      <c r="J229" s="22" t="s">
        <v>249</v>
      </c>
      <c r="K229" s="22" t="s">
        <v>257</v>
      </c>
      <c r="L229" t="s">
        <v>253</v>
      </c>
      <c r="N229" t="s">
        <v>255</v>
      </c>
    </row>
    <row r="230" spans="2:14" x14ac:dyDescent="0.3">
      <c r="B230" t="s">
        <v>238</v>
      </c>
      <c r="C230" t="s">
        <v>2</v>
      </c>
      <c r="D230" s="181" t="s">
        <v>31</v>
      </c>
      <c r="E230" t="s">
        <v>157</v>
      </c>
      <c r="F230" s="17">
        <f>Summary!AA18</f>
        <v>3000</v>
      </c>
      <c r="G230" t="s">
        <v>311</v>
      </c>
      <c r="H230" t="s">
        <v>290</v>
      </c>
      <c r="I230" t="s">
        <v>259</v>
      </c>
      <c r="J230" s="22" t="s">
        <v>249</v>
      </c>
      <c r="K230" s="22" t="s">
        <v>257</v>
      </c>
      <c r="L230" t="s">
        <v>253</v>
      </c>
    </row>
    <row r="231" spans="2:14" x14ac:dyDescent="0.3">
      <c r="B231" t="s">
        <v>238</v>
      </c>
      <c r="C231" t="s">
        <v>2</v>
      </c>
      <c r="D231" s="181" t="s">
        <v>32</v>
      </c>
      <c r="E231" t="s">
        <v>157</v>
      </c>
      <c r="F231" s="17">
        <f>Summary!AA19</f>
        <v>3000</v>
      </c>
      <c r="G231" t="s">
        <v>311</v>
      </c>
      <c r="H231" t="s">
        <v>290</v>
      </c>
      <c r="I231" t="s">
        <v>259</v>
      </c>
      <c r="J231" s="22" t="s">
        <v>249</v>
      </c>
      <c r="K231" s="22" t="s">
        <v>257</v>
      </c>
      <c r="L231" t="s">
        <v>253</v>
      </c>
    </row>
    <row r="232" spans="2:14" x14ac:dyDescent="0.3">
      <c r="B232" t="s">
        <v>238</v>
      </c>
      <c r="C232" t="s">
        <v>2</v>
      </c>
      <c r="D232" s="181" t="s">
        <v>33</v>
      </c>
      <c r="E232" t="s">
        <v>157</v>
      </c>
      <c r="F232" s="17">
        <f>Summary!AA20</f>
        <v>3000</v>
      </c>
      <c r="G232" t="s">
        <v>311</v>
      </c>
      <c r="H232" t="s">
        <v>290</v>
      </c>
      <c r="I232" t="s">
        <v>259</v>
      </c>
      <c r="J232" s="22" t="s">
        <v>249</v>
      </c>
      <c r="K232" s="22" t="s">
        <v>257</v>
      </c>
      <c r="L232" t="s">
        <v>253</v>
      </c>
    </row>
    <row r="233" spans="2:14" x14ac:dyDescent="0.3">
      <c r="B233" t="s">
        <v>238</v>
      </c>
      <c r="C233" t="s">
        <v>2</v>
      </c>
      <c r="D233" s="181" t="s">
        <v>65</v>
      </c>
      <c r="E233" t="s">
        <v>157</v>
      </c>
      <c r="F233" s="17">
        <f>Summary!AA21</f>
        <v>2000</v>
      </c>
      <c r="G233" t="s">
        <v>311</v>
      </c>
      <c r="H233" t="s">
        <v>290</v>
      </c>
      <c r="I233" t="s">
        <v>259</v>
      </c>
      <c r="J233" s="22" t="s">
        <v>249</v>
      </c>
      <c r="K233" s="22" t="s">
        <v>257</v>
      </c>
      <c r="L233" t="s">
        <v>253</v>
      </c>
    </row>
    <row r="234" spans="2:14" x14ac:dyDescent="0.3">
      <c r="B234" t="s">
        <v>238</v>
      </c>
      <c r="C234" t="s">
        <v>2</v>
      </c>
      <c r="D234" s="181" t="s">
        <v>34</v>
      </c>
      <c r="E234" t="s">
        <v>157</v>
      </c>
      <c r="F234" s="17">
        <f>Summary!AA22</f>
        <v>4000</v>
      </c>
      <c r="G234" t="s">
        <v>311</v>
      </c>
      <c r="H234" t="s">
        <v>290</v>
      </c>
      <c r="I234" t="s">
        <v>259</v>
      </c>
      <c r="J234" s="22" t="s">
        <v>249</v>
      </c>
      <c r="K234" s="22" t="s">
        <v>257</v>
      </c>
      <c r="L234" t="s">
        <v>253</v>
      </c>
    </row>
    <row r="235" spans="2:14" x14ac:dyDescent="0.3">
      <c r="B235" t="s">
        <v>238</v>
      </c>
      <c r="C235" t="s">
        <v>2</v>
      </c>
      <c r="D235" s="181" t="s">
        <v>35</v>
      </c>
      <c r="E235" t="s">
        <v>157</v>
      </c>
      <c r="F235" s="17">
        <f>Summary!AA23</f>
        <v>4000</v>
      </c>
      <c r="G235" t="s">
        <v>311</v>
      </c>
      <c r="H235" t="s">
        <v>290</v>
      </c>
      <c r="I235" t="s">
        <v>259</v>
      </c>
      <c r="J235" s="22" t="s">
        <v>249</v>
      </c>
      <c r="K235" s="22" t="s">
        <v>257</v>
      </c>
      <c r="L235" t="s">
        <v>253</v>
      </c>
    </row>
    <row r="236" spans="2:14" x14ac:dyDescent="0.3">
      <c r="B236" t="s">
        <v>238</v>
      </c>
      <c r="C236" t="s">
        <v>2</v>
      </c>
      <c r="D236" s="181" t="s">
        <v>36</v>
      </c>
      <c r="E236" t="s">
        <v>157</v>
      </c>
      <c r="F236" s="17">
        <f>Summary!AA24</f>
        <v>3000</v>
      </c>
      <c r="G236" t="s">
        <v>311</v>
      </c>
      <c r="H236" t="s">
        <v>290</v>
      </c>
      <c r="I236" t="s">
        <v>259</v>
      </c>
      <c r="J236" s="22" t="s">
        <v>249</v>
      </c>
      <c r="K236" s="22" t="s">
        <v>257</v>
      </c>
      <c r="L236" t="s">
        <v>253</v>
      </c>
    </row>
    <row r="237" spans="2:14" x14ac:dyDescent="0.3">
      <c r="B237" t="s">
        <v>238</v>
      </c>
      <c r="C237" t="s">
        <v>2</v>
      </c>
      <c r="D237" s="181" t="s">
        <v>66</v>
      </c>
      <c r="E237" t="s">
        <v>157</v>
      </c>
      <c r="F237" s="17">
        <f>Summary!AA25</f>
        <v>2000</v>
      </c>
      <c r="G237" t="s">
        <v>311</v>
      </c>
      <c r="H237" t="s">
        <v>290</v>
      </c>
      <c r="I237" t="s">
        <v>259</v>
      </c>
      <c r="J237" s="22" t="s">
        <v>249</v>
      </c>
      <c r="K237" s="22" t="s">
        <v>257</v>
      </c>
      <c r="L237" t="s">
        <v>253</v>
      </c>
    </row>
    <row r="238" spans="2:14" x14ac:dyDescent="0.3">
      <c r="B238" t="s">
        <v>238</v>
      </c>
      <c r="C238" t="s">
        <v>2</v>
      </c>
      <c r="D238" t="s">
        <v>37</v>
      </c>
      <c r="E238" t="s">
        <v>157</v>
      </c>
      <c r="F238" s="17">
        <f>Summary!AA26</f>
        <v>2000</v>
      </c>
      <c r="G238" t="s">
        <v>311</v>
      </c>
      <c r="H238" t="s">
        <v>290</v>
      </c>
      <c r="I238" t="s">
        <v>259</v>
      </c>
      <c r="J238" s="22" t="s">
        <v>249</v>
      </c>
      <c r="K238" s="22" t="s">
        <v>257</v>
      </c>
      <c r="L238" t="s">
        <v>253</v>
      </c>
    </row>
    <row r="239" spans="2:14" x14ac:dyDescent="0.3">
      <c r="B239" t="s">
        <v>238</v>
      </c>
      <c r="C239" t="s">
        <v>2</v>
      </c>
      <c r="D239" t="s">
        <v>38</v>
      </c>
      <c r="E239" t="s">
        <v>157</v>
      </c>
      <c r="F239" s="17">
        <f>Summary!AA27</f>
        <v>3000</v>
      </c>
      <c r="G239" t="s">
        <v>311</v>
      </c>
      <c r="H239" t="s">
        <v>290</v>
      </c>
      <c r="I239" t="s">
        <v>259</v>
      </c>
      <c r="J239" s="22" t="s">
        <v>249</v>
      </c>
      <c r="K239" s="22" t="s">
        <v>257</v>
      </c>
      <c r="L239" t="s">
        <v>253</v>
      </c>
    </row>
    <row r="240" spans="2:14" x14ac:dyDescent="0.3">
      <c r="B240" t="s">
        <v>238</v>
      </c>
      <c r="C240" t="s">
        <v>2</v>
      </c>
      <c r="D240" t="s">
        <v>27</v>
      </c>
      <c r="E240" t="s">
        <v>157</v>
      </c>
      <c r="F240" s="17">
        <f>Summary!AA28</f>
        <v>8000</v>
      </c>
      <c r="G240" t="s">
        <v>311</v>
      </c>
      <c r="H240" t="s">
        <v>290</v>
      </c>
      <c r="I240" t="s">
        <v>259</v>
      </c>
      <c r="J240" s="22" t="s">
        <v>249</v>
      </c>
      <c r="K240" s="22" t="s">
        <v>257</v>
      </c>
      <c r="L240" t="s">
        <v>253</v>
      </c>
    </row>
    <row r="241" spans="2:12" x14ac:dyDescent="0.3">
      <c r="B241" t="s">
        <v>238</v>
      </c>
      <c r="C241" t="s">
        <v>2</v>
      </c>
      <c r="D241" t="s">
        <v>39</v>
      </c>
      <c r="E241" t="s">
        <v>157</v>
      </c>
      <c r="F241" s="17">
        <f>Summary!AA29</f>
        <v>4000</v>
      </c>
      <c r="G241" t="s">
        <v>311</v>
      </c>
      <c r="H241" t="s">
        <v>290</v>
      </c>
      <c r="I241" t="s">
        <v>259</v>
      </c>
      <c r="J241" s="22" t="s">
        <v>249</v>
      </c>
      <c r="K241" s="22" t="s">
        <v>257</v>
      </c>
      <c r="L241" t="s">
        <v>253</v>
      </c>
    </row>
    <row r="242" spans="2:12" x14ac:dyDescent="0.3">
      <c r="B242" t="s">
        <v>238</v>
      </c>
      <c r="C242" t="s">
        <v>2</v>
      </c>
      <c r="D242" t="s">
        <v>40</v>
      </c>
      <c r="E242" t="s">
        <v>157</v>
      </c>
      <c r="F242" s="17">
        <f>Summary!AA30</f>
        <v>2000</v>
      </c>
      <c r="G242" t="s">
        <v>311</v>
      </c>
      <c r="H242" t="s">
        <v>290</v>
      </c>
      <c r="I242" t="s">
        <v>259</v>
      </c>
      <c r="J242" s="22" t="s">
        <v>249</v>
      </c>
      <c r="K242" s="22" t="s">
        <v>257</v>
      </c>
      <c r="L242" t="s">
        <v>253</v>
      </c>
    </row>
    <row r="243" spans="2:12" x14ac:dyDescent="0.3">
      <c r="B243" t="s">
        <v>238</v>
      </c>
      <c r="C243" t="s">
        <v>2</v>
      </c>
      <c r="D243" t="s">
        <v>41</v>
      </c>
      <c r="E243" t="s">
        <v>157</v>
      </c>
      <c r="F243" s="17">
        <f>Summary!AA31</f>
        <v>4000</v>
      </c>
      <c r="G243" t="s">
        <v>311</v>
      </c>
      <c r="H243" t="s">
        <v>290</v>
      </c>
      <c r="I243" t="s">
        <v>259</v>
      </c>
      <c r="J243" s="22" t="s">
        <v>249</v>
      </c>
      <c r="K243" s="22" t="s">
        <v>257</v>
      </c>
      <c r="L243" t="s">
        <v>253</v>
      </c>
    </row>
    <row r="244" spans="2:12" x14ac:dyDescent="0.3">
      <c r="B244" t="s">
        <v>238</v>
      </c>
      <c r="C244" t="s">
        <v>2</v>
      </c>
      <c r="D244" t="s">
        <v>42</v>
      </c>
      <c r="E244" t="s">
        <v>157</v>
      </c>
      <c r="F244" s="17">
        <f>Summary!AA32</f>
        <v>2000</v>
      </c>
      <c r="G244" t="s">
        <v>311</v>
      </c>
      <c r="H244" t="s">
        <v>290</v>
      </c>
      <c r="I244" t="s">
        <v>259</v>
      </c>
      <c r="J244" s="22" t="s">
        <v>249</v>
      </c>
      <c r="K244" s="22" t="s">
        <v>257</v>
      </c>
      <c r="L244" t="s">
        <v>253</v>
      </c>
    </row>
    <row r="245" spans="2:12" x14ac:dyDescent="0.3">
      <c r="B245" t="s">
        <v>238</v>
      </c>
      <c r="C245" t="s">
        <v>2</v>
      </c>
      <c r="D245" t="s">
        <v>43</v>
      </c>
      <c r="E245" t="s">
        <v>157</v>
      </c>
      <c r="F245" s="17">
        <f>Summary!AA33</f>
        <v>2000</v>
      </c>
      <c r="G245" t="s">
        <v>311</v>
      </c>
      <c r="H245" t="s">
        <v>290</v>
      </c>
      <c r="I245" t="s">
        <v>259</v>
      </c>
      <c r="J245" s="22" t="s">
        <v>249</v>
      </c>
      <c r="K245" s="22" t="s">
        <v>257</v>
      </c>
      <c r="L245" t="s">
        <v>253</v>
      </c>
    </row>
    <row r="246" spans="2:12" x14ac:dyDescent="0.3">
      <c r="B246" t="s">
        <v>238</v>
      </c>
      <c r="C246" t="s">
        <v>2</v>
      </c>
      <c r="D246" t="s">
        <v>44</v>
      </c>
      <c r="E246" t="s">
        <v>157</v>
      </c>
      <c r="F246" s="17">
        <f>Summary!AA34</f>
        <v>2000</v>
      </c>
      <c r="G246" t="s">
        <v>311</v>
      </c>
      <c r="H246" t="s">
        <v>290</v>
      </c>
      <c r="I246" t="s">
        <v>259</v>
      </c>
      <c r="J246" s="22" t="s">
        <v>249</v>
      </c>
      <c r="K246" s="22" t="s">
        <v>257</v>
      </c>
      <c r="L246" t="s">
        <v>253</v>
      </c>
    </row>
    <row r="247" spans="2:12" x14ac:dyDescent="0.3">
      <c r="B247" t="s">
        <v>238</v>
      </c>
      <c r="C247" t="s">
        <v>2</v>
      </c>
      <c r="D247" t="s">
        <v>45</v>
      </c>
      <c r="E247" t="s">
        <v>157</v>
      </c>
      <c r="F247" s="17">
        <f>Summary!AA35</f>
        <v>3000</v>
      </c>
      <c r="G247" t="s">
        <v>311</v>
      </c>
      <c r="H247" t="s">
        <v>290</v>
      </c>
      <c r="I247" t="s">
        <v>259</v>
      </c>
      <c r="J247" s="22" t="s">
        <v>249</v>
      </c>
      <c r="K247" s="22" t="s">
        <v>257</v>
      </c>
      <c r="L247" t="s">
        <v>253</v>
      </c>
    </row>
    <row r="248" spans="2:12" x14ac:dyDescent="0.3">
      <c r="B248" t="s">
        <v>238</v>
      </c>
      <c r="C248" t="s">
        <v>2</v>
      </c>
      <c r="D248" t="s">
        <v>46</v>
      </c>
      <c r="E248" t="s">
        <v>157</v>
      </c>
      <c r="F248" s="17">
        <f>Summary!AA36</f>
        <v>2000</v>
      </c>
      <c r="G248" t="s">
        <v>311</v>
      </c>
      <c r="H248" t="s">
        <v>290</v>
      </c>
      <c r="I248" t="s">
        <v>259</v>
      </c>
      <c r="J248" s="22" t="s">
        <v>249</v>
      </c>
      <c r="K248" s="22" t="s">
        <v>257</v>
      </c>
      <c r="L248" t="s">
        <v>253</v>
      </c>
    </row>
    <row r="249" spans="2:12" x14ac:dyDescent="0.3">
      <c r="B249" t="s">
        <v>238</v>
      </c>
      <c r="C249" t="s">
        <v>2</v>
      </c>
      <c r="D249" t="s">
        <v>47</v>
      </c>
      <c r="E249" t="s">
        <v>157</v>
      </c>
      <c r="F249" s="17">
        <f>Summary!AA37</f>
        <v>3000</v>
      </c>
      <c r="G249" t="s">
        <v>311</v>
      </c>
      <c r="H249" t="s">
        <v>290</v>
      </c>
      <c r="I249" t="s">
        <v>259</v>
      </c>
      <c r="J249" s="22" t="s">
        <v>249</v>
      </c>
      <c r="K249" s="22" t="s">
        <v>257</v>
      </c>
      <c r="L249" t="s">
        <v>253</v>
      </c>
    </row>
    <row r="250" spans="2:12" x14ac:dyDescent="0.3">
      <c r="B250" t="s">
        <v>238</v>
      </c>
      <c r="C250" t="s">
        <v>2</v>
      </c>
      <c r="D250" t="s">
        <v>48</v>
      </c>
      <c r="E250" t="s">
        <v>157</v>
      </c>
      <c r="F250" s="17">
        <f>Summary!AA38</f>
        <v>2000</v>
      </c>
      <c r="G250" t="s">
        <v>311</v>
      </c>
      <c r="H250" t="s">
        <v>290</v>
      </c>
      <c r="I250" t="s">
        <v>259</v>
      </c>
      <c r="J250" s="22" t="s">
        <v>249</v>
      </c>
      <c r="K250" s="22" t="s">
        <v>257</v>
      </c>
      <c r="L250" t="s">
        <v>253</v>
      </c>
    </row>
    <row r="251" spans="2:12" x14ac:dyDescent="0.3">
      <c r="B251" t="s">
        <v>238</v>
      </c>
      <c r="C251" t="s">
        <v>2</v>
      </c>
      <c r="D251" t="s">
        <v>49</v>
      </c>
      <c r="E251" t="s">
        <v>157</v>
      </c>
      <c r="F251" s="17">
        <f>Summary!AA39</f>
        <v>2000</v>
      </c>
      <c r="G251" t="s">
        <v>311</v>
      </c>
      <c r="H251" t="s">
        <v>290</v>
      </c>
      <c r="I251" t="s">
        <v>259</v>
      </c>
      <c r="J251" s="22" t="s">
        <v>249</v>
      </c>
      <c r="K251" s="22" t="s">
        <v>257</v>
      </c>
      <c r="L251" t="s">
        <v>253</v>
      </c>
    </row>
    <row r="252" spans="2:12" x14ac:dyDescent="0.3">
      <c r="B252" t="s">
        <v>238</v>
      </c>
      <c r="C252" t="s">
        <v>2</v>
      </c>
      <c r="D252" t="s">
        <v>50</v>
      </c>
      <c r="E252" t="s">
        <v>157</v>
      </c>
      <c r="F252" s="17">
        <f>Summary!AA40</f>
        <v>8000</v>
      </c>
      <c r="G252" t="s">
        <v>311</v>
      </c>
      <c r="H252" t="s">
        <v>290</v>
      </c>
      <c r="I252" t="s">
        <v>259</v>
      </c>
      <c r="J252" s="22" t="s">
        <v>249</v>
      </c>
      <c r="K252" s="22" t="s">
        <v>257</v>
      </c>
      <c r="L252" t="s">
        <v>253</v>
      </c>
    </row>
    <row r="253" spans="2:12" x14ac:dyDescent="0.3">
      <c r="B253" t="s">
        <v>238</v>
      </c>
      <c r="C253" t="s">
        <v>2</v>
      </c>
      <c r="D253" t="s">
        <v>69</v>
      </c>
      <c r="E253" t="s">
        <v>157</v>
      </c>
      <c r="F253" s="17">
        <f>Summary!AA41</f>
        <v>8000</v>
      </c>
      <c r="G253" t="s">
        <v>311</v>
      </c>
      <c r="H253" t="s">
        <v>290</v>
      </c>
      <c r="I253" t="s">
        <v>259</v>
      </c>
      <c r="J253" s="22" t="s">
        <v>249</v>
      </c>
      <c r="K253" s="22" t="s">
        <v>257</v>
      </c>
      <c r="L253" t="s">
        <v>253</v>
      </c>
    </row>
    <row r="254" spans="2:12" x14ac:dyDescent="0.3">
      <c r="B254" t="s">
        <v>238</v>
      </c>
      <c r="C254" t="s">
        <v>2</v>
      </c>
      <c r="D254" t="s">
        <v>51</v>
      </c>
      <c r="E254" t="s">
        <v>157</v>
      </c>
      <c r="F254" s="17">
        <f>Summary!AA42</f>
        <v>4000</v>
      </c>
      <c r="G254" t="s">
        <v>311</v>
      </c>
      <c r="H254" t="s">
        <v>290</v>
      </c>
      <c r="I254" t="s">
        <v>259</v>
      </c>
      <c r="J254" s="22" t="s">
        <v>249</v>
      </c>
      <c r="K254" s="22" t="s">
        <v>257</v>
      </c>
      <c r="L254" t="s">
        <v>253</v>
      </c>
    </row>
    <row r="255" spans="2:12" x14ac:dyDescent="0.3">
      <c r="B255" t="s">
        <v>238</v>
      </c>
      <c r="C255" t="s">
        <v>2</v>
      </c>
      <c r="D255" t="s">
        <v>52</v>
      </c>
      <c r="E255" t="s">
        <v>157</v>
      </c>
      <c r="F255" s="17">
        <f>Summary!AA43</f>
        <v>4000</v>
      </c>
      <c r="G255" t="s">
        <v>311</v>
      </c>
      <c r="H255" t="s">
        <v>290</v>
      </c>
      <c r="I255" t="s">
        <v>259</v>
      </c>
      <c r="J255" s="22" t="s">
        <v>249</v>
      </c>
      <c r="K255" s="22" t="s">
        <v>257</v>
      </c>
      <c r="L255" t="s">
        <v>253</v>
      </c>
    </row>
    <row r="256" spans="2:12" x14ac:dyDescent="0.3">
      <c r="B256" t="s">
        <v>238</v>
      </c>
      <c r="C256" t="s">
        <v>2</v>
      </c>
      <c r="D256" t="s">
        <v>24</v>
      </c>
      <c r="E256" t="s">
        <v>157</v>
      </c>
      <c r="F256" s="17">
        <f>Summary!AA44</f>
        <v>2000</v>
      </c>
      <c r="G256" t="s">
        <v>311</v>
      </c>
      <c r="H256" t="s">
        <v>290</v>
      </c>
      <c r="I256" t="s">
        <v>259</v>
      </c>
      <c r="J256" s="22" t="s">
        <v>249</v>
      </c>
      <c r="K256" s="22" t="s">
        <v>257</v>
      </c>
      <c r="L256" t="s">
        <v>253</v>
      </c>
    </row>
    <row r="257" spans="2:12" x14ac:dyDescent="0.3">
      <c r="B257" t="s">
        <v>238</v>
      </c>
      <c r="C257" t="s">
        <v>2</v>
      </c>
      <c r="D257" t="s">
        <v>53</v>
      </c>
      <c r="E257" t="s">
        <v>157</v>
      </c>
      <c r="F257" s="17">
        <f>Summary!AA45</f>
        <v>2000</v>
      </c>
      <c r="G257" t="s">
        <v>311</v>
      </c>
      <c r="H257" t="s">
        <v>290</v>
      </c>
      <c r="I257" t="s">
        <v>259</v>
      </c>
      <c r="J257" s="22" t="s">
        <v>249</v>
      </c>
      <c r="K257" s="22" t="s">
        <v>257</v>
      </c>
      <c r="L257" t="s">
        <v>253</v>
      </c>
    </row>
    <row r="258" spans="2:12" x14ac:dyDescent="0.3">
      <c r="B258" t="s">
        <v>238</v>
      </c>
      <c r="C258" t="s">
        <v>2</v>
      </c>
      <c r="D258" t="s">
        <v>54</v>
      </c>
      <c r="E258" t="s">
        <v>157</v>
      </c>
      <c r="F258" s="17">
        <f>Summary!AA46</f>
        <v>4000</v>
      </c>
      <c r="G258" t="s">
        <v>311</v>
      </c>
      <c r="H258" t="s">
        <v>290</v>
      </c>
      <c r="I258" t="s">
        <v>259</v>
      </c>
      <c r="J258" s="22" t="s">
        <v>249</v>
      </c>
      <c r="K258" s="22" t="s">
        <v>257</v>
      </c>
      <c r="L258" t="s">
        <v>253</v>
      </c>
    </row>
    <row r="259" spans="2:12" x14ac:dyDescent="0.3">
      <c r="B259" t="s">
        <v>238</v>
      </c>
      <c r="C259" t="s">
        <v>2</v>
      </c>
      <c r="D259" t="s">
        <v>67</v>
      </c>
      <c r="E259" t="s">
        <v>157</v>
      </c>
      <c r="F259" s="17">
        <f>Summary!AA47</f>
        <v>3000</v>
      </c>
      <c r="G259" t="s">
        <v>311</v>
      </c>
      <c r="H259" t="s">
        <v>290</v>
      </c>
      <c r="I259" t="s">
        <v>259</v>
      </c>
      <c r="J259" s="22" t="s">
        <v>249</v>
      </c>
      <c r="K259" s="22" t="s">
        <v>257</v>
      </c>
      <c r="L259" t="s">
        <v>253</v>
      </c>
    </row>
  </sheetData>
  <hyperlinks>
    <hyperlink ref="M15" r:id="rId1" xr:uid="{29257CDD-66E7-495E-BC75-99153268B703}"/>
    <hyperlink ref="M16:M22" r:id="rId2" display="http://odfwrecoverytracker.org" xr:uid="{031AD793-CA80-4FE7-9C1A-FB2FC29E7048}"/>
    <hyperlink ref="M58" r:id="rId3" xr:uid="{85ED1F89-F0E1-408B-BDF8-4A5C7E6A737C}"/>
    <hyperlink ref="M70" r:id="rId4" xr:uid="{4230E358-B48E-45D5-BD8F-2A869443F41B}"/>
    <hyperlink ref="M71:M78" r:id="rId5" display="https://www.streamnet.org/ca-priority-data/" xr:uid="{92BC4A19-6E56-4B2E-9C36-5D263145286F}"/>
    <hyperlink ref="M68" r:id="rId6" xr:uid="{B9CAE823-C4AB-4176-BE84-9A5284C7DE45}"/>
    <hyperlink ref="M27:M43" r:id="rId7" display="https://www.streamnet.org/ca-priority-data/" xr:uid="{854A0F09-BB66-4605-B6B1-05AFA133A91E}"/>
    <hyperlink ref="M25" r:id="rId8" xr:uid="{935BCC20-48B0-4E38-80E0-4F0EB040FD84}"/>
    <hyperlink ref="M2:M3" r:id="rId9" display="https://www.streamnet.org/ca-priority-data/" xr:uid="{1ACC0B5A-C526-42D1-B3A8-9F5E9D907D95}"/>
    <hyperlink ref="M45" r:id="rId10" xr:uid="{9544EB9B-B67B-447F-98F4-12A78758DCB4}"/>
    <hyperlink ref="M46:M57" r:id="rId11" display="http://www.westcoast.fisheries.noaa.gov/protected_species/salmon_steelhead/recovery_planning_and_implementation/snake_river/snake_river_sp-su_chinook_steelhead.html" xr:uid="{7C63F436-05F6-450E-B975-8C4BD09D5451}"/>
    <hyperlink ref="M66" r:id="rId12" xr:uid="{7BB1CA6F-38C1-4A6D-BBB5-CFEA6F0605B5}"/>
    <hyperlink ref="M88" r:id="rId13" xr:uid="{6C0A637A-4FE4-4D6D-969F-21C45CBA8073}"/>
    <hyperlink ref="M89:M130" r:id="rId14" display="http://www.nptfisheries.org/portals/0/images/dfrm/home/fisheries-management-plan-final-sm.pdf" xr:uid="{F1DF465A-0F9D-4B2C-9482-F5F69838FFEB}"/>
    <hyperlink ref="M131" r:id="rId15" xr:uid="{5FA665F0-A30F-4573-9B4F-9B32E57C032E}"/>
    <hyperlink ref="M132" r:id="rId16" xr:uid="{1CBD46EB-E838-406A-800E-ABAEC3B25B46}"/>
    <hyperlink ref="M145:M173" r:id="rId17" display="http://www.westcoast.fisheries.noaa.gov/protected_species/salmon_steelhead/recovery_planning_and_implementation/snake_river/snake_river_sp-su_chinook_steelhead.html" xr:uid="{C25AD22A-2CF8-48EA-9A90-5C18EF346158}"/>
    <hyperlink ref="M79" r:id="rId18" xr:uid="{FDD66E0E-444D-4B70-A6D5-7FB64F87389C}"/>
    <hyperlink ref="M80" r:id="rId19" xr:uid="{5EBE4D54-DF5C-4E8A-82EE-16AB97F2DE01}"/>
    <hyperlink ref="M81" r:id="rId20" xr:uid="{6143DB04-499C-4D7E-97D5-0725871D2691}"/>
    <hyperlink ref="M83" r:id="rId21" xr:uid="{FD78E7E7-1412-485D-B7EE-177D0E58A6A6}"/>
    <hyperlink ref="M84" r:id="rId22" xr:uid="{A4BE051C-1642-4DF4-8F8D-D5CE097E39BC}"/>
    <hyperlink ref="M85" r:id="rId23" xr:uid="{8654B96D-95A0-470D-B217-79651D8F8248}"/>
    <hyperlink ref="M86" r:id="rId24" xr:uid="{A3C04BF0-841E-4D9F-A8BB-2F74CB01CD3D}"/>
  </hyperlinks>
  <pageMargins left="0.7" right="0.7" top="0.75" bottom="0.75" header="0.3" footer="0.3"/>
  <legacyDrawing r:id="rId2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J49"/>
  <sheetViews>
    <sheetView workbookViewId="0">
      <pane xSplit="3" ySplit="4" topLeftCell="D19" activePane="bottomRight" state="frozen"/>
      <selection pane="topRight" activeCell="D1" sqref="D1"/>
      <selection pane="bottomLeft" activeCell="A5" sqref="A5"/>
      <selection pane="bottomRight" activeCell="O28" sqref="O28"/>
    </sheetView>
  </sheetViews>
  <sheetFormatPr defaultRowHeight="14.4" x14ac:dyDescent="0.3"/>
  <cols>
    <col min="1" max="1" width="2.77734375" customWidth="1"/>
    <col min="3" max="3" width="25.44140625" customWidth="1"/>
    <col min="8" max="9" width="8.88671875" style="28"/>
    <col min="15" max="15" width="8.88671875" style="90"/>
    <col min="17" max="17" width="1.6640625" customWidth="1"/>
    <col min="18" max="20" width="8.88671875" style="329"/>
    <col min="21" max="21" width="8.88671875" style="22"/>
  </cols>
  <sheetData>
    <row r="1" spans="2:36" x14ac:dyDescent="0.3">
      <c r="O1" s="90" t="s">
        <v>411</v>
      </c>
      <c r="R1" s="329" t="s">
        <v>412</v>
      </c>
    </row>
    <row r="3" spans="2:36" x14ac:dyDescent="0.3">
      <c r="B3" s="1" t="s">
        <v>2</v>
      </c>
      <c r="C3" s="2"/>
      <c r="E3" t="s">
        <v>288</v>
      </c>
      <c r="F3" t="s">
        <v>289</v>
      </c>
      <c r="G3" s="22" t="s">
        <v>293</v>
      </c>
      <c r="H3" s="28" t="s">
        <v>265</v>
      </c>
      <c r="I3" s="28" t="s">
        <v>265</v>
      </c>
      <c r="K3" t="s">
        <v>268</v>
      </c>
      <c r="L3" t="s">
        <v>268</v>
      </c>
      <c r="N3" t="s">
        <v>353</v>
      </c>
      <c r="P3" t="s">
        <v>354</v>
      </c>
      <c r="S3" s="329" t="s">
        <v>416</v>
      </c>
      <c r="U3" s="22" t="s">
        <v>319</v>
      </c>
      <c r="W3" t="s">
        <v>23</v>
      </c>
    </row>
    <row r="4" spans="2:36" x14ac:dyDescent="0.3">
      <c r="B4" s="3" t="s">
        <v>4</v>
      </c>
      <c r="C4" s="126" t="s">
        <v>5</v>
      </c>
      <c r="E4" t="s">
        <v>303</v>
      </c>
      <c r="F4" t="s">
        <v>290</v>
      </c>
      <c r="G4" s="22" t="s">
        <v>294</v>
      </c>
      <c r="H4" s="28" t="s">
        <v>266</v>
      </c>
      <c r="I4" s="28" t="s">
        <v>267</v>
      </c>
      <c r="K4" t="s">
        <v>304</v>
      </c>
      <c r="L4" t="s">
        <v>269</v>
      </c>
      <c r="N4" t="s">
        <v>294</v>
      </c>
      <c r="O4" s="90" t="s">
        <v>230</v>
      </c>
      <c r="R4" s="329" t="s">
        <v>353</v>
      </c>
      <c r="S4" s="335" t="s">
        <v>230</v>
      </c>
      <c r="T4" s="329" t="s">
        <v>354</v>
      </c>
      <c r="U4" s="22" t="s">
        <v>415</v>
      </c>
      <c r="AJ4" t="s">
        <v>352</v>
      </c>
    </row>
    <row r="5" spans="2:36" x14ac:dyDescent="0.3">
      <c r="B5" s="365" t="s">
        <v>22</v>
      </c>
      <c r="C5" s="125" t="s">
        <v>23</v>
      </c>
      <c r="H5" s="28">
        <v>506</v>
      </c>
      <c r="I5" s="28">
        <v>9317</v>
      </c>
      <c r="K5">
        <v>3400</v>
      </c>
      <c r="L5" s="55">
        <v>22000</v>
      </c>
      <c r="N5" s="17">
        <f>Summary!V5</f>
        <v>240</v>
      </c>
      <c r="O5" s="332">
        <f>Run!DF80</f>
        <v>0.42433333333333334</v>
      </c>
      <c r="P5" s="161">
        <f>N5/(1-O5)</f>
        <v>416.90793283149969</v>
      </c>
      <c r="R5" s="28">
        <f>N5</f>
        <v>240</v>
      </c>
      <c r="S5" s="329" t="e">
        <f>#REF!</f>
        <v>#REF!</v>
      </c>
      <c r="T5" s="161" t="e">
        <f t="shared" ref="T5:T47" si="0">R5/(1-S5)</f>
        <v>#REF!</v>
      </c>
      <c r="U5" s="336"/>
    </row>
    <row r="6" spans="2:36" x14ac:dyDescent="0.3">
      <c r="B6" s="366"/>
      <c r="C6" s="20" t="s">
        <v>55</v>
      </c>
      <c r="K6">
        <v>2000</v>
      </c>
      <c r="L6" s="165">
        <v>10000</v>
      </c>
      <c r="N6" s="17">
        <f>Summary!V6</f>
        <v>10</v>
      </c>
      <c r="R6" s="28">
        <f t="shared" ref="R6:R47" si="1">N6</f>
        <v>10</v>
      </c>
      <c r="T6" s="161">
        <f t="shared" si="0"/>
        <v>10</v>
      </c>
      <c r="U6" s="336"/>
    </row>
    <row r="7" spans="2:36" x14ac:dyDescent="0.3">
      <c r="B7" s="367" t="s">
        <v>29</v>
      </c>
      <c r="C7" s="11" t="s">
        <v>56</v>
      </c>
      <c r="K7">
        <v>5700</v>
      </c>
      <c r="L7" s="5"/>
      <c r="N7" s="17">
        <f>Summary!V7</f>
        <v>0</v>
      </c>
      <c r="R7" s="28">
        <f t="shared" si="1"/>
        <v>0</v>
      </c>
      <c r="T7" s="161">
        <f t="shared" si="0"/>
        <v>0</v>
      </c>
      <c r="U7" s="336"/>
    </row>
    <row r="8" spans="2:36" x14ac:dyDescent="0.3">
      <c r="B8" s="368"/>
      <c r="C8" s="12" t="s">
        <v>57</v>
      </c>
      <c r="K8">
        <v>6600</v>
      </c>
      <c r="L8" s="55">
        <v>15000</v>
      </c>
      <c r="N8" s="17">
        <f>Summary!V8</f>
        <v>0</v>
      </c>
      <c r="R8" s="28">
        <f t="shared" si="1"/>
        <v>0</v>
      </c>
      <c r="T8" s="161">
        <f t="shared" si="0"/>
        <v>0</v>
      </c>
      <c r="U8" s="336"/>
    </row>
    <row r="9" spans="2:36" x14ac:dyDescent="0.3">
      <c r="B9" s="368"/>
      <c r="C9" s="12" t="s">
        <v>58</v>
      </c>
      <c r="K9">
        <v>5500</v>
      </c>
      <c r="L9" s="55">
        <v>13000</v>
      </c>
      <c r="N9" s="17">
        <f>Summary!V9</f>
        <v>0</v>
      </c>
      <c r="R9" s="28">
        <f t="shared" si="1"/>
        <v>0</v>
      </c>
      <c r="T9" s="161">
        <f t="shared" si="0"/>
        <v>0</v>
      </c>
      <c r="U9" s="336"/>
    </row>
    <row r="10" spans="2:36" x14ac:dyDescent="0.3">
      <c r="B10" s="368"/>
      <c r="C10" s="13" t="s">
        <v>59</v>
      </c>
      <c r="K10">
        <v>9600</v>
      </c>
      <c r="L10" s="165">
        <v>22000</v>
      </c>
      <c r="N10" s="17" t="str">
        <f>Summary!V10</f>
        <v>na</v>
      </c>
      <c r="R10" s="28" t="str">
        <f t="shared" si="1"/>
        <v>na</v>
      </c>
      <c r="T10" s="161"/>
      <c r="U10" s="336"/>
    </row>
    <row r="11" spans="2:36" x14ac:dyDescent="0.3">
      <c r="B11" s="362" t="s">
        <v>30</v>
      </c>
      <c r="C11" s="11" t="s">
        <v>70</v>
      </c>
      <c r="L11" s="5"/>
      <c r="N11" s="17">
        <f>Summary!V11</f>
        <v>0</v>
      </c>
      <c r="R11" s="28">
        <f t="shared" si="1"/>
        <v>0</v>
      </c>
      <c r="T11" s="161">
        <f t="shared" si="0"/>
        <v>0</v>
      </c>
      <c r="U11" s="336"/>
    </row>
    <row r="12" spans="2:36" x14ac:dyDescent="0.3">
      <c r="B12" s="369"/>
      <c r="C12" s="12" t="s">
        <v>71</v>
      </c>
      <c r="L12" s="26"/>
      <c r="N12" s="17">
        <f>Summary!V12</f>
        <v>0</v>
      </c>
      <c r="R12" s="28">
        <f t="shared" si="1"/>
        <v>0</v>
      </c>
      <c r="T12" s="161">
        <f t="shared" si="0"/>
        <v>0</v>
      </c>
      <c r="U12" s="336"/>
    </row>
    <row r="13" spans="2:36" x14ac:dyDescent="0.3">
      <c r="B13" s="369"/>
      <c r="C13" s="12" t="s">
        <v>60</v>
      </c>
      <c r="K13">
        <v>6600</v>
      </c>
      <c r="L13" s="55">
        <v>15000</v>
      </c>
      <c r="N13" s="17" t="str">
        <f>Summary!V13</f>
        <v>na</v>
      </c>
      <c r="R13" s="28" t="str">
        <f t="shared" si="1"/>
        <v>na</v>
      </c>
      <c r="T13" s="161"/>
      <c r="U13" s="336"/>
    </row>
    <row r="14" spans="2:36" x14ac:dyDescent="0.3">
      <c r="B14" s="369"/>
      <c r="C14" s="12" t="s">
        <v>61</v>
      </c>
      <c r="K14">
        <v>10200</v>
      </c>
      <c r="L14" s="55">
        <v>24000</v>
      </c>
      <c r="N14" s="17" t="str">
        <f>Summary!V14</f>
        <v>na</v>
      </c>
      <c r="R14" s="28" t="str">
        <f t="shared" si="1"/>
        <v>na</v>
      </c>
      <c r="T14" s="161"/>
      <c r="U14" s="336"/>
    </row>
    <row r="15" spans="2:36" x14ac:dyDescent="0.3">
      <c r="B15" s="369"/>
      <c r="C15" s="12" t="s">
        <v>62</v>
      </c>
      <c r="K15">
        <v>3300</v>
      </c>
      <c r="L15" s="55">
        <v>8000</v>
      </c>
      <c r="N15" s="17" t="str">
        <f>Summary!V15</f>
        <v>na</v>
      </c>
      <c r="R15" s="28" t="str">
        <f t="shared" si="1"/>
        <v>na</v>
      </c>
      <c r="T15" s="161"/>
      <c r="U15" s="336"/>
    </row>
    <row r="16" spans="2:36" x14ac:dyDescent="0.3">
      <c r="B16" s="369"/>
      <c r="C16" s="12" t="s">
        <v>63</v>
      </c>
      <c r="K16">
        <v>5000</v>
      </c>
      <c r="L16" s="55">
        <v>12000</v>
      </c>
      <c r="N16" s="17" t="str">
        <f>Summary!V16</f>
        <v>na</v>
      </c>
      <c r="R16" s="28" t="str">
        <f t="shared" si="1"/>
        <v>na</v>
      </c>
      <c r="T16" s="161"/>
      <c r="U16" s="336"/>
    </row>
    <row r="17" spans="2:23" x14ac:dyDescent="0.3">
      <c r="B17" s="370"/>
      <c r="C17" s="13" t="s">
        <v>64</v>
      </c>
      <c r="K17">
        <v>7600</v>
      </c>
      <c r="L17" s="165">
        <v>18000</v>
      </c>
      <c r="N17" s="17" t="str">
        <f>Summary!V17</f>
        <v>na</v>
      </c>
      <c r="R17" s="28" t="str">
        <f t="shared" si="1"/>
        <v>na</v>
      </c>
      <c r="T17" s="161"/>
      <c r="U17" s="336"/>
    </row>
    <row r="18" spans="2:23" x14ac:dyDescent="0.3">
      <c r="B18" s="367" t="s">
        <v>28</v>
      </c>
      <c r="C18" s="14" t="s">
        <v>31</v>
      </c>
      <c r="H18">
        <v>453</v>
      </c>
      <c r="I18">
        <v>1800</v>
      </c>
      <c r="K18">
        <v>1800</v>
      </c>
      <c r="L18" s="166">
        <v>13000</v>
      </c>
      <c r="N18" s="17">
        <f>Summary!V18</f>
        <v>420</v>
      </c>
      <c r="O18" s="332">
        <f>Run!CQ80</f>
        <v>0.19237693101709866</v>
      </c>
      <c r="P18" s="161">
        <f>N18/(1-O18)</f>
        <v>520.04458036214419</v>
      </c>
      <c r="R18" s="28">
        <f t="shared" si="1"/>
        <v>420</v>
      </c>
      <c r="S18" s="329" t="e">
        <f>#REF!</f>
        <v>#REF!</v>
      </c>
      <c r="T18" s="161" t="e">
        <f t="shared" si="0"/>
        <v>#REF!</v>
      </c>
      <c r="U18" s="336"/>
    </row>
    <row r="19" spans="2:23" x14ac:dyDescent="0.3">
      <c r="B19" s="368"/>
      <c r="C19" s="15" t="s">
        <v>32</v>
      </c>
      <c r="H19">
        <v>347</v>
      </c>
      <c r="I19">
        <v>1800</v>
      </c>
      <c r="K19">
        <v>1900</v>
      </c>
      <c r="L19" s="55">
        <v>14000</v>
      </c>
      <c r="N19" s="17">
        <f>Summary!V19</f>
        <v>530</v>
      </c>
      <c r="O19" s="332">
        <f>Run!BV80</f>
        <v>9.0194982403355564E-2</v>
      </c>
      <c r="P19" s="161">
        <f>N19/(1-O19)</f>
        <v>582.5424016676194</v>
      </c>
      <c r="R19" s="28">
        <f t="shared" si="1"/>
        <v>530</v>
      </c>
      <c r="S19" s="329" t="e">
        <f>#REF!</f>
        <v>#REF!</v>
      </c>
      <c r="T19" s="161" t="e">
        <f t="shared" si="0"/>
        <v>#REF!</v>
      </c>
      <c r="U19" s="336"/>
    </row>
    <row r="20" spans="2:23" x14ac:dyDescent="0.3">
      <c r="B20" s="368"/>
      <c r="C20" s="15" t="s">
        <v>33</v>
      </c>
      <c r="H20" s="28">
        <v>188</v>
      </c>
      <c r="I20" s="28">
        <v>1200</v>
      </c>
      <c r="K20">
        <v>3000</v>
      </c>
      <c r="L20" s="55">
        <v>22000</v>
      </c>
      <c r="N20" s="17">
        <f>Summary!V20</f>
        <v>190</v>
      </c>
      <c r="O20" s="332">
        <f>Run!BH80</f>
        <v>0.54366574023505243</v>
      </c>
      <c r="P20" s="161">
        <f>N20/(1-O20)</f>
        <v>416.36146297204766</v>
      </c>
      <c r="R20" s="28">
        <f t="shared" si="1"/>
        <v>190</v>
      </c>
      <c r="S20" s="329" t="e">
        <f>#REF!</f>
        <v>#REF!</v>
      </c>
      <c r="T20" s="161" t="e">
        <f t="shared" si="0"/>
        <v>#REF!</v>
      </c>
      <c r="U20" s="336"/>
      <c r="W20" t="s">
        <v>322</v>
      </c>
    </row>
    <row r="21" spans="2:23" x14ac:dyDescent="0.3">
      <c r="B21" s="368"/>
      <c r="C21" s="15" t="s">
        <v>65</v>
      </c>
      <c r="H21" s="28">
        <v>190</v>
      </c>
      <c r="I21" s="28">
        <v>1200</v>
      </c>
      <c r="K21">
        <v>1000</v>
      </c>
      <c r="L21" s="55">
        <v>3000</v>
      </c>
      <c r="N21" s="17" t="str">
        <f>Summary!V21</f>
        <v>na</v>
      </c>
      <c r="R21" s="28" t="str">
        <f t="shared" si="1"/>
        <v>na</v>
      </c>
      <c r="T21" s="161"/>
      <c r="U21" s="336"/>
    </row>
    <row r="22" spans="2:23" x14ac:dyDescent="0.3">
      <c r="B22" s="368"/>
      <c r="C22" s="15" t="s">
        <v>34</v>
      </c>
      <c r="H22" s="28">
        <v>211</v>
      </c>
      <c r="I22" s="28">
        <v>3600</v>
      </c>
      <c r="K22">
        <v>4800</v>
      </c>
      <c r="L22" s="55">
        <v>36000</v>
      </c>
      <c r="N22" s="17">
        <f>Summary!V22</f>
        <v>635</v>
      </c>
      <c r="O22" s="332">
        <f>Run!CJ80</f>
        <v>0.58183367472063718</v>
      </c>
      <c r="P22" s="161">
        <f>N22/(1-O22)</f>
        <v>1518.5345199085027</v>
      </c>
      <c r="R22" s="28">
        <f t="shared" si="1"/>
        <v>635</v>
      </c>
      <c r="S22" s="329" t="e">
        <f>#REF!</f>
        <v>#REF!</v>
      </c>
      <c r="T22" s="161" t="e">
        <f t="shared" si="0"/>
        <v>#REF!</v>
      </c>
      <c r="U22" s="336"/>
    </row>
    <row r="23" spans="2:23" x14ac:dyDescent="0.3">
      <c r="B23" s="368"/>
      <c r="C23" s="15" t="s">
        <v>35</v>
      </c>
      <c r="H23" s="28">
        <v>132</v>
      </c>
      <c r="I23" s="28">
        <v>2400</v>
      </c>
      <c r="K23">
        <v>4100</v>
      </c>
      <c r="L23" s="55">
        <v>31000</v>
      </c>
      <c r="N23" s="17">
        <f>Summary!V23</f>
        <v>70</v>
      </c>
      <c r="O23" s="332">
        <f>Run!CC80</f>
        <v>0.7935509523460651</v>
      </c>
      <c r="P23" s="161">
        <f>N23/(1-O23)</f>
        <v>339.06671304843775</v>
      </c>
      <c r="R23" s="28">
        <f t="shared" si="1"/>
        <v>70</v>
      </c>
      <c r="S23" s="329" t="e">
        <f>#REF!</f>
        <v>#REF!</v>
      </c>
      <c r="T23" s="161" t="e">
        <f t="shared" si="0"/>
        <v>#REF!</v>
      </c>
      <c r="U23" s="336"/>
    </row>
    <row r="24" spans="2:23" x14ac:dyDescent="0.3">
      <c r="B24" s="368"/>
      <c r="C24" s="15" t="s">
        <v>36</v>
      </c>
      <c r="K24">
        <v>5700</v>
      </c>
      <c r="L24" s="55">
        <v>38000</v>
      </c>
      <c r="N24" s="17">
        <f>Summary!V24</f>
        <v>410</v>
      </c>
      <c r="O24" s="332">
        <f>Run!BO80</f>
        <v>0.68261210600506406</v>
      </c>
      <c r="P24" s="161">
        <f>N24/(1-O24)</f>
        <v>1291.794702184015</v>
      </c>
      <c r="R24" s="28">
        <f t="shared" si="1"/>
        <v>410</v>
      </c>
      <c r="S24" s="329" t="e">
        <f>#REF!</f>
        <v>#REF!</v>
      </c>
      <c r="T24" s="161" t="e">
        <f t="shared" si="0"/>
        <v>#REF!</v>
      </c>
      <c r="U24" s="336"/>
    </row>
    <row r="25" spans="2:23" x14ac:dyDescent="0.3">
      <c r="B25" s="368"/>
      <c r="C25" s="16" t="s">
        <v>66</v>
      </c>
      <c r="L25" s="27"/>
      <c r="N25" s="17" t="str">
        <f>Summary!V25</f>
        <v>na</v>
      </c>
      <c r="R25" s="28" t="str">
        <f t="shared" si="1"/>
        <v>na</v>
      </c>
      <c r="T25" s="161"/>
      <c r="U25" s="336"/>
    </row>
    <row r="26" spans="2:23" x14ac:dyDescent="0.3">
      <c r="B26" s="367" t="s">
        <v>27</v>
      </c>
      <c r="C26" s="11" t="s">
        <v>37</v>
      </c>
      <c r="E26" s="6"/>
      <c r="F26" s="26"/>
      <c r="G26" s="26"/>
      <c r="K26">
        <v>5100</v>
      </c>
      <c r="L26" s="55">
        <v>14000</v>
      </c>
      <c r="N26" s="17" t="str">
        <f>Summary!V26</f>
        <v>na</v>
      </c>
      <c r="R26" s="28" t="str">
        <f t="shared" si="1"/>
        <v>na</v>
      </c>
      <c r="T26" s="161"/>
      <c r="U26" s="336"/>
    </row>
    <row r="27" spans="2:23" x14ac:dyDescent="0.3">
      <c r="B27" s="368"/>
      <c r="C27" s="12" t="s">
        <v>38</v>
      </c>
      <c r="E27" s="6"/>
      <c r="F27" s="26"/>
      <c r="G27" s="26"/>
      <c r="K27">
        <v>5400</v>
      </c>
      <c r="L27" s="55">
        <v>15000</v>
      </c>
      <c r="N27" s="17" t="str">
        <f>Summary!V27</f>
        <v>na</v>
      </c>
      <c r="R27" s="28" t="str">
        <f t="shared" si="1"/>
        <v>na</v>
      </c>
      <c r="T27" s="161"/>
      <c r="U27" s="336"/>
    </row>
    <row r="28" spans="2:23" x14ac:dyDescent="0.3">
      <c r="B28" s="368"/>
      <c r="C28" s="12" t="s">
        <v>27</v>
      </c>
      <c r="E28" s="6">
        <v>794</v>
      </c>
      <c r="F28" s="26">
        <f>Summary!V28</f>
        <v>510</v>
      </c>
      <c r="G28" s="26"/>
      <c r="K28">
        <v>8600</v>
      </c>
      <c r="L28" s="55">
        <v>24000</v>
      </c>
      <c r="N28" s="17">
        <f>Summary!V28</f>
        <v>510</v>
      </c>
      <c r="O28" s="339">
        <f>Run!ET80</f>
        <v>2.8575480100000002E-2</v>
      </c>
      <c r="P28" s="161">
        <f>N28/(1-O28)</f>
        <v>525.00218962199983</v>
      </c>
      <c r="R28" s="28">
        <f t="shared" si="1"/>
        <v>510</v>
      </c>
      <c r="S28" s="329" t="e">
        <f>#REF!</f>
        <v>#REF!</v>
      </c>
      <c r="T28" s="161" t="e">
        <f t="shared" si="0"/>
        <v>#REF!</v>
      </c>
      <c r="U28" s="337"/>
    </row>
    <row r="29" spans="2:23" x14ac:dyDescent="0.3">
      <c r="B29" s="368"/>
      <c r="C29" s="13" t="s">
        <v>39</v>
      </c>
      <c r="E29" s="6"/>
      <c r="F29" s="26"/>
      <c r="G29" s="26"/>
      <c r="K29">
        <v>6900</v>
      </c>
      <c r="L29" s="55">
        <v>19000</v>
      </c>
      <c r="N29" s="17" t="str">
        <f>Summary!V29</f>
        <v>na</v>
      </c>
      <c r="R29" s="28" t="str">
        <f t="shared" si="1"/>
        <v>na</v>
      </c>
      <c r="T29" s="161"/>
      <c r="U29" s="336"/>
    </row>
    <row r="30" spans="2:23" x14ac:dyDescent="0.3">
      <c r="B30" s="367" t="s">
        <v>26</v>
      </c>
      <c r="C30" s="21" t="s">
        <v>40</v>
      </c>
      <c r="E30" s="4">
        <v>938</v>
      </c>
      <c r="F30" s="26">
        <f>Summary!V30</f>
        <v>840</v>
      </c>
      <c r="G30" s="26"/>
      <c r="K30">
        <v>3900</v>
      </c>
      <c r="L30" s="166">
        <v>11000</v>
      </c>
      <c r="N30" s="17">
        <f>Summary!V30</f>
        <v>840</v>
      </c>
      <c r="O30" s="333">
        <f>Run!DK80</f>
        <v>0</v>
      </c>
      <c r="P30" s="161">
        <f t="shared" ref="P30:P46" si="2">N30/(1-O30)</f>
        <v>840</v>
      </c>
      <c r="R30" s="28">
        <f t="shared" si="1"/>
        <v>840</v>
      </c>
      <c r="S30" s="329" t="e">
        <f>#REF!</f>
        <v>#REF!</v>
      </c>
      <c r="T30" s="161" t="e">
        <f t="shared" si="0"/>
        <v>#REF!</v>
      </c>
      <c r="U30" s="336"/>
    </row>
    <row r="31" spans="2:23" x14ac:dyDescent="0.3">
      <c r="B31" s="368"/>
      <c r="C31" s="19" t="s">
        <v>41</v>
      </c>
      <c r="E31" s="6">
        <v>288</v>
      </c>
      <c r="F31" s="26">
        <f>Summary!V31</f>
        <v>200</v>
      </c>
      <c r="G31" s="26"/>
      <c r="K31">
        <v>6900</v>
      </c>
      <c r="L31" s="55">
        <v>19000</v>
      </c>
      <c r="N31" s="17">
        <f>Summary!V31</f>
        <v>200</v>
      </c>
      <c r="O31" s="90">
        <v>0</v>
      </c>
      <c r="P31" s="161">
        <f t="shared" si="2"/>
        <v>200</v>
      </c>
      <c r="R31" s="28">
        <f t="shared" si="1"/>
        <v>200</v>
      </c>
      <c r="S31" s="329" t="e">
        <f>#REF!</f>
        <v>#REF!</v>
      </c>
      <c r="T31" s="161" t="e">
        <f t="shared" si="0"/>
        <v>#REF!</v>
      </c>
      <c r="U31" s="336"/>
    </row>
    <row r="32" spans="2:23" x14ac:dyDescent="0.3">
      <c r="B32" s="368"/>
      <c r="C32" s="19" t="s">
        <v>42</v>
      </c>
      <c r="E32" s="6">
        <v>6</v>
      </c>
      <c r="F32" s="26">
        <f>Summary!V32</f>
        <v>10</v>
      </c>
      <c r="G32" s="26"/>
      <c r="K32">
        <v>2100</v>
      </c>
      <c r="L32" s="55">
        <v>6000</v>
      </c>
      <c r="N32" s="17">
        <f>Summary!V32</f>
        <v>10</v>
      </c>
      <c r="O32" s="90">
        <v>0</v>
      </c>
      <c r="P32" s="161">
        <f t="shared" si="2"/>
        <v>10</v>
      </c>
      <c r="R32" s="28">
        <f t="shared" si="1"/>
        <v>10</v>
      </c>
      <c r="S32" s="329" t="e">
        <f>#REF!</f>
        <v>#REF!</v>
      </c>
      <c r="T32" s="161" t="e">
        <f t="shared" si="0"/>
        <v>#REF!</v>
      </c>
      <c r="U32" s="336"/>
    </row>
    <row r="33" spans="2:21" x14ac:dyDescent="0.3">
      <c r="B33" s="368"/>
      <c r="C33" s="19" t="s">
        <v>43</v>
      </c>
      <c r="E33" s="6">
        <v>57</v>
      </c>
      <c r="F33" s="26">
        <f>Summary!V33</f>
        <v>40</v>
      </c>
      <c r="G33" s="26"/>
      <c r="K33">
        <v>3000</v>
      </c>
      <c r="L33" s="55">
        <v>8000</v>
      </c>
      <c r="N33" s="17">
        <f>Summary!V33</f>
        <v>40</v>
      </c>
      <c r="O33" s="90">
        <v>0</v>
      </c>
      <c r="P33" s="161">
        <f t="shared" si="2"/>
        <v>40</v>
      </c>
      <c r="R33" s="28">
        <f t="shared" si="1"/>
        <v>40</v>
      </c>
      <c r="S33" s="329" t="e">
        <f>#REF!</f>
        <v>#REF!</v>
      </c>
      <c r="T33" s="161" t="e">
        <f t="shared" si="0"/>
        <v>#REF!</v>
      </c>
      <c r="U33" s="336"/>
    </row>
    <row r="34" spans="2:21" x14ac:dyDescent="0.3">
      <c r="B34" s="368"/>
      <c r="C34" s="19" t="s">
        <v>44</v>
      </c>
      <c r="E34" s="6">
        <v>77</v>
      </c>
      <c r="F34" s="26">
        <f>Summary!V34</f>
        <v>60</v>
      </c>
      <c r="G34" s="26"/>
      <c r="K34">
        <v>3200</v>
      </c>
      <c r="L34" s="55">
        <v>9000</v>
      </c>
      <c r="N34" s="17">
        <f>Summary!V34</f>
        <v>60</v>
      </c>
      <c r="O34" s="90">
        <v>0</v>
      </c>
      <c r="P34" s="161">
        <f t="shared" si="2"/>
        <v>60</v>
      </c>
      <c r="R34" s="28">
        <f t="shared" si="1"/>
        <v>60</v>
      </c>
      <c r="S34" s="329" t="e">
        <f>#REF!</f>
        <v>#REF!</v>
      </c>
      <c r="T34" s="161" t="e">
        <f t="shared" si="0"/>
        <v>#REF!</v>
      </c>
      <c r="U34" s="336"/>
    </row>
    <row r="35" spans="2:21" x14ac:dyDescent="0.3">
      <c r="B35" s="368"/>
      <c r="C35" s="19" t="s">
        <v>45</v>
      </c>
      <c r="E35" s="6">
        <v>102</v>
      </c>
      <c r="F35" s="26">
        <f>Summary!V35</f>
        <v>80</v>
      </c>
      <c r="G35" s="26"/>
      <c r="K35">
        <v>6100</v>
      </c>
      <c r="L35" s="55">
        <v>17000</v>
      </c>
      <c r="N35" s="17">
        <f>Summary!V35</f>
        <v>80</v>
      </c>
      <c r="O35" s="90">
        <v>0</v>
      </c>
      <c r="P35" s="161">
        <f t="shared" si="2"/>
        <v>80</v>
      </c>
      <c r="R35" s="28">
        <f t="shared" si="1"/>
        <v>80</v>
      </c>
      <c r="S35" s="329" t="e">
        <f>#REF!</f>
        <v>#REF!</v>
      </c>
      <c r="T35" s="161" t="e">
        <f t="shared" si="0"/>
        <v>#REF!</v>
      </c>
      <c r="U35" s="336"/>
    </row>
    <row r="36" spans="2:21" x14ac:dyDescent="0.3">
      <c r="B36" s="368"/>
      <c r="C36" s="19" t="s">
        <v>46</v>
      </c>
      <c r="E36" s="6">
        <v>106</v>
      </c>
      <c r="F36" s="26">
        <f>Summary!V36</f>
        <v>90</v>
      </c>
      <c r="G36" s="26"/>
      <c r="K36">
        <v>1400</v>
      </c>
      <c r="L36" s="55">
        <v>4000</v>
      </c>
      <c r="N36" s="17">
        <f>Summary!V36</f>
        <v>90</v>
      </c>
      <c r="O36" s="90">
        <v>0</v>
      </c>
      <c r="P36" s="161">
        <f t="shared" si="2"/>
        <v>90</v>
      </c>
      <c r="R36" s="28">
        <f t="shared" si="1"/>
        <v>90</v>
      </c>
      <c r="S36" s="329" t="e">
        <f>#REF!</f>
        <v>#REF!</v>
      </c>
      <c r="T36" s="161" t="e">
        <f t="shared" si="0"/>
        <v>#REF!</v>
      </c>
      <c r="U36" s="336"/>
    </row>
    <row r="37" spans="2:21" x14ac:dyDescent="0.3">
      <c r="B37" s="368"/>
      <c r="C37" s="19" t="s">
        <v>47</v>
      </c>
      <c r="E37" s="6">
        <v>694</v>
      </c>
      <c r="F37" s="26">
        <f>Summary!V37</f>
        <v>510</v>
      </c>
      <c r="G37" s="26"/>
      <c r="K37">
        <v>5700</v>
      </c>
      <c r="L37" s="55">
        <v>16000</v>
      </c>
      <c r="N37" s="17">
        <f>Summary!V37</f>
        <v>510</v>
      </c>
      <c r="O37" s="90">
        <v>0</v>
      </c>
      <c r="P37" s="161">
        <f t="shared" si="2"/>
        <v>510</v>
      </c>
      <c r="R37" s="28">
        <f t="shared" si="1"/>
        <v>510</v>
      </c>
      <c r="S37" s="329" t="e">
        <f>#REF!</f>
        <v>#REF!</v>
      </c>
      <c r="T37" s="161" t="e">
        <f t="shared" si="0"/>
        <v>#REF!</v>
      </c>
      <c r="U37" s="336"/>
    </row>
    <row r="38" spans="2:21" x14ac:dyDescent="0.3">
      <c r="B38" s="368"/>
      <c r="C38" s="20" t="s">
        <v>48</v>
      </c>
      <c r="E38" s="6">
        <v>515</v>
      </c>
      <c r="F38" s="26">
        <f>Summary!V38</f>
        <v>400</v>
      </c>
      <c r="G38" s="26"/>
      <c r="K38">
        <v>2600</v>
      </c>
      <c r="L38" s="55">
        <v>7000</v>
      </c>
      <c r="N38" s="17">
        <f>Summary!V38</f>
        <v>400</v>
      </c>
      <c r="O38" s="90">
        <v>0</v>
      </c>
      <c r="P38" s="161">
        <f t="shared" si="2"/>
        <v>400</v>
      </c>
      <c r="R38" s="28">
        <f t="shared" si="1"/>
        <v>400</v>
      </c>
      <c r="S38" s="329" t="e">
        <f>#REF!</f>
        <v>#REF!</v>
      </c>
      <c r="T38" s="161" t="e">
        <f t="shared" si="0"/>
        <v>#REF!</v>
      </c>
      <c r="U38" s="336"/>
    </row>
    <row r="39" spans="2:21" x14ac:dyDescent="0.3">
      <c r="B39" s="367" t="s">
        <v>25</v>
      </c>
      <c r="C39" s="21" t="s">
        <v>49</v>
      </c>
      <c r="E39" s="4">
        <v>133</v>
      </c>
      <c r="F39" s="26">
        <f>Summary!V39</f>
        <v>100</v>
      </c>
      <c r="G39" s="26"/>
      <c r="K39">
        <v>2200</v>
      </c>
      <c r="L39" s="166">
        <v>6000</v>
      </c>
      <c r="N39" s="17">
        <f>Summary!V39</f>
        <v>100</v>
      </c>
      <c r="O39" s="90">
        <v>0</v>
      </c>
      <c r="P39" s="161">
        <f t="shared" si="2"/>
        <v>100</v>
      </c>
      <c r="R39" s="28">
        <f t="shared" si="1"/>
        <v>100</v>
      </c>
      <c r="S39" s="329" t="e">
        <f>#REF!</f>
        <v>#REF!</v>
      </c>
      <c r="T39" s="161" t="e">
        <f t="shared" si="0"/>
        <v>#REF!</v>
      </c>
      <c r="U39" s="336"/>
    </row>
    <row r="40" spans="2:21" x14ac:dyDescent="0.3">
      <c r="B40" s="368"/>
      <c r="C40" s="19" t="s">
        <v>50</v>
      </c>
      <c r="E40" s="6">
        <v>322</v>
      </c>
      <c r="F40" s="26">
        <f>Summary!V40</f>
        <v>200</v>
      </c>
      <c r="G40" s="26"/>
      <c r="K40">
        <v>15500</v>
      </c>
      <c r="L40" s="55">
        <v>43000</v>
      </c>
      <c r="N40" s="17">
        <f>Summary!V40</f>
        <v>200</v>
      </c>
      <c r="O40" s="90">
        <v>0</v>
      </c>
      <c r="P40" s="161">
        <f t="shared" si="2"/>
        <v>200</v>
      </c>
      <c r="R40" s="28">
        <f t="shared" si="1"/>
        <v>200</v>
      </c>
      <c r="S40" s="329" t="e">
        <f>#REF!</f>
        <v>#REF!</v>
      </c>
      <c r="T40" s="161" t="e">
        <f t="shared" si="0"/>
        <v>#REF!</v>
      </c>
      <c r="U40" s="336"/>
    </row>
    <row r="41" spans="2:21" x14ac:dyDescent="0.3">
      <c r="B41" s="368"/>
      <c r="C41" s="19" t="s">
        <v>69</v>
      </c>
      <c r="E41" s="6">
        <v>139</v>
      </c>
      <c r="F41" s="26">
        <f>Summary!V41</f>
        <v>90</v>
      </c>
      <c r="G41" s="26"/>
      <c r="K41">
        <v>16500</v>
      </c>
      <c r="L41" s="55">
        <v>46000</v>
      </c>
      <c r="N41" s="17">
        <f>Summary!V41</f>
        <v>90</v>
      </c>
      <c r="O41" s="90">
        <v>0</v>
      </c>
      <c r="P41" s="161">
        <f t="shared" si="2"/>
        <v>90</v>
      </c>
      <c r="R41" s="28">
        <f t="shared" si="1"/>
        <v>90</v>
      </c>
      <c r="S41" s="329" t="e">
        <f>#REF!</f>
        <v>#REF!</v>
      </c>
      <c r="T41" s="161" t="e">
        <f t="shared" si="0"/>
        <v>#REF!</v>
      </c>
      <c r="U41" s="336"/>
    </row>
    <row r="42" spans="2:21" x14ac:dyDescent="0.3">
      <c r="B42" s="368"/>
      <c r="C42" s="19" t="s">
        <v>51</v>
      </c>
      <c r="E42" s="6">
        <v>365</v>
      </c>
      <c r="F42" s="26">
        <f>Summary!V42</f>
        <v>270</v>
      </c>
      <c r="G42" s="26"/>
      <c r="K42">
        <v>12800</v>
      </c>
      <c r="L42" s="55">
        <v>35000</v>
      </c>
      <c r="N42" s="17">
        <f>Summary!V42</f>
        <v>270</v>
      </c>
      <c r="O42" s="338">
        <v>0</v>
      </c>
      <c r="P42" s="161">
        <f t="shared" si="2"/>
        <v>270</v>
      </c>
      <c r="R42" s="28">
        <f t="shared" si="1"/>
        <v>270</v>
      </c>
      <c r="S42" s="329" t="e">
        <f>#REF!</f>
        <v>#REF!</v>
      </c>
      <c r="T42" s="161" t="e">
        <f t="shared" si="0"/>
        <v>#REF!</v>
      </c>
      <c r="U42" s="336"/>
    </row>
    <row r="43" spans="2:21" x14ac:dyDescent="0.3">
      <c r="B43" s="368"/>
      <c r="C43" s="19" t="s">
        <v>52</v>
      </c>
      <c r="E43" s="6">
        <v>563</v>
      </c>
      <c r="F43" s="26">
        <f>Summary!V43</f>
        <v>440</v>
      </c>
      <c r="G43" s="26"/>
      <c r="K43">
        <v>6600</v>
      </c>
      <c r="L43" s="55">
        <v>18000</v>
      </c>
      <c r="N43" s="17">
        <f>Summary!V43</f>
        <v>440</v>
      </c>
      <c r="O43" s="90">
        <v>0</v>
      </c>
      <c r="P43" s="161">
        <f t="shared" si="2"/>
        <v>440</v>
      </c>
      <c r="R43" s="28">
        <f t="shared" si="1"/>
        <v>440</v>
      </c>
      <c r="S43" s="329" t="e">
        <f>#REF!</f>
        <v>#REF!</v>
      </c>
      <c r="T43" s="161" t="e">
        <f t="shared" si="0"/>
        <v>#REF!</v>
      </c>
      <c r="U43" s="336"/>
    </row>
    <row r="44" spans="2:21" x14ac:dyDescent="0.3">
      <c r="B44" s="368"/>
      <c r="C44" s="19" t="s">
        <v>24</v>
      </c>
      <c r="E44" s="6">
        <v>163</v>
      </c>
      <c r="F44" s="26">
        <f>Summary!V44</f>
        <v>90</v>
      </c>
      <c r="G44" s="26"/>
      <c r="K44">
        <v>2400</v>
      </c>
      <c r="L44" s="55">
        <v>7000</v>
      </c>
      <c r="N44" s="17">
        <f>Summary!V44</f>
        <v>90</v>
      </c>
      <c r="O44" s="339">
        <f>Run!EK80</f>
        <v>3.79920095E-2</v>
      </c>
      <c r="P44" s="161">
        <f t="shared" si="2"/>
        <v>93.554316480492901</v>
      </c>
      <c r="R44" s="28">
        <f t="shared" si="1"/>
        <v>90</v>
      </c>
      <c r="S44" s="329" t="e">
        <f>#REF!</f>
        <v>#REF!</v>
      </c>
      <c r="T44" s="161" t="e">
        <f t="shared" si="0"/>
        <v>#REF!</v>
      </c>
      <c r="U44" s="336"/>
    </row>
    <row r="45" spans="2:21" x14ac:dyDescent="0.3">
      <c r="B45" s="368"/>
      <c r="C45" s="19" t="s">
        <v>53</v>
      </c>
      <c r="E45" s="6">
        <v>190</v>
      </c>
      <c r="F45" s="26">
        <f>Summary!V45</f>
        <v>150</v>
      </c>
      <c r="G45" s="26"/>
      <c r="K45">
        <v>3200</v>
      </c>
      <c r="L45" s="55">
        <v>9000</v>
      </c>
      <c r="N45" s="17">
        <f>Summary!V45</f>
        <v>150</v>
      </c>
      <c r="O45" s="90">
        <v>0</v>
      </c>
      <c r="P45" s="161">
        <f t="shared" si="2"/>
        <v>150</v>
      </c>
      <c r="R45" s="28">
        <f t="shared" si="1"/>
        <v>150</v>
      </c>
      <c r="S45" s="329" t="e">
        <f>#REF!</f>
        <v>#REF!</v>
      </c>
      <c r="T45" s="161" t="e">
        <f t="shared" si="0"/>
        <v>#REF!</v>
      </c>
      <c r="U45" s="336"/>
    </row>
    <row r="46" spans="2:21" x14ac:dyDescent="0.3">
      <c r="B46" s="368"/>
      <c r="C46" s="19" t="s">
        <v>54</v>
      </c>
      <c r="E46" s="6">
        <v>530</v>
      </c>
      <c r="F46" s="26">
        <f>Summary!V46</f>
        <v>390</v>
      </c>
      <c r="G46" s="26"/>
      <c r="K46">
        <v>8000</v>
      </c>
      <c r="L46" s="55">
        <v>22000</v>
      </c>
      <c r="N46" s="17">
        <f>Summary!V46</f>
        <v>390</v>
      </c>
      <c r="O46" s="339">
        <f>Run!EN80</f>
        <v>2.9709206630000002E-2</v>
      </c>
      <c r="P46" s="161">
        <f t="shared" si="2"/>
        <v>401.94135888423472</v>
      </c>
      <c r="R46" s="28">
        <f t="shared" si="1"/>
        <v>390</v>
      </c>
      <c r="S46" s="329" t="e">
        <f>#REF!</f>
        <v>#REF!</v>
      </c>
      <c r="T46" s="161" t="e">
        <f t="shared" si="0"/>
        <v>#REF!</v>
      </c>
      <c r="U46" s="336"/>
    </row>
    <row r="47" spans="2:21" x14ac:dyDescent="0.3">
      <c r="B47" s="371"/>
      <c r="C47" s="19" t="s">
        <v>67</v>
      </c>
      <c r="E47" s="6">
        <v>13</v>
      </c>
      <c r="F47" s="26">
        <f>Summary!V47</f>
        <v>13</v>
      </c>
      <c r="G47" s="26"/>
      <c r="L47" s="182" t="s">
        <v>201</v>
      </c>
      <c r="N47" s="17">
        <f>Summary!V47</f>
        <v>13</v>
      </c>
      <c r="R47" s="28">
        <f t="shared" si="1"/>
        <v>13</v>
      </c>
      <c r="S47" s="329" t="e">
        <f>#REF!</f>
        <v>#REF!</v>
      </c>
      <c r="T47" s="161" t="e">
        <f t="shared" si="0"/>
        <v>#REF!</v>
      </c>
      <c r="U47" s="336"/>
    </row>
    <row r="48" spans="2:21" x14ac:dyDescent="0.3">
      <c r="L48" s="180">
        <f>SUM(L5:L47)</f>
        <v>671000</v>
      </c>
    </row>
    <row r="49" spans="5:20" x14ac:dyDescent="0.3">
      <c r="E49" s="28">
        <f>SUM(E26:E47)</f>
        <v>5995</v>
      </c>
      <c r="F49" s="28">
        <f>SUM(F26:F47)</f>
        <v>4483</v>
      </c>
      <c r="N49" s="28">
        <f>SUM(N5:N47)</f>
        <v>6988</v>
      </c>
      <c r="O49" s="333">
        <f>1-(N49/P49)</f>
        <v>0.27100123931182674</v>
      </c>
      <c r="P49" s="28">
        <f>SUM(P5:P47)</f>
        <v>9585.750177960992</v>
      </c>
      <c r="R49" s="28">
        <f>SUM(R5:R47)</f>
        <v>6988</v>
      </c>
      <c r="S49" s="333" t="e">
        <f>1-(R49/T49)</f>
        <v>#REF!</v>
      </c>
      <c r="T49" s="28" t="e">
        <f>SUM(T5:T47)</f>
        <v>#REF!</v>
      </c>
    </row>
  </sheetData>
  <mergeCells count="7">
    <mergeCell ref="B39:B47"/>
    <mergeCell ref="B5:B6"/>
    <mergeCell ref="B7:B10"/>
    <mergeCell ref="B11:B17"/>
    <mergeCell ref="B18:B25"/>
    <mergeCell ref="B26:B29"/>
    <mergeCell ref="B30:B38"/>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J42"/>
  <sheetViews>
    <sheetView workbookViewId="0">
      <selection activeCell="N19" sqref="N19"/>
    </sheetView>
  </sheetViews>
  <sheetFormatPr defaultRowHeight="14.4" x14ac:dyDescent="0.3"/>
  <cols>
    <col min="2" max="2" width="26" customWidth="1"/>
    <col min="3" max="3" width="3" customWidth="1"/>
    <col min="4" max="4" width="15.6640625" customWidth="1"/>
    <col min="7" max="7" width="10.109375" customWidth="1"/>
  </cols>
  <sheetData>
    <row r="3" spans="2:10" x14ac:dyDescent="0.3">
      <c r="B3" s="47" t="s">
        <v>11</v>
      </c>
      <c r="C3" s="48"/>
      <c r="D3" s="82"/>
      <c r="E3" s="49"/>
      <c r="F3" s="63" t="s">
        <v>150</v>
      </c>
      <c r="G3" s="62"/>
      <c r="H3" s="62"/>
      <c r="I3" s="73" t="s">
        <v>14</v>
      </c>
      <c r="J3" s="52" t="s">
        <v>148</v>
      </c>
    </row>
    <row r="4" spans="2:10" x14ac:dyDescent="0.3">
      <c r="B4" s="79" t="s">
        <v>12</v>
      </c>
      <c r="C4" s="80"/>
      <c r="D4" s="72" t="s">
        <v>106</v>
      </c>
      <c r="E4" s="50" t="s">
        <v>74</v>
      </c>
      <c r="F4" s="50" t="s">
        <v>13</v>
      </c>
      <c r="G4" s="50" t="s">
        <v>72</v>
      </c>
      <c r="H4" s="53" t="s">
        <v>73</v>
      </c>
      <c r="I4" s="51" t="s">
        <v>15</v>
      </c>
      <c r="J4" s="57" t="s">
        <v>149</v>
      </c>
    </row>
    <row r="5" spans="2:10" x14ac:dyDescent="0.3">
      <c r="B5" s="19" t="s">
        <v>98</v>
      </c>
      <c r="D5" s="41" t="s">
        <v>75</v>
      </c>
      <c r="E5" s="42" t="s">
        <v>94</v>
      </c>
      <c r="F5" s="41">
        <v>100</v>
      </c>
      <c r="G5" s="58">
        <v>150000</v>
      </c>
      <c r="H5" s="58"/>
      <c r="I5" s="59">
        <v>8000</v>
      </c>
      <c r="J5" s="60"/>
    </row>
    <row r="6" spans="2:10" x14ac:dyDescent="0.3">
      <c r="B6" s="19"/>
      <c r="D6" t="s">
        <v>76</v>
      </c>
      <c r="E6" s="22" t="s">
        <v>94</v>
      </c>
      <c r="F6">
        <v>648</v>
      </c>
      <c r="G6" s="28">
        <v>1000000</v>
      </c>
      <c r="H6" s="28"/>
      <c r="I6" s="54"/>
      <c r="J6" s="61"/>
    </row>
    <row r="7" spans="2:10" x14ac:dyDescent="0.3">
      <c r="B7" s="19"/>
      <c r="D7" t="s">
        <v>77</v>
      </c>
      <c r="E7" s="22" t="s">
        <v>94</v>
      </c>
      <c r="F7" s="18">
        <v>175</v>
      </c>
      <c r="G7" s="18"/>
      <c r="H7" s="18">
        <v>300000</v>
      </c>
      <c r="I7" s="54"/>
      <c r="J7" s="61"/>
    </row>
    <row r="8" spans="2:10" x14ac:dyDescent="0.3">
      <c r="B8" s="19" t="s">
        <v>97</v>
      </c>
      <c r="D8" t="s">
        <v>51</v>
      </c>
      <c r="E8" s="22" t="s">
        <v>94</v>
      </c>
      <c r="F8" s="18">
        <v>648</v>
      </c>
      <c r="G8" s="18">
        <v>1000000</v>
      </c>
      <c r="H8" s="18"/>
      <c r="I8" s="55">
        <v>8000</v>
      </c>
      <c r="J8" s="61"/>
    </row>
    <row r="9" spans="2:10" x14ac:dyDescent="0.3">
      <c r="B9" s="19" t="s">
        <v>99</v>
      </c>
      <c r="D9" t="s">
        <v>95</v>
      </c>
      <c r="E9" s="22" t="s">
        <v>94</v>
      </c>
      <c r="F9" s="18"/>
      <c r="G9" s="18" t="s">
        <v>99</v>
      </c>
      <c r="H9" s="18"/>
      <c r="I9" s="55"/>
      <c r="J9" s="61"/>
    </row>
    <row r="10" spans="2:10" x14ac:dyDescent="0.3">
      <c r="B10" s="19"/>
      <c r="E10" s="17"/>
      <c r="F10" s="18"/>
      <c r="G10" s="18"/>
      <c r="H10" s="26"/>
      <c r="I10" s="55"/>
      <c r="J10" s="61"/>
    </row>
    <row r="11" spans="2:10" x14ac:dyDescent="0.3">
      <c r="B11" s="19" t="s">
        <v>101</v>
      </c>
      <c r="D11" t="s">
        <v>23</v>
      </c>
      <c r="E11" s="17" t="s">
        <v>96</v>
      </c>
      <c r="F11" s="26">
        <v>150</v>
      </c>
      <c r="G11" s="26">
        <v>225500</v>
      </c>
      <c r="H11" s="28"/>
      <c r="I11" s="54">
        <v>1152</v>
      </c>
      <c r="J11" s="61"/>
    </row>
    <row r="12" spans="2:10" x14ac:dyDescent="0.3">
      <c r="B12" s="19" t="s">
        <v>99</v>
      </c>
      <c r="D12" t="s">
        <v>79</v>
      </c>
      <c r="E12" s="17" t="s">
        <v>96</v>
      </c>
      <c r="G12" s="26" t="s">
        <v>99</v>
      </c>
      <c r="H12" s="28"/>
      <c r="I12" s="54"/>
      <c r="J12" s="61"/>
    </row>
    <row r="13" spans="2:10" x14ac:dyDescent="0.3">
      <c r="B13" s="19" t="s">
        <v>102</v>
      </c>
      <c r="D13" t="s">
        <v>80</v>
      </c>
      <c r="E13" s="17" t="s">
        <v>96</v>
      </c>
      <c r="F13" s="26">
        <v>100</v>
      </c>
      <c r="G13" s="28">
        <v>150000</v>
      </c>
      <c r="H13" s="28"/>
      <c r="I13">
        <v>5820</v>
      </c>
      <c r="J13" s="61"/>
    </row>
    <row r="14" spans="2:10" x14ac:dyDescent="0.3">
      <c r="B14" s="19"/>
      <c r="D14" t="s">
        <v>35</v>
      </c>
      <c r="E14" s="17" t="s">
        <v>96</v>
      </c>
      <c r="F14">
        <v>165</v>
      </c>
      <c r="G14" s="28">
        <v>250000</v>
      </c>
      <c r="H14" s="28"/>
      <c r="J14" s="61"/>
    </row>
    <row r="15" spans="2:10" x14ac:dyDescent="0.3">
      <c r="B15" s="19"/>
      <c r="D15" t="s">
        <v>81</v>
      </c>
      <c r="E15" s="17" t="s">
        <v>96</v>
      </c>
      <c r="F15">
        <v>165</v>
      </c>
      <c r="G15" s="28">
        <v>250000</v>
      </c>
      <c r="H15" s="28"/>
      <c r="J15" s="61"/>
    </row>
    <row r="16" spans="2:10" x14ac:dyDescent="0.3">
      <c r="B16" s="19"/>
      <c r="D16" t="s">
        <v>82</v>
      </c>
      <c r="E16" s="17" t="s">
        <v>96</v>
      </c>
      <c r="F16">
        <v>165</v>
      </c>
      <c r="G16" s="28">
        <v>250000</v>
      </c>
      <c r="H16" s="28"/>
      <c r="J16" s="61"/>
    </row>
    <row r="17" spans="2:10" x14ac:dyDescent="0.3">
      <c r="B17" s="19"/>
      <c r="D17" t="s">
        <v>36</v>
      </c>
      <c r="E17" s="17" t="s">
        <v>96</v>
      </c>
      <c r="F17">
        <v>320</v>
      </c>
      <c r="G17" s="28">
        <v>490000</v>
      </c>
      <c r="H17" s="28"/>
      <c r="I17">
        <v>3210</v>
      </c>
      <c r="J17" s="61"/>
    </row>
    <row r="18" spans="2:10" x14ac:dyDescent="0.3">
      <c r="B18" s="19" t="s">
        <v>103</v>
      </c>
      <c r="D18" t="s">
        <v>83</v>
      </c>
      <c r="E18" s="17" t="s">
        <v>96</v>
      </c>
      <c r="F18">
        <v>1621</v>
      </c>
      <c r="G18" s="28">
        <v>2500000</v>
      </c>
      <c r="H18" s="28"/>
      <c r="I18" s="54">
        <v>24000</v>
      </c>
      <c r="J18" s="61"/>
    </row>
    <row r="19" spans="2:10" x14ac:dyDescent="0.3">
      <c r="B19" s="19"/>
      <c r="D19" t="s">
        <v>37</v>
      </c>
      <c r="E19" s="17" t="s">
        <v>96</v>
      </c>
      <c r="F19">
        <v>100</v>
      </c>
      <c r="G19" s="28">
        <v>150000</v>
      </c>
      <c r="H19" s="28"/>
      <c r="I19" s="56"/>
      <c r="J19" s="61"/>
    </row>
    <row r="20" spans="2:10" x14ac:dyDescent="0.3">
      <c r="B20" s="19"/>
      <c r="D20" t="s">
        <v>84</v>
      </c>
      <c r="E20" s="17" t="s">
        <v>96</v>
      </c>
      <c r="F20">
        <v>230</v>
      </c>
      <c r="G20" s="28">
        <v>350000</v>
      </c>
      <c r="H20" s="28"/>
      <c r="I20" s="56"/>
      <c r="J20" s="61"/>
    </row>
    <row r="21" spans="2:10" x14ac:dyDescent="0.3">
      <c r="B21" s="19" t="s">
        <v>104</v>
      </c>
      <c r="D21" t="s">
        <v>85</v>
      </c>
      <c r="E21" s="17" t="s">
        <v>96</v>
      </c>
      <c r="F21">
        <v>972</v>
      </c>
      <c r="G21" s="28">
        <v>1800000</v>
      </c>
      <c r="H21" s="28"/>
      <c r="I21" s="54">
        <v>19445</v>
      </c>
      <c r="J21" s="61"/>
    </row>
    <row r="22" spans="2:10" x14ac:dyDescent="0.3">
      <c r="B22" s="19" t="s">
        <v>105</v>
      </c>
      <c r="D22" t="s">
        <v>162</v>
      </c>
      <c r="E22" s="17" t="s">
        <v>96</v>
      </c>
      <c r="F22">
        <v>200</v>
      </c>
      <c r="G22" s="28">
        <v>300000</v>
      </c>
      <c r="H22" s="28"/>
      <c r="I22" s="56"/>
      <c r="J22" s="61"/>
    </row>
    <row r="23" spans="2:10" x14ac:dyDescent="0.3">
      <c r="B23" s="19" t="s">
        <v>159</v>
      </c>
      <c r="D23" t="s">
        <v>86</v>
      </c>
      <c r="E23" s="17" t="s">
        <v>96</v>
      </c>
      <c r="F23">
        <v>285</v>
      </c>
      <c r="G23" s="28"/>
      <c r="H23" s="28">
        <v>400000</v>
      </c>
      <c r="I23" s="54">
        <v>9135</v>
      </c>
      <c r="J23" s="61"/>
    </row>
    <row r="24" spans="2:10" x14ac:dyDescent="0.3">
      <c r="B24" s="19"/>
      <c r="D24" t="s">
        <v>107</v>
      </c>
      <c r="E24" s="17" t="s">
        <v>96</v>
      </c>
      <c r="F24">
        <v>106</v>
      </c>
      <c r="G24" s="28"/>
      <c r="H24" s="28">
        <v>150000</v>
      </c>
      <c r="I24" s="56"/>
      <c r="J24" s="61"/>
    </row>
    <row r="25" spans="2:10" x14ac:dyDescent="0.3">
      <c r="B25" s="19"/>
      <c r="D25" t="s">
        <v>87</v>
      </c>
      <c r="E25" s="17" t="s">
        <v>96</v>
      </c>
      <c r="F25">
        <v>55</v>
      </c>
      <c r="G25" s="28"/>
      <c r="H25" s="28">
        <v>75000</v>
      </c>
      <c r="I25" s="56"/>
      <c r="J25" s="61"/>
    </row>
    <row r="26" spans="2:10" x14ac:dyDescent="0.3">
      <c r="B26" s="19" t="s">
        <v>108</v>
      </c>
      <c r="D26" t="s">
        <v>88</v>
      </c>
      <c r="E26" s="17" t="s">
        <v>96</v>
      </c>
      <c r="F26">
        <v>130</v>
      </c>
      <c r="G26" s="28">
        <v>200000</v>
      </c>
      <c r="H26" s="28"/>
      <c r="I26" s="56"/>
      <c r="J26" s="61"/>
    </row>
    <row r="27" spans="2:10" x14ac:dyDescent="0.3">
      <c r="B27" s="19" t="s">
        <v>109</v>
      </c>
      <c r="D27" t="s">
        <v>89</v>
      </c>
      <c r="E27" s="17" t="s">
        <v>96</v>
      </c>
      <c r="F27">
        <v>215</v>
      </c>
      <c r="G27" s="28"/>
      <c r="H27" s="28">
        <v>300000</v>
      </c>
      <c r="I27" s="56"/>
      <c r="J27" s="61"/>
    </row>
    <row r="28" spans="2:10" x14ac:dyDescent="0.3">
      <c r="B28" s="19"/>
      <c r="D28" t="s">
        <v>90</v>
      </c>
      <c r="E28" s="17" t="s">
        <v>96</v>
      </c>
      <c r="F28">
        <v>690</v>
      </c>
      <c r="G28" s="28">
        <v>1050000</v>
      </c>
      <c r="H28" s="28"/>
      <c r="I28" s="56"/>
      <c r="J28" s="61"/>
    </row>
    <row r="29" spans="2:10" x14ac:dyDescent="0.3">
      <c r="B29" s="19" t="s">
        <v>110</v>
      </c>
      <c r="D29" t="s">
        <v>91</v>
      </c>
      <c r="E29" s="17" t="s">
        <v>96</v>
      </c>
      <c r="F29">
        <v>425</v>
      </c>
      <c r="G29" s="28">
        <v>650000</v>
      </c>
      <c r="H29" s="28"/>
      <c r="I29" s="56"/>
      <c r="J29" s="61"/>
    </row>
    <row r="30" spans="2:10" x14ac:dyDescent="0.3">
      <c r="B30" s="19" t="s">
        <v>111</v>
      </c>
      <c r="D30" t="s">
        <v>92</v>
      </c>
      <c r="E30" s="17" t="s">
        <v>96</v>
      </c>
      <c r="F30">
        <v>260</v>
      </c>
      <c r="G30" s="28">
        <v>1000000</v>
      </c>
      <c r="H30" s="28"/>
      <c r="I30" s="54">
        <v>11915</v>
      </c>
      <c r="J30" s="61"/>
    </row>
    <row r="31" spans="2:10" x14ac:dyDescent="0.3">
      <c r="B31" s="19"/>
      <c r="D31" t="s">
        <v>91</v>
      </c>
      <c r="E31" s="17" t="s">
        <v>96</v>
      </c>
      <c r="F31">
        <v>415</v>
      </c>
      <c r="G31" s="28">
        <v>900000</v>
      </c>
      <c r="H31" s="28"/>
      <c r="I31" s="56"/>
      <c r="J31" s="61"/>
    </row>
    <row r="32" spans="2:10" x14ac:dyDescent="0.3">
      <c r="B32" s="19"/>
      <c r="D32" t="s">
        <v>93</v>
      </c>
      <c r="E32" s="17" t="s">
        <v>96</v>
      </c>
      <c r="F32">
        <v>715</v>
      </c>
      <c r="G32" s="28">
        <v>1200000</v>
      </c>
      <c r="H32" s="28"/>
      <c r="I32" s="56"/>
      <c r="J32" s="61"/>
    </row>
    <row r="33" spans="2:10" x14ac:dyDescent="0.3">
      <c r="B33" s="84" t="s">
        <v>16</v>
      </c>
      <c r="C33" s="89"/>
      <c r="D33" s="85"/>
      <c r="E33" s="86"/>
      <c r="F33" s="87">
        <v>12000</v>
      </c>
      <c r="G33" s="88">
        <f>SUM(G5:G32)</f>
        <v>13865500</v>
      </c>
      <c r="H33" s="88">
        <f>SUM(H5:H32)</f>
        <v>1225000</v>
      </c>
      <c r="I33" s="88">
        <f>SUM(I5:I32)</f>
        <v>90677</v>
      </c>
      <c r="J33" s="78"/>
    </row>
    <row r="35" spans="2:10" x14ac:dyDescent="0.3">
      <c r="B35" t="s">
        <v>78</v>
      </c>
      <c r="G35" s="28">
        <f>G10</f>
        <v>0</v>
      </c>
    </row>
    <row r="36" spans="2:10" x14ac:dyDescent="0.3">
      <c r="B36" t="s">
        <v>23</v>
      </c>
      <c r="G36" s="28">
        <f>G11</f>
        <v>225500</v>
      </c>
    </row>
    <row r="37" spans="2:10" x14ac:dyDescent="0.3">
      <c r="B37" t="s">
        <v>166</v>
      </c>
      <c r="G37" s="28">
        <f>SUM(G13:G16)</f>
        <v>900000</v>
      </c>
    </row>
    <row r="38" spans="2:10" x14ac:dyDescent="0.3">
      <c r="B38" t="s">
        <v>36</v>
      </c>
      <c r="G38" s="28">
        <f>G17</f>
        <v>490000</v>
      </c>
    </row>
    <row r="39" spans="2:10" x14ac:dyDescent="0.3">
      <c r="B39" t="s">
        <v>167</v>
      </c>
      <c r="G39" s="28">
        <f>SUM(G23:G32)</f>
        <v>5000000</v>
      </c>
    </row>
    <row r="40" spans="2:10" x14ac:dyDescent="0.3">
      <c r="B40" t="s">
        <v>169</v>
      </c>
      <c r="G40" s="28">
        <f>G20</f>
        <v>350000</v>
      </c>
    </row>
    <row r="41" spans="2:10" x14ac:dyDescent="0.3">
      <c r="B41" t="s">
        <v>165</v>
      </c>
      <c r="G41" s="28">
        <f>SUM(G18:G22)+SUM(G5:G9)-G20</f>
        <v>6900000</v>
      </c>
    </row>
    <row r="42" spans="2:10" x14ac:dyDescent="0.3">
      <c r="G42" s="28">
        <f>SUM(G35:G41)</f>
        <v>13865500</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K2:N8"/>
  <sheetViews>
    <sheetView workbookViewId="0">
      <selection activeCell="N25" sqref="N25"/>
    </sheetView>
  </sheetViews>
  <sheetFormatPr defaultRowHeight="14.4" x14ac:dyDescent="0.3"/>
  <sheetData>
    <row r="2" spans="11:14" x14ac:dyDescent="0.3">
      <c r="L2" t="s">
        <v>306</v>
      </c>
      <c r="M2" t="s">
        <v>308</v>
      </c>
    </row>
    <row r="3" spans="11:14" x14ac:dyDescent="0.3">
      <c r="L3" t="s">
        <v>307</v>
      </c>
      <c r="M3" t="s">
        <v>309</v>
      </c>
    </row>
    <row r="8" spans="11:14" x14ac:dyDescent="0.3">
      <c r="K8">
        <v>2001</v>
      </c>
      <c r="L8">
        <v>147000</v>
      </c>
      <c r="M8">
        <v>24000</v>
      </c>
      <c r="N8" t="s">
        <v>310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9115B-67B1-4169-8BFF-5792EE80A65A}">
  <dimension ref="A2:AH51"/>
  <sheetViews>
    <sheetView tabSelected="1" workbookViewId="0">
      <pane xSplit="2" ySplit="8" topLeftCell="C9" activePane="bottomRight" state="frozen"/>
      <selection pane="topRight" activeCell="C1" sqref="C1"/>
      <selection pane="bottomLeft" activeCell="A9" sqref="A9"/>
      <selection pane="bottomRight" activeCell="H6" sqref="H6"/>
    </sheetView>
  </sheetViews>
  <sheetFormatPr defaultRowHeight="14.4" x14ac:dyDescent="0.3"/>
  <cols>
    <col min="1" max="1" width="3.5546875" style="329" customWidth="1"/>
    <col min="2" max="2" width="69.33203125" style="329" customWidth="1"/>
    <col min="3" max="6" width="8.88671875" style="329"/>
    <col min="8" max="8" width="66" customWidth="1"/>
    <col min="20" max="20" width="8.88671875" style="340"/>
    <col min="22" max="22" width="61.21875" customWidth="1"/>
  </cols>
  <sheetData>
    <row r="2" spans="2:34" x14ac:dyDescent="0.3">
      <c r="B2" s="349" t="s">
        <v>463</v>
      </c>
      <c r="C2" s="350"/>
      <c r="D2" s="93"/>
      <c r="E2" s="343">
        <f>SUM(E9:E39)</f>
        <v>10395.533333333333</v>
      </c>
      <c r="F2" s="344">
        <f>SUM(F9:F39)</f>
        <v>14879.211174313175</v>
      </c>
    </row>
    <row r="3" spans="2:34" x14ac:dyDescent="0.3">
      <c r="B3" s="349" t="s">
        <v>462</v>
      </c>
      <c r="C3" s="350"/>
      <c r="D3" s="351">
        <f>AVERAGE(D9:D39)</f>
        <v>0.16457869112903226</v>
      </c>
      <c r="E3" s="345">
        <f>AVERAGE(E9:E39)</f>
        <v>335.33978494623653</v>
      </c>
      <c r="F3" s="346">
        <f>AVERAGE(F9:F39)</f>
        <v>479.97455401010245</v>
      </c>
      <c r="H3" t="s">
        <v>417</v>
      </c>
      <c r="I3" t="s">
        <v>418</v>
      </c>
      <c r="V3" t="s">
        <v>417</v>
      </c>
      <c r="W3" t="s">
        <v>418</v>
      </c>
    </row>
    <row r="4" spans="2:34" x14ac:dyDescent="0.3">
      <c r="B4" s="349" t="s">
        <v>464</v>
      </c>
      <c r="C4" s="350"/>
      <c r="D4" s="352">
        <f>1-E2/F2</f>
        <v>0.30133841024585162</v>
      </c>
      <c r="E4" s="347"/>
      <c r="F4" s="348"/>
      <c r="H4" t="s">
        <v>419</v>
      </c>
      <c r="I4" t="s">
        <v>420</v>
      </c>
      <c r="V4" t="s">
        <v>419</v>
      </c>
      <c r="W4" t="s">
        <v>420</v>
      </c>
    </row>
    <row r="5" spans="2:34" x14ac:dyDescent="0.3">
      <c r="B5" s="349" t="s">
        <v>466</v>
      </c>
      <c r="D5" s="34"/>
      <c r="H5" t="s">
        <v>421</v>
      </c>
      <c r="I5" t="s">
        <v>420</v>
      </c>
      <c r="V5" t="s">
        <v>421</v>
      </c>
      <c r="W5" t="s">
        <v>420</v>
      </c>
    </row>
    <row r="6" spans="2:34" x14ac:dyDescent="0.3">
      <c r="D6" s="22"/>
      <c r="E6" s="22"/>
    </row>
    <row r="7" spans="2:34" x14ac:dyDescent="0.3">
      <c r="C7" s="22" t="s">
        <v>399</v>
      </c>
      <c r="D7" s="354" t="s">
        <v>465</v>
      </c>
      <c r="E7" s="354"/>
      <c r="F7" s="354"/>
      <c r="H7" t="s">
        <v>422</v>
      </c>
      <c r="I7" t="s">
        <v>423</v>
      </c>
      <c r="V7" t="s">
        <v>459</v>
      </c>
      <c r="W7" t="s">
        <v>423</v>
      </c>
    </row>
    <row r="8" spans="2:34" x14ac:dyDescent="0.3">
      <c r="C8" s="22" t="s">
        <v>415</v>
      </c>
      <c r="D8" s="353" t="s">
        <v>458</v>
      </c>
      <c r="E8" s="353" t="s">
        <v>460</v>
      </c>
      <c r="F8" s="353" t="s">
        <v>461</v>
      </c>
      <c r="H8" t="s">
        <v>424</v>
      </c>
      <c r="I8">
        <v>2010</v>
      </c>
      <c r="J8">
        <v>2011</v>
      </c>
      <c r="K8">
        <v>2012</v>
      </c>
      <c r="L8">
        <v>2013</v>
      </c>
      <c r="M8">
        <v>2014</v>
      </c>
      <c r="N8">
        <v>2015</v>
      </c>
      <c r="O8">
        <v>2016</v>
      </c>
      <c r="P8">
        <v>2017</v>
      </c>
      <c r="Q8">
        <v>2018</v>
      </c>
      <c r="R8">
        <v>2019</v>
      </c>
      <c r="S8" t="s">
        <v>425</v>
      </c>
      <c r="T8" s="340" t="s">
        <v>294</v>
      </c>
      <c r="V8" t="s">
        <v>424</v>
      </c>
      <c r="W8">
        <v>2010</v>
      </c>
      <c r="X8">
        <v>2011</v>
      </c>
      <c r="Y8">
        <v>2012</v>
      </c>
      <c r="Z8">
        <v>2013</v>
      </c>
      <c r="AA8">
        <v>2014</v>
      </c>
      <c r="AB8">
        <v>2015</v>
      </c>
      <c r="AC8">
        <v>2016</v>
      </c>
      <c r="AD8">
        <v>2017</v>
      </c>
      <c r="AE8">
        <v>2018</v>
      </c>
      <c r="AF8">
        <v>2019</v>
      </c>
      <c r="AG8" t="s">
        <v>425</v>
      </c>
      <c r="AH8" s="22" t="s">
        <v>294</v>
      </c>
    </row>
    <row r="9" spans="2:34" x14ac:dyDescent="0.3">
      <c r="B9" s="329" t="s">
        <v>426</v>
      </c>
      <c r="C9" s="22"/>
      <c r="D9" s="34">
        <f>T9</f>
        <v>0</v>
      </c>
      <c r="E9" s="161">
        <f>AH9</f>
        <v>637.29999999999995</v>
      </c>
      <c r="F9" s="161">
        <f>E9/(1-D9)</f>
        <v>637.29999999999995</v>
      </c>
      <c r="H9" t="s">
        <v>426</v>
      </c>
      <c r="I9" s="34">
        <v>0</v>
      </c>
      <c r="J9" s="34">
        <v>0</v>
      </c>
      <c r="K9" s="34">
        <v>0</v>
      </c>
      <c r="L9" s="34">
        <v>0</v>
      </c>
      <c r="M9" s="34">
        <v>0</v>
      </c>
      <c r="N9" s="34">
        <v>0</v>
      </c>
      <c r="O9" s="34">
        <v>0</v>
      </c>
      <c r="P9" s="34">
        <v>0</v>
      </c>
      <c r="Q9" s="34">
        <v>0</v>
      </c>
      <c r="R9" s="34">
        <v>0</v>
      </c>
      <c r="S9" s="34">
        <v>0</v>
      </c>
      <c r="T9" s="341">
        <v>0</v>
      </c>
      <c r="V9" t="s">
        <v>426</v>
      </c>
      <c r="W9">
        <v>791</v>
      </c>
      <c r="X9">
        <v>757</v>
      </c>
      <c r="Y9">
        <v>940</v>
      </c>
      <c r="Z9">
        <v>505</v>
      </c>
      <c r="AA9">
        <v>997</v>
      </c>
      <c r="AB9">
        <v>1405</v>
      </c>
      <c r="AC9">
        <v>469</v>
      </c>
      <c r="AD9">
        <v>136</v>
      </c>
      <c r="AE9">
        <v>239</v>
      </c>
      <c r="AF9">
        <v>134</v>
      </c>
      <c r="AG9">
        <v>1405</v>
      </c>
      <c r="AH9" s="342">
        <f>AVERAGE(W9:AF9)</f>
        <v>637.29999999999995</v>
      </c>
    </row>
    <row r="10" spans="2:34" x14ac:dyDescent="0.3">
      <c r="B10" s="329" t="s">
        <v>427</v>
      </c>
      <c r="C10" s="22"/>
      <c r="D10" s="34">
        <f t="shared" ref="D10:D39" si="0">T10</f>
        <v>0</v>
      </c>
      <c r="E10" s="161">
        <f t="shared" ref="E10:E39" si="1">AH10</f>
        <v>582.9</v>
      </c>
      <c r="F10" s="161">
        <f t="shared" ref="F10:F39" si="2">E10/(1-D10)</f>
        <v>582.9</v>
      </c>
      <c r="H10" t="s">
        <v>427</v>
      </c>
      <c r="I10" s="34">
        <v>0</v>
      </c>
      <c r="J10" s="34">
        <v>0</v>
      </c>
      <c r="K10" s="34">
        <v>0</v>
      </c>
      <c r="L10" s="34">
        <v>0</v>
      </c>
      <c r="M10" s="34">
        <v>0</v>
      </c>
      <c r="N10" s="34">
        <v>0</v>
      </c>
      <c r="O10" s="34">
        <v>0</v>
      </c>
      <c r="P10" s="34">
        <v>0</v>
      </c>
      <c r="Q10" s="34">
        <v>0</v>
      </c>
      <c r="R10" s="34">
        <v>0</v>
      </c>
      <c r="S10" s="34">
        <v>0</v>
      </c>
      <c r="T10" s="341">
        <v>0</v>
      </c>
      <c r="V10" t="s">
        <v>427</v>
      </c>
      <c r="W10">
        <v>224</v>
      </c>
      <c r="X10">
        <v>377</v>
      </c>
      <c r="Y10">
        <v>651</v>
      </c>
      <c r="Z10">
        <v>900</v>
      </c>
      <c r="AA10">
        <v>1138</v>
      </c>
      <c r="AB10">
        <v>1136</v>
      </c>
      <c r="AC10">
        <v>753</v>
      </c>
      <c r="AD10">
        <v>146</v>
      </c>
      <c r="AE10">
        <v>330</v>
      </c>
      <c r="AF10">
        <v>174</v>
      </c>
      <c r="AG10">
        <v>1138</v>
      </c>
      <c r="AH10" s="342">
        <f t="shared" ref="AH10:AH40" si="3">AVERAGE(W10:AF10)</f>
        <v>582.9</v>
      </c>
    </row>
    <row r="11" spans="2:34" x14ac:dyDescent="0.3">
      <c r="B11" s="329" t="s">
        <v>428</v>
      </c>
      <c r="C11" s="22"/>
      <c r="D11" s="34">
        <f t="shared" si="0"/>
        <v>0</v>
      </c>
      <c r="E11" s="161">
        <f t="shared" si="1"/>
        <v>94.444444444444443</v>
      </c>
      <c r="F11" s="161">
        <f t="shared" si="2"/>
        <v>94.444444444444443</v>
      </c>
      <c r="H11" t="s">
        <v>428</v>
      </c>
      <c r="I11" s="34"/>
      <c r="J11" s="34">
        <v>0</v>
      </c>
      <c r="K11" s="34">
        <v>0</v>
      </c>
      <c r="L11" s="34">
        <v>0</v>
      </c>
      <c r="M11" s="34">
        <v>0</v>
      </c>
      <c r="N11" s="34">
        <v>0</v>
      </c>
      <c r="O11" s="34">
        <v>0</v>
      </c>
      <c r="P11" s="34">
        <v>0</v>
      </c>
      <c r="Q11" s="34">
        <v>0</v>
      </c>
      <c r="R11" s="34">
        <v>0</v>
      </c>
      <c r="S11" s="34">
        <v>0</v>
      </c>
      <c r="T11" s="341">
        <v>0</v>
      </c>
      <c r="V11" t="s">
        <v>428</v>
      </c>
      <c r="X11">
        <v>333</v>
      </c>
      <c r="Y11">
        <v>118</v>
      </c>
      <c r="Z11">
        <v>78</v>
      </c>
      <c r="AA11">
        <v>113</v>
      </c>
      <c r="AB11">
        <v>84</v>
      </c>
      <c r="AC11">
        <v>65</v>
      </c>
      <c r="AD11">
        <v>34</v>
      </c>
      <c r="AE11">
        <v>17</v>
      </c>
      <c r="AF11">
        <v>8</v>
      </c>
      <c r="AG11">
        <v>333</v>
      </c>
      <c r="AH11" s="342">
        <f t="shared" si="3"/>
        <v>94.444444444444443</v>
      </c>
    </row>
    <row r="12" spans="2:34" x14ac:dyDescent="0.3">
      <c r="B12" s="329" t="s">
        <v>429</v>
      </c>
      <c r="C12" s="22"/>
      <c r="D12" s="34">
        <f t="shared" si="0"/>
        <v>0</v>
      </c>
      <c r="E12" s="161">
        <f t="shared" si="1"/>
        <v>50.7</v>
      </c>
      <c r="F12" s="161">
        <f t="shared" si="2"/>
        <v>50.7</v>
      </c>
      <c r="H12" t="s">
        <v>429</v>
      </c>
      <c r="I12" s="34">
        <v>0</v>
      </c>
      <c r="J12" s="34">
        <v>0</v>
      </c>
      <c r="K12" s="34">
        <v>0</v>
      </c>
      <c r="L12" s="34">
        <v>0</v>
      </c>
      <c r="M12" s="34">
        <v>0</v>
      </c>
      <c r="N12" s="34">
        <v>0</v>
      </c>
      <c r="O12" s="34">
        <v>0</v>
      </c>
      <c r="P12" s="34">
        <v>0</v>
      </c>
      <c r="Q12" s="34">
        <v>0</v>
      </c>
      <c r="R12" s="34">
        <v>0</v>
      </c>
      <c r="S12" s="34">
        <v>0</v>
      </c>
      <c r="T12" s="341">
        <v>0</v>
      </c>
      <c r="V12" t="s">
        <v>429</v>
      </c>
      <c r="W12">
        <v>53</v>
      </c>
      <c r="X12">
        <v>9</v>
      </c>
      <c r="Y12">
        <v>68</v>
      </c>
      <c r="Z12">
        <v>43</v>
      </c>
      <c r="AA12">
        <v>90</v>
      </c>
      <c r="AB12">
        <v>81</v>
      </c>
      <c r="AC12">
        <v>71</v>
      </c>
      <c r="AD12">
        <v>31</v>
      </c>
      <c r="AE12">
        <v>43</v>
      </c>
      <c r="AF12">
        <v>18</v>
      </c>
      <c r="AG12">
        <v>90</v>
      </c>
      <c r="AH12" s="342">
        <f t="shared" si="3"/>
        <v>50.7</v>
      </c>
    </row>
    <row r="13" spans="2:34" x14ac:dyDescent="0.3">
      <c r="B13" s="329" t="s">
        <v>430</v>
      </c>
      <c r="C13" s="22" t="s">
        <v>413</v>
      </c>
      <c r="D13" s="34">
        <f t="shared" si="0"/>
        <v>0.50289000000000006</v>
      </c>
      <c r="E13" s="161">
        <f t="shared" si="1"/>
        <v>377.1</v>
      </c>
      <c r="F13" s="404">
        <f t="shared" si="2"/>
        <v>758.58461909838877</v>
      </c>
      <c r="H13" t="s">
        <v>430</v>
      </c>
      <c r="I13" s="34">
        <v>0.5242</v>
      </c>
      <c r="J13" s="34">
        <v>0.62880000000000003</v>
      </c>
      <c r="K13" s="34">
        <v>0.50819999999999999</v>
      </c>
      <c r="L13" s="34">
        <v>0.43759999999999999</v>
      </c>
      <c r="M13" s="34">
        <v>0.46179999999999999</v>
      </c>
      <c r="N13" s="34">
        <v>0.50190000000000001</v>
      </c>
      <c r="O13" s="34">
        <v>0.47799999999999998</v>
      </c>
      <c r="P13" s="34">
        <v>0.71940000000000004</v>
      </c>
      <c r="Q13" s="34">
        <v>0.76900000000000002</v>
      </c>
      <c r="R13" s="34">
        <v>0</v>
      </c>
      <c r="S13" s="34">
        <v>0.76900000000000002</v>
      </c>
      <c r="T13" s="341">
        <v>0.50289000000000006</v>
      </c>
      <c r="V13" t="s">
        <v>430</v>
      </c>
      <c r="W13">
        <v>463</v>
      </c>
      <c r="X13">
        <v>615</v>
      </c>
      <c r="Y13">
        <v>391</v>
      </c>
      <c r="Z13">
        <v>511</v>
      </c>
      <c r="AA13">
        <v>981</v>
      </c>
      <c r="AB13">
        <v>309</v>
      </c>
      <c r="AC13">
        <v>260</v>
      </c>
      <c r="AD13">
        <v>72</v>
      </c>
      <c r="AE13">
        <v>68</v>
      </c>
      <c r="AF13">
        <v>101</v>
      </c>
      <c r="AG13">
        <v>981</v>
      </c>
      <c r="AH13" s="342">
        <f t="shared" si="3"/>
        <v>377.1</v>
      </c>
    </row>
    <row r="14" spans="2:34" x14ac:dyDescent="0.3">
      <c r="B14" s="329" t="s">
        <v>431</v>
      </c>
      <c r="C14" s="22"/>
      <c r="D14" s="34">
        <f t="shared" si="0"/>
        <v>0</v>
      </c>
      <c r="E14" s="161">
        <f t="shared" si="1"/>
        <v>307.60000000000002</v>
      </c>
      <c r="F14" s="161">
        <f t="shared" si="2"/>
        <v>307.60000000000002</v>
      </c>
      <c r="H14" t="s">
        <v>431</v>
      </c>
      <c r="I14" s="34">
        <v>0</v>
      </c>
      <c r="J14" s="34">
        <v>0</v>
      </c>
      <c r="K14" s="34">
        <v>0</v>
      </c>
      <c r="L14" s="34">
        <v>0</v>
      </c>
      <c r="M14" s="34">
        <v>0</v>
      </c>
      <c r="N14" s="34">
        <v>0</v>
      </c>
      <c r="O14" s="34">
        <v>0</v>
      </c>
      <c r="P14" s="34">
        <v>0</v>
      </c>
      <c r="Q14" s="34">
        <v>0</v>
      </c>
      <c r="R14" s="34">
        <v>0</v>
      </c>
      <c r="S14" s="34">
        <v>0</v>
      </c>
      <c r="T14" s="341">
        <v>0</v>
      </c>
      <c r="V14" t="s">
        <v>431</v>
      </c>
      <c r="W14">
        <v>374</v>
      </c>
      <c r="X14">
        <v>547</v>
      </c>
      <c r="Y14">
        <v>461</v>
      </c>
      <c r="Z14">
        <v>288</v>
      </c>
      <c r="AA14">
        <v>711</v>
      </c>
      <c r="AB14">
        <v>273</v>
      </c>
      <c r="AC14">
        <v>240</v>
      </c>
      <c r="AD14">
        <v>0</v>
      </c>
      <c r="AE14">
        <v>182</v>
      </c>
      <c r="AF14">
        <v>0</v>
      </c>
      <c r="AG14">
        <v>711</v>
      </c>
      <c r="AH14" s="342">
        <f t="shared" si="3"/>
        <v>307.60000000000002</v>
      </c>
    </row>
    <row r="15" spans="2:34" x14ac:dyDescent="0.3">
      <c r="B15" s="329" t="s">
        <v>432</v>
      </c>
      <c r="C15" s="22"/>
      <c r="D15" s="34">
        <f t="shared" si="0"/>
        <v>0</v>
      </c>
      <c r="E15" s="161">
        <f t="shared" si="1"/>
        <v>453.6</v>
      </c>
      <c r="F15" s="161">
        <f t="shared" si="2"/>
        <v>453.6</v>
      </c>
      <c r="H15" t="s">
        <v>432</v>
      </c>
      <c r="I15" s="34">
        <v>0</v>
      </c>
      <c r="J15" s="34">
        <v>0</v>
      </c>
      <c r="K15" s="34">
        <v>0</v>
      </c>
      <c r="L15" s="34">
        <v>0</v>
      </c>
      <c r="M15" s="34">
        <v>0</v>
      </c>
      <c r="N15" s="34">
        <v>0</v>
      </c>
      <c r="O15" s="34">
        <v>0</v>
      </c>
      <c r="P15" s="34">
        <v>0</v>
      </c>
      <c r="Q15" s="34">
        <v>0</v>
      </c>
      <c r="R15" s="34">
        <v>0</v>
      </c>
      <c r="S15" s="34">
        <v>0</v>
      </c>
      <c r="T15" s="341">
        <v>0</v>
      </c>
      <c r="V15" t="s">
        <v>432</v>
      </c>
      <c r="W15">
        <v>833</v>
      </c>
      <c r="X15">
        <v>660</v>
      </c>
      <c r="Y15">
        <v>586</v>
      </c>
      <c r="Z15">
        <v>312</v>
      </c>
      <c r="AA15">
        <v>787</v>
      </c>
      <c r="AB15">
        <v>527</v>
      </c>
      <c r="AC15">
        <v>551</v>
      </c>
      <c r="AD15">
        <v>210</v>
      </c>
      <c r="AE15">
        <v>55</v>
      </c>
      <c r="AF15">
        <v>15</v>
      </c>
      <c r="AG15">
        <v>833</v>
      </c>
      <c r="AH15" s="342">
        <f t="shared" si="3"/>
        <v>453.6</v>
      </c>
    </row>
    <row r="16" spans="2:34" x14ac:dyDescent="0.3">
      <c r="B16" s="329" t="s">
        <v>433</v>
      </c>
      <c r="C16" s="403" t="s">
        <v>414</v>
      </c>
      <c r="D16" s="34">
        <f t="shared" si="0"/>
        <v>0.39733333333333337</v>
      </c>
      <c r="E16" s="161">
        <f t="shared" si="1"/>
        <v>582.11111111111109</v>
      </c>
      <c r="F16" s="404">
        <f t="shared" si="2"/>
        <v>965.89233038348073</v>
      </c>
      <c r="H16" t="s">
        <v>433</v>
      </c>
      <c r="I16" s="34">
        <v>0.48399999999999999</v>
      </c>
      <c r="J16" s="34">
        <v>0.44700000000000001</v>
      </c>
      <c r="K16" s="34">
        <v>0.314</v>
      </c>
      <c r="L16" s="34">
        <v>0.33</v>
      </c>
      <c r="M16" s="34">
        <v>0.32400000000000001</v>
      </c>
      <c r="N16" s="34">
        <v>0.48099999999999998</v>
      </c>
      <c r="O16" s="34">
        <v>0.23200000000000001</v>
      </c>
      <c r="P16" s="34">
        <v>0.55400000000000005</v>
      </c>
      <c r="Q16" s="34">
        <v>0.41</v>
      </c>
      <c r="R16" s="34"/>
      <c r="S16" s="34">
        <v>0.55400000000000005</v>
      </c>
      <c r="T16" s="341">
        <v>0.39733333333333337</v>
      </c>
      <c r="V16" t="s">
        <v>433</v>
      </c>
      <c r="W16">
        <v>710</v>
      </c>
      <c r="X16">
        <v>547</v>
      </c>
      <c r="Y16">
        <v>578</v>
      </c>
      <c r="Z16">
        <v>725</v>
      </c>
      <c r="AA16">
        <v>1081</v>
      </c>
      <c r="AB16">
        <v>515</v>
      </c>
      <c r="AC16">
        <v>581</v>
      </c>
      <c r="AD16">
        <v>160</v>
      </c>
      <c r="AE16">
        <v>342</v>
      </c>
      <c r="AG16">
        <v>1081</v>
      </c>
      <c r="AH16" s="342">
        <f t="shared" si="3"/>
        <v>582.11111111111109</v>
      </c>
    </row>
    <row r="17" spans="2:34" x14ac:dyDescent="0.3">
      <c r="B17" s="329" t="s">
        <v>434</v>
      </c>
      <c r="C17" s="22" t="s">
        <v>413</v>
      </c>
      <c r="D17" s="34">
        <f t="shared" si="0"/>
        <v>0.69446000000000008</v>
      </c>
      <c r="E17" s="161">
        <f t="shared" si="1"/>
        <v>149.19999999999999</v>
      </c>
      <c r="F17" s="161">
        <f t="shared" si="2"/>
        <v>488.31576880277549</v>
      </c>
      <c r="H17" t="s">
        <v>434</v>
      </c>
      <c r="I17" s="34">
        <v>0.95269999999999999</v>
      </c>
      <c r="J17" s="34">
        <v>0.90359999999999996</v>
      </c>
      <c r="K17" s="34">
        <v>0.76790000000000003</v>
      </c>
      <c r="L17" s="34">
        <v>0.6734</v>
      </c>
      <c r="M17" s="34">
        <v>0.60729999999999995</v>
      </c>
      <c r="N17" s="34">
        <v>0.80940000000000001</v>
      </c>
      <c r="O17" s="34">
        <v>0.71519999999999995</v>
      </c>
      <c r="P17" s="34">
        <v>0.80810000000000004</v>
      </c>
      <c r="Q17" s="34">
        <v>0.70699999999999996</v>
      </c>
      <c r="R17" s="34">
        <v>0</v>
      </c>
      <c r="S17" s="34">
        <v>0.95269999999999999</v>
      </c>
      <c r="T17" s="341">
        <v>0.69446000000000008</v>
      </c>
      <c r="V17" t="s">
        <v>434</v>
      </c>
      <c r="W17">
        <v>99</v>
      </c>
      <c r="X17">
        <v>131</v>
      </c>
      <c r="Y17">
        <v>135</v>
      </c>
      <c r="Z17">
        <v>129</v>
      </c>
      <c r="AA17">
        <v>545</v>
      </c>
      <c r="AB17">
        <v>218</v>
      </c>
      <c r="AC17">
        <v>61</v>
      </c>
      <c r="AD17">
        <v>19</v>
      </c>
      <c r="AE17">
        <v>141</v>
      </c>
      <c r="AF17">
        <v>14</v>
      </c>
      <c r="AG17">
        <v>545</v>
      </c>
      <c r="AH17" s="342">
        <f t="shared" si="3"/>
        <v>149.19999999999999</v>
      </c>
    </row>
    <row r="18" spans="2:34" x14ac:dyDescent="0.3">
      <c r="B18" s="329" t="s">
        <v>435</v>
      </c>
      <c r="C18" s="22" t="s">
        <v>413</v>
      </c>
      <c r="D18" s="34">
        <f t="shared" si="0"/>
        <v>0.56806000000000012</v>
      </c>
      <c r="E18" s="161">
        <f t="shared" si="1"/>
        <v>762</v>
      </c>
      <c r="F18" s="404">
        <f t="shared" si="2"/>
        <v>1764.1339074871514</v>
      </c>
      <c r="H18" t="s">
        <v>435</v>
      </c>
      <c r="I18" s="34">
        <v>0.73119999999999996</v>
      </c>
      <c r="J18" s="34">
        <v>0.62109999999999999</v>
      </c>
      <c r="K18" s="34">
        <v>0.62890000000000001</v>
      </c>
      <c r="L18" s="34">
        <v>0.69240000000000002</v>
      </c>
      <c r="M18" s="34">
        <v>0.64839999999999998</v>
      </c>
      <c r="N18" s="34">
        <v>0.6431</v>
      </c>
      <c r="O18" s="34">
        <v>0.55910000000000004</v>
      </c>
      <c r="P18" s="34">
        <v>0.63939999999999997</v>
      </c>
      <c r="Q18" s="34">
        <v>0.51700000000000002</v>
      </c>
      <c r="R18" s="34">
        <v>0</v>
      </c>
      <c r="S18" s="34">
        <v>0.73119999999999996</v>
      </c>
      <c r="T18" s="341">
        <v>0.56806000000000012</v>
      </c>
      <c r="V18" t="s">
        <v>435</v>
      </c>
      <c r="W18">
        <v>689</v>
      </c>
      <c r="X18">
        <v>1864</v>
      </c>
      <c r="Y18">
        <v>901</v>
      </c>
      <c r="Z18">
        <v>604</v>
      </c>
      <c r="AA18">
        <v>1163</v>
      </c>
      <c r="AB18">
        <v>746</v>
      </c>
      <c r="AC18">
        <v>892</v>
      </c>
      <c r="AD18">
        <v>327</v>
      </c>
      <c r="AE18">
        <v>244</v>
      </c>
      <c r="AF18">
        <v>190</v>
      </c>
      <c r="AG18">
        <v>1864</v>
      </c>
      <c r="AH18" s="342">
        <f t="shared" si="3"/>
        <v>762</v>
      </c>
    </row>
    <row r="19" spans="2:34" x14ac:dyDescent="0.3">
      <c r="B19" s="329" t="s">
        <v>436</v>
      </c>
      <c r="C19" s="22"/>
      <c r="D19" s="34">
        <f t="shared" si="0"/>
        <v>0</v>
      </c>
      <c r="E19" s="161">
        <f t="shared" si="1"/>
        <v>356.6</v>
      </c>
      <c r="F19" s="161">
        <f t="shared" si="2"/>
        <v>356.6</v>
      </c>
      <c r="H19" t="s">
        <v>436</v>
      </c>
      <c r="I19" s="34">
        <v>0</v>
      </c>
      <c r="J19" s="34">
        <v>0</v>
      </c>
      <c r="K19" s="34">
        <v>0</v>
      </c>
      <c r="L19" s="34">
        <v>0</v>
      </c>
      <c r="M19" s="34">
        <v>0</v>
      </c>
      <c r="N19" s="34">
        <v>0</v>
      </c>
      <c r="O19" s="34">
        <v>0</v>
      </c>
      <c r="P19" s="34">
        <v>0</v>
      </c>
      <c r="Q19" s="34">
        <v>0</v>
      </c>
      <c r="R19" s="34">
        <v>0</v>
      </c>
      <c r="S19" s="34">
        <v>0</v>
      </c>
      <c r="T19" s="341">
        <v>0</v>
      </c>
      <c r="V19" t="s">
        <v>436</v>
      </c>
      <c r="W19">
        <v>222</v>
      </c>
      <c r="X19">
        <v>330</v>
      </c>
      <c r="Y19">
        <v>174</v>
      </c>
      <c r="Z19">
        <v>437</v>
      </c>
      <c r="AA19">
        <v>661</v>
      </c>
      <c r="AB19">
        <v>724</v>
      </c>
      <c r="AC19">
        <v>512</v>
      </c>
      <c r="AD19">
        <v>82</v>
      </c>
      <c r="AE19">
        <v>208</v>
      </c>
      <c r="AF19">
        <v>216</v>
      </c>
      <c r="AG19">
        <v>724</v>
      </c>
      <c r="AH19" s="342">
        <f t="shared" si="3"/>
        <v>356.6</v>
      </c>
    </row>
    <row r="20" spans="2:34" x14ac:dyDescent="0.3">
      <c r="B20" s="329" t="s">
        <v>437</v>
      </c>
      <c r="C20" s="22"/>
      <c r="D20" s="34">
        <f t="shared" si="0"/>
        <v>0</v>
      </c>
      <c r="E20" s="161">
        <f t="shared" si="1"/>
        <v>35.166666666666664</v>
      </c>
      <c r="F20" s="161">
        <f t="shared" si="2"/>
        <v>35.166666666666664</v>
      </c>
      <c r="H20" t="s">
        <v>437</v>
      </c>
      <c r="I20" s="34">
        <v>0</v>
      </c>
      <c r="J20" s="34">
        <v>0</v>
      </c>
      <c r="K20" s="34">
        <v>0</v>
      </c>
      <c r="L20" s="34">
        <v>0</v>
      </c>
      <c r="M20" s="34"/>
      <c r="N20" s="34"/>
      <c r="O20" s="34"/>
      <c r="P20" s="34"/>
      <c r="Q20" s="34">
        <v>0</v>
      </c>
      <c r="R20" s="34">
        <v>0</v>
      </c>
      <c r="S20" s="34">
        <v>0</v>
      </c>
      <c r="T20" s="341">
        <v>0</v>
      </c>
      <c r="V20" t="s">
        <v>437</v>
      </c>
      <c r="W20">
        <v>73</v>
      </c>
      <c r="X20">
        <v>109</v>
      </c>
      <c r="Y20">
        <v>11</v>
      </c>
      <c r="Z20">
        <v>8</v>
      </c>
      <c r="AE20">
        <v>5</v>
      </c>
      <c r="AF20">
        <v>5</v>
      </c>
      <c r="AG20">
        <v>109</v>
      </c>
      <c r="AH20" s="342">
        <f t="shared" si="3"/>
        <v>35.166666666666664</v>
      </c>
    </row>
    <row r="21" spans="2:34" x14ac:dyDescent="0.3">
      <c r="B21" s="329" t="s">
        <v>438</v>
      </c>
      <c r="C21" s="22" t="s">
        <v>413</v>
      </c>
      <c r="D21" s="402">
        <f t="shared" si="0"/>
        <v>0</v>
      </c>
      <c r="E21" s="161">
        <f t="shared" si="1"/>
        <v>164.2</v>
      </c>
      <c r="F21" s="161">
        <f t="shared" si="2"/>
        <v>164.2</v>
      </c>
      <c r="H21" t="s">
        <v>438</v>
      </c>
      <c r="I21" s="34">
        <v>0</v>
      </c>
      <c r="J21" s="34">
        <v>0</v>
      </c>
      <c r="K21" s="34">
        <v>0</v>
      </c>
      <c r="L21" s="34">
        <v>0</v>
      </c>
      <c r="M21" s="34">
        <v>0</v>
      </c>
      <c r="N21" s="34">
        <v>0</v>
      </c>
      <c r="O21" s="34">
        <v>0</v>
      </c>
      <c r="P21" s="34">
        <v>0</v>
      </c>
      <c r="Q21" s="34">
        <v>0</v>
      </c>
      <c r="R21" s="34">
        <v>0</v>
      </c>
      <c r="S21" s="34">
        <v>0</v>
      </c>
      <c r="T21" s="341">
        <v>0</v>
      </c>
      <c r="V21" t="s">
        <v>438</v>
      </c>
      <c r="W21">
        <v>74</v>
      </c>
      <c r="X21">
        <v>315</v>
      </c>
      <c r="Y21">
        <v>164</v>
      </c>
      <c r="Z21">
        <v>186</v>
      </c>
      <c r="AA21">
        <v>190</v>
      </c>
      <c r="AB21">
        <v>241</v>
      </c>
      <c r="AC21">
        <v>292</v>
      </c>
      <c r="AD21">
        <v>35</v>
      </c>
      <c r="AE21">
        <v>95</v>
      </c>
      <c r="AF21">
        <v>50</v>
      </c>
      <c r="AG21">
        <v>315</v>
      </c>
      <c r="AH21" s="342">
        <f t="shared" si="3"/>
        <v>164.2</v>
      </c>
    </row>
    <row r="22" spans="2:34" x14ac:dyDescent="0.3">
      <c r="B22" s="329" t="s">
        <v>439</v>
      </c>
      <c r="C22" s="22"/>
      <c r="D22" s="34">
        <f t="shared" si="0"/>
        <v>0</v>
      </c>
      <c r="E22" s="161">
        <f t="shared" si="1"/>
        <v>59.8</v>
      </c>
      <c r="F22" s="161">
        <f t="shared" si="2"/>
        <v>59.8</v>
      </c>
      <c r="H22" t="s">
        <v>439</v>
      </c>
      <c r="I22" s="34">
        <v>0</v>
      </c>
      <c r="J22" s="34">
        <v>0</v>
      </c>
      <c r="K22" s="34">
        <v>0</v>
      </c>
      <c r="L22" s="34">
        <v>0</v>
      </c>
      <c r="M22" s="34">
        <v>0</v>
      </c>
      <c r="N22" s="34">
        <v>0</v>
      </c>
      <c r="O22" s="34">
        <v>0</v>
      </c>
      <c r="P22" s="34">
        <v>0</v>
      </c>
      <c r="Q22" s="34">
        <v>0</v>
      </c>
      <c r="R22" s="34">
        <v>0</v>
      </c>
      <c r="S22" s="34">
        <v>0</v>
      </c>
      <c r="T22" s="341">
        <v>0</v>
      </c>
      <c r="V22" t="s">
        <v>439</v>
      </c>
      <c r="W22">
        <v>51</v>
      </c>
      <c r="X22">
        <v>38</v>
      </c>
      <c r="Y22">
        <v>87</v>
      </c>
      <c r="Z22">
        <v>107</v>
      </c>
      <c r="AA22">
        <v>66</v>
      </c>
      <c r="AB22">
        <v>97</v>
      </c>
      <c r="AC22">
        <v>102</v>
      </c>
      <c r="AD22">
        <v>10</v>
      </c>
      <c r="AE22">
        <v>30</v>
      </c>
      <c r="AF22">
        <v>10</v>
      </c>
      <c r="AG22">
        <v>107</v>
      </c>
      <c r="AH22" s="342">
        <f t="shared" si="3"/>
        <v>59.8</v>
      </c>
    </row>
    <row r="23" spans="2:34" x14ac:dyDescent="0.3">
      <c r="B23" s="329" t="s">
        <v>440</v>
      </c>
      <c r="C23" s="22"/>
      <c r="D23" s="34">
        <f t="shared" si="0"/>
        <v>0</v>
      </c>
      <c r="E23" s="161">
        <f t="shared" si="1"/>
        <v>429</v>
      </c>
      <c r="F23" s="161">
        <f t="shared" si="2"/>
        <v>429</v>
      </c>
      <c r="H23" t="s">
        <v>440</v>
      </c>
      <c r="I23" s="34">
        <v>0</v>
      </c>
      <c r="J23" s="34">
        <v>0</v>
      </c>
      <c r="K23" s="34">
        <v>0</v>
      </c>
      <c r="L23" s="34">
        <v>0</v>
      </c>
      <c r="M23" s="34">
        <v>0</v>
      </c>
      <c r="N23" s="34">
        <v>0</v>
      </c>
      <c r="O23" s="34">
        <v>0</v>
      </c>
      <c r="P23" s="34">
        <v>0</v>
      </c>
      <c r="Q23" s="34">
        <v>0</v>
      </c>
      <c r="R23" s="34">
        <v>0</v>
      </c>
      <c r="S23" s="34">
        <v>0</v>
      </c>
      <c r="T23" s="341">
        <v>0</v>
      </c>
      <c r="V23" t="s">
        <v>440</v>
      </c>
      <c r="W23">
        <v>632</v>
      </c>
      <c r="X23">
        <v>674</v>
      </c>
      <c r="Y23">
        <v>411</v>
      </c>
      <c r="Z23">
        <v>375</v>
      </c>
      <c r="AA23">
        <v>861</v>
      </c>
      <c r="AB23">
        <v>586</v>
      </c>
      <c r="AC23">
        <v>411</v>
      </c>
      <c r="AD23">
        <v>96</v>
      </c>
      <c r="AE23">
        <v>169</v>
      </c>
      <c r="AF23">
        <v>75</v>
      </c>
      <c r="AG23">
        <v>861</v>
      </c>
      <c r="AH23" s="342">
        <f t="shared" si="3"/>
        <v>429</v>
      </c>
    </row>
    <row r="24" spans="2:34" x14ac:dyDescent="0.3">
      <c r="B24" s="329" t="s">
        <v>441</v>
      </c>
      <c r="C24" s="22"/>
      <c r="D24" s="34">
        <f t="shared" si="0"/>
        <v>0</v>
      </c>
      <c r="E24" s="161">
        <f t="shared" si="1"/>
        <v>5.2</v>
      </c>
      <c r="F24" s="161">
        <f t="shared" si="2"/>
        <v>5.2</v>
      </c>
      <c r="H24" t="s">
        <v>441</v>
      </c>
      <c r="I24" s="34">
        <v>0</v>
      </c>
      <c r="J24" s="34">
        <v>0</v>
      </c>
      <c r="K24" s="34">
        <v>0</v>
      </c>
      <c r="L24" s="34">
        <v>0</v>
      </c>
      <c r="M24" s="34">
        <v>0</v>
      </c>
      <c r="N24" s="34">
        <v>0</v>
      </c>
      <c r="O24" s="34">
        <v>0</v>
      </c>
      <c r="P24" s="34">
        <v>0</v>
      </c>
      <c r="Q24" s="34">
        <v>0</v>
      </c>
      <c r="R24" s="34">
        <v>0</v>
      </c>
      <c r="S24" s="34">
        <v>0</v>
      </c>
      <c r="T24" s="341">
        <v>0</v>
      </c>
      <c r="V24" t="s">
        <v>441</v>
      </c>
      <c r="W24">
        <v>6</v>
      </c>
      <c r="X24">
        <v>3</v>
      </c>
      <c r="Y24">
        <v>3</v>
      </c>
      <c r="Z24">
        <v>0</v>
      </c>
      <c r="AA24">
        <v>3</v>
      </c>
      <c r="AB24">
        <v>28</v>
      </c>
      <c r="AC24">
        <v>3</v>
      </c>
      <c r="AD24">
        <v>3</v>
      </c>
      <c r="AE24">
        <v>3</v>
      </c>
      <c r="AF24">
        <v>0</v>
      </c>
      <c r="AG24">
        <v>28</v>
      </c>
      <c r="AH24" s="342">
        <f t="shared" si="3"/>
        <v>5.2</v>
      </c>
    </row>
    <row r="25" spans="2:34" x14ac:dyDescent="0.3">
      <c r="B25" s="329" t="s">
        <v>442</v>
      </c>
      <c r="C25" s="22"/>
      <c r="D25" s="34">
        <f t="shared" si="0"/>
        <v>0</v>
      </c>
      <c r="E25" s="161">
        <f t="shared" si="1"/>
        <v>89.6</v>
      </c>
      <c r="F25" s="161">
        <f t="shared" si="2"/>
        <v>89.6</v>
      </c>
      <c r="H25" t="s">
        <v>442</v>
      </c>
      <c r="I25" s="34">
        <v>0</v>
      </c>
      <c r="J25" s="34">
        <v>0</v>
      </c>
      <c r="K25" s="34">
        <v>0</v>
      </c>
      <c r="L25" s="34">
        <v>0</v>
      </c>
      <c r="M25" s="34">
        <v>0</v>
      </c>
      <c r="N25" s="34">
        <v>0</v>
      </c>
      <c r="O25" s="34">
        <v>0</v>
      </c>
      <c r="P25" s="34">
        <v>0</v>
      </c>
      <c r="Q25" s="34">
        <v>0</v>
      </c>
      <c r="R25" s="34">
        <v>0</v>
      </c>
      <c r="S25" s="34">
        <v>0</v>
      </c>
      <c r="T25" s="341">
        <v>0</v>
      </c>
      <c r="V25" t="s">
        <v>442</v>
      </c>
      <c r="W25">
        <v>120</v>
      </c>
      <c r="X25">
        <v>137</v>
      </c>
      <c r="Y25">
        <v>146</v>
      </c>
      <c r="Z25">
        <v>49</v>
      </c>
      <c r="AA25">
        <v>104</v>
      </c>
      <c r="AB25">
        <v>110</v>
      </c>
      <c r="AC25">
        <v>108</v>
      </c>
      <c r="AD25">
        <v>57</v>
      </c>
      <c r="AE25">
        <v>43</v>
      </c>
      <c r="AF25">
        <v>22</v>
      </c>
      <c r="AG25">
        <v>146</v>
      </c>
      <c r="AH25" s="342">
        <f t="shared" si="3"/>
        <v>89.6</v>
      </c>
    </row>
    <row r="26" spans="2:34" x14ac:dyDescent="0.3">
      <c r="B26" s="329" t="s">
        <v>443</v>
      </c>
      <c r="C26" s="22"/>
      <c r="D26" s="34">
        <f t="shared" si="0"/>
        <v>8.6353505555555557E-2</v>
      </c>
      <c r="E26" s="161">
        <f t="shared" si="1"/>
        <v>584.22222222222217</v>
      </c>
      <c r="F26" s="161">
        <f t="shared" si="2"/>
        <v>639.44011800479427</v>
      </c>
      <c r="H26" t="s">
        <v>443</v>
      </c>
      <c r="I26" s="34">
        <v>8.0808080000000004E-2</v>
      </c>
      <c r="J26" s="34">
        <v>0.17272726999999999</v>
      </c>
      <c r="K26" s="34">
        <v>8.5106379999999995E-2</v>
      </c>
      <c r="L26" s="34">
        <v>0.10909091</v>
      </c>
      <c r="M26" s="34">
        <v>8.1300810000000001E-2</v>
      </c>
      <c r="N26" s="34">
        <v>0.1481481</v>
      </c>
      <c r="O26" s="34">
        <v>0</v>
      </c>
      <c r="P26" s="34">
        <v>0.1</v>
      </c>
      <c r="Q26" s="34">
        <v>0</v>
      </c>
      <c r="R26" s="34"/>
      <c r="S26" s="34">
        <v>0.17272726999999999</v>
      </c>
      <c r="T26" s="341">
        <v>8.6353505555555557E-2</v>
      </c>
      <c r="V26" t="s">
        <v>443</v>
      </c>
      <c r="W26">
        <v>865</v>
      </c>
      <c r="X26">
        <v>697</v>
      </c>
      <c r="Y26">
        <v>584</v>
      </c>
      <c r="Z26">
        <v>409</v>
      </c>
      <c r="AA26">
        <v>1037</v>
      </c>
      <c r="AB26">
        <v>555</v>
      </c>
      <c r="AC26">
        <v>614</v>
      </c>
      <c r="AD26">
        <v>187</v>
      </c>
      <c r="AE26">
        <v>310</v>
      </c>
      <c r="AG26">
        <v>1037</v>
      </c>
      <c r="AH26" s="342">
        <f t="shared" si="3"/>
        <v>584.22222222222217</v>
      </c>
    </row>
    <row r="27" spans="2:34" x14ac:dyDescent="0.3">
      <c r="B27" s="329" t="s">
        <v>444</v>
      </c>
      <c r="C27" s="22"/>
      <c r="D27" s="34">
        <f t="shared" si="0"/>
        <v>0</v>
      </c>
      <c r="E27" s="161">
        <f t="shared" si="1"/>
        <v>106.7</v>
      </c>
      <c r="F27" s="161">
        <f t="shared" si="2"/>
        <v>106.7</v>
      </c>
      <c r="H27" t="s">
        <v>444</v>
      </c>
      <c r="I27" s="34">
        <v>0</v>
      </c>
      <c r="J27" s="34">
        <v>0</v>
      </c>
      <c r="K27" s="34">
        <v>0</v>
      </c>
      <c r="L27" s="34">
        <v>0</v>
      </c>
      <c r="M27" s="34">
        <v>0</v>
      </c>
      <c r="N27" s="34">
        <v>0</v>
      </c>
      <c r="O27" s="34">
        <v>0</v>
      </c>
      <c r="P27" s="34">
        <v>0</v>
      </c>
      <c r="Q27" s="34">
        <v>0</v>
      </c>
      <c r="R27" s="34">
        <v>0</v>
      </c>
      <c r="S27" s="34">
        <v>0</v>
      </c>
      <c r="T27" s="341">
        <v>0</v>
      </c>
      <c r="V27" t="s">
        <v>444</v>
      </c>
      <c r="W27">
        <v>189</v>
      </c>
      <c r="X27">
        <v>156</v>
      </c>
      <c r="Y27">
        <v>113</v>
      </c>
      <c r="Z27">
        <v>56</v>
      </c>
      <c r="AA27">
        <v>192</v>
      </c>
      <c r="AB27">
        <v>183</v>
      </c>
      <c r="AC27">
        <v>64</v>
      </c>
      <c r="AD27">
        <v>23</v>
      </c>
      <c r="AE27">
        <v>54</v>
      </c>
      <c r="AF27">
        <v>37</v>
      </c>
      <c r="AG27">
        <v>192</v>
      </c>
      <c r="AH27" s="342">
        <f t="shared" si="3"/>
        <v>106.7</v>
      </c>
    </row>
    <row r="28" spans="2:34" x14ac:dyDescent="0.3">
      <c r="B28" s="329" t="s">
        <v>445</v>
      </c>
      <c r="C28" s="22" t="s">
        <v>413</v>
      </c>
      <c r="D28" s="34">
        <f t="shared" si="0"/>
        <v>0.26619999999999999</v>
      </c>
      <c r="E28" s="161">
        <f t="shared" si="1"/>
        <v>280.8</v>
      </c>
      <c r="F28" s="161">
        <f t="shared" si="2"/>
        <v>382.66557645134912</v>
      </c>
      <c r="H28" t="s">
        <v>445</v>
      </c>
      <c r="I28" s="34">
        <v>5.8000000000000003E-2</v>
      </c>
      <c r="J28" s="34">
        <v>0.03</v>
      </c>
      <c r="K28" s="34">
        <v>0</v>
      </c>
      <c r="L28" s="34">
        <v>9.5000000000000001E-2</v>
      </c>
      <c r="M28" s="34">
        <v>0.16200000000000001</v>
      </c>
      <c r="N28" s="34">
        <v>0.19800000000000001</v>
      </c>
      <c r="O28" s="34">
        <v>0.16800000000000001</v>
      </c>
      <c r="P28" s="34">
        <v>0.72399999999999998</v>
      </c>
      <c r="Q28" s="34">
        <v>0.78800000000000003</v>
      </c>
      <c r="R28" s="34">
        <v>0.439</v>
      </c>
      <c r="S28" s="34">
        <v>0.78800000000000003</v>
      </c>
      <c r="T28" s="341">
        <v>0.26619999999999999</v>
      </c>
      <c r="V28" t="s">
        <v>445</v>
      </c>
      <c r="W28">
        <v>308</v>
      </c>
      <c r="X28">
        <v>423</v>
      </c>
      <c r="Y28">
        <v>234</v>
      </c>
      <c r="Z28">
        <v>354</v>
      </c>
      <c r="AA28">
        <v>559</v>
      </c>
      <c r="AB28">
        <v>368</v>
      </c>
      <c r="AC28">
        <v>347</v>
      </c>
      <c r="AD28">
        <v>80</v>
      </c>
      <c r="AE28">
        <v>71</v>
      </c>
      <c r="AF28">
        <v>64</v>
      </c>
      <c r="AG28">
        <v>559</v>
      </c>
      <c r="AH28" s="342">
        <f t="shared" si="3"/>
        <v>280.8</v>
      </c>
    </row>
    <row r="29" spans="2:34" x14ac:dyDescent="0.3">
      <c r="B29" s="329" t="s">
        <v>446</v>
      </c>
      <c r="C29" s="22"/>
      <c r="D29" s="34">
        <f t="shared" si="0"/>
        <v>0</v>
      </c>
      <c r="E29" s="161">
        <f t="shared" si="1"/>
        <v>115.5</v>
      </c>
      <c r="F29" s="161">
        <f t="shared" si="2"/>
        <v>115.5</v>
      </c>
      <c r="H29" t="s">
        <v>446</v>
      </c>
      <c r="I29" s="34"/>
      <c r="J29" s="34"/>
      <c r="K29" s="34"/>
      <c r="L29" s="34"/>
      <c r="M29" s="34"/>
      <c r="N29" s="34"/>
      <c r="O29" s="34"/>
      <c r="P29" s="34"/>
      <c r="Q29" s="34">
        <v>0</v>
      </c>
      <c r="R29" s="34">
        <v>0</v>
      </c>
      <c r="S29" s="34">
        <v>0</v>
      </c>
      <c r="T29" s="341">
        <v>0</v>
      </c>
      <c r="V29" t="s">
        <v>446</v>
      </c>
      <c r="AE29">
        <v>130</v>
      </c>
      <c r="AF29">
        <v>101</v>
      </c>
      <c r="AG29">
        <v>130</v>
      </c>
      <c r="AH29" s="342">
        <f t="shared" si="3"/>
        <v>115.5</v>
      </c>
    </row>
    <row r="30" spans="2:34" x14ac:dyDescent="0.3">
      <c r="B30" s="329" t="s">
        <v>447</v>
      </c>
      <c r="C30" s="22"/>
      <c r="D30" s="34">
        <f t="shared" si="0"/>
        <v>0</v>
      </c>
      <c r="E30" s="161">
        <f t="shared" si="1"/>
        <v>320.7</v>
      </c>
      <c r="F30" s="161">
        <f t="shared" si="2"/>
        <v>320.7</v>
      </c>
      <c r="H30" t="s">
        <v>447</v>
      </c>
      <c r="I30" s="34">
        <v>0</v>
      </c>
      <c r="J30" s="34">
        <v>0</v>
      </c>
      <c r="K30" s="34">
        <v>0</v>
      </c>
      <c r="L30" s="34">
        <v>0</v>
      </c>
      <c r="M30" s="34">
        <v>0</v>
      </c>
      <c r="N30" s="34">
        <v>0</v>
      </c>
      <c r="O30" s="34">
        <v>0</v>
      </c>
      <c r="P30" s="34">
        <v>0</v>
      </c>
      <c r="Q30" s="34">
        <v>0</v>
      </c>
      <c r="R30" s="34">
        <v>0</v>
      </c>
      <c r="S30" s="34">
        <v>0</v>
      </c>
      <c r="T30" s="341">
        <v>0</v>
      </c>
      <c r="V30" t="s">
        <v>447</v>
      </c>
      <c r="W30">
        <v>121</v>
      </c>
      <c r="X30">
        <v>229</v>
      </c>
      <c r="Y30">
        <v>183</v>
      </c>
      <c r="Z30">
        <v>651</v>
      </c>
      <c r="AA30">
        <v>712</v>
      </c>
      <c r="AB30">
        <v>688</v>
      </c>
      <c r="AC30">
        <v>497</v>
      </c>
      <c r="AD30">
        <v>34</v>
      </c>
      <c r="AE30">
        <v>81</v>
      </c>
      <c r="AF30">
        <v>11</v>
      </c>
      <c r="AG30">
        <v>712</v>
      </c>
      <c r="AH30" s="342">
        <f t="shared" si="3"/>
        <v>320.7</v>
      </c>
    </row>
    <row r="31" spans="2:34" x14ac:dyDescent="0.3">
      <c r="B31" s="329" t="s">
        <v>448</v>
      </c>
      <c r="C31" s="22" t="s">
        <v>413</v>
      </c>
      <c r="D31" s="34">
        <f t="shared" si="0"/>
        <v>0.46799999999999997</v>
      </c>
      <c r="E31" s="161">
        <f t="shared" si="1"/>
        <v>472.7</v>
      </c>
      <c r="F31" s="161">
        <f t="shared" si="2"/>
        <v>888.53383458646613</v>
      </c>
      <c r="H31" t="s">
        <v>448</v>
      </c>
      <c r="I31" s="34">
        <v>0.112</v>
      </c>
      <c r="J31" s="34">
        <v>0.21</v>
      </c>
      <c r="K31" s="34">
        <v>0.39</v>
      </c>
      <c r="L31" s="34">
        <v>0.35699999999999998</v>
      </c>
      <c r="M31" s="34">
        <v>0.38600000000000001</v>
      </c>
      <c r="N31" s="34">
        <v>0.628</v>
      </c>
      <c r="O31" s="34">
        <v>0.63200000000000001</v>
      </c>
      <c r="P31" s="34">
        <v>0.82099999999999995</v>
      </c>
      <c r="Q31" s="34">
        <v>0.70099999999999996</v>
      </c>
      <c r="R31" s="34">
        <v>0.443</v>
      </c>
      <c r="S31" s="34">
        <v>0.82099999999999995</v>
      </c>
      <c r="T31" s="341">
        <v>0.46799999999999997</v>
      </c>
      <c r="V31" t="s">
        <v>448</v>
      </c>
      <c r="W31">
        <v>1078</v>
      </c>
      <c r="X31">
        <v>742</v>
      </c>
      <c r="Y31">
        <v>650</v>
      </c>
      <c r="Z31">
        <v>465</v>
      </c>
      <c r="AA31">
        <v>631</v>
      </c>
      <c r="AB31">
        <v>489</v>
      </c>
      <c r="AC31">
        <v>326</v>
      </c>
      <c r="AD31">
        <v>128</v>
      </c>
      <c r="AE31">
        <v>100</v>
      </c>
      <c r="AF31">
        <v>118</v>
      </c>
      <c r="AG31">
        <v>1078</v>
      </c>
      <c r="AH31" s="342">
        <f t="shared" si="3"/>
        <v>472.7</v>
      </c>
    </row>
    <row r="32" spans="2:34" x14ac:dyDescent="0.3">
      <c r="B32" s="329" t="s">
        <v>449</v>
      </c>
      <c r="C32" s="22"/>
      <c r="D32" s="34">
        <f t="shared" si="0"/>
        <v>2.9111111111111112E-2</v>
      </c>
      <c r="E32" s="161">
        <f t="shared" si="1"/>
        <v>803.88888888888891</v>
      </c>
      <c r="F32" s="161">
        <f t="shared" si="2"/>
        <v>827.99267566948959</v>
      </c>
      <c r="H32" t="s">
        <v>449</v>
      </c>
      <c r="I32" s="34">
        <v>8.0000000000000002E-3</v>
      </c>
      <c r="J32" s="34">
        <v>4.8000000000000001E-2</v>
      </c>
      <c r="K32" s="34">
        <v>1.2E-2</v>
      </c>
      <c r="L32" s="34">
        <v>1.2999999999999999E-2</v>
      </c>
      <c r="M32" s="34">
        <v>1.7000000000000001E-2</v>
      </c>
      <c r="N32" s="34">
        <v>4.9000000000000002E-2</v>
      </c>
      <c r="O32" s="34">
        <v>1.7000000000000001E-2</v>
      </c>
      <c r="P32" s="34">
        <v>8.8999999999999996E-2</v>
      </c>
      <c r="Q32" s="34">
        <v>8.9999999999999993E-3</v>
      </c>
      <c r="R32" s="34"/>
      <c r="S32" s="34">
        <v>8.8999999999999996E-2</v>
      </c>
      <c r="T32" s="341">
        <v>2.9111111111111112E-2</v>
      </c>
      <c r="V32" t="s">
        <v>449</v>
      </c>
      <c r="W32">
        <v>1163</v>
      </c>
      <c r="X32">
        <v>914</v>
      </c>
      <c r="Y32">
        <v>907</v>
      </c>
      <c r="Z32">
        <v>861</v>
      </c>
      <c r="AA32">
        <v>1489</v>
      </c>
      <c r="AB32">
        <v>367</v>
      </c>
      <c r="AC32">
        <v>534</v>
      </c>
      <c r="AD32">
        <v>437</v>
      </c>
      <c r="AE32">
        <v>563</v>
      </c>
      <c r="AG32">
        <v>1489</v>
      </c>
      <c r="AH32" s="342">
        <f t="shared" si="3"/>
        <v>803.88888888888891</v>
      </c>
    </row>
    <row r="33" spans="2:34" x14ac:dyDescent="0.3">
      <c r="B33" s="329" t="s">
        <v>450</v>
      </c>
      <c r="C33" s="22" t="s">
        <v>413</v>
      </c>
      <c r="D33" s="34">
        <f t="shared" si="0"/>
        <v>0.45389999999999997</v>
      </c>
      <c r="E33" s="161">
        <f t="shared" si="1"/>
        <v>595.4</v>
      </c>
      <c r="F33" s="404">
        <f t="shared" si="2"/>
        <v>1090.2765061344076</v>
      </c>
      <c r="H33" t="s">
        <v>450</v>
      </c>
      <c r="I33" s="34">
        <v>0.20799999999999999</v>
      </c>
      <c r="J33" s="34">
        <v>0.24099999999999999</v>
      </c>
      <c r="K33" s="34">
        <v>0.23200000000000001</v>
      </c>
      <c r="L33" s="34">
        <v>0.28199999999999997</v>
      </c>
      <c r="M33" s="34">
        <v>0.184</v>
      </c>
      <c r="N33" s="34">
        <v>0.61499999999999999</v>
      </c>
      <c r="O33" s="34">
        <v>0.66700000000000004</v>
      </c>
      <c r="P33" s="34">
        <v>0.69399999999999995</v>
      </c>
      <c r="Q33" s="34">
        <v>0.71099999999999997</v>
      </c>
      <c r="R33" s="34">
        <v>0.70499999999999996</v>
      </c>
      <c r="S33" s="34">
        <v>0.71099999999999997</v>
      </c>
      <c r="T33" s="341">
        <v>0.45389999999999997</v>
      </c>
      <c r="V33" t="s">
        <v>450</v>
      </c>
      <c r="W33">
        <v>1492</v>
      </c>
      <c r="X33">
        <v>1314</v>
      </c>
      <c r="Y33">
        <v>828</v>
      </c>
      <c r="Z33">
        <v>421</v>
      </c>
      <c r="AA33">
        <v>920</v>
      </c>
      <c r="AB33">
        <v>329</v>
      </c>
      <c r="AC33">
        <v>351</v>
      </c>
      <c r="AD33">
        <v>127</v>
      </c>
      <c r="AE33">
        <v>108</v>
      </c>
      <c r="AF33">
        <v>64</v>
      </c>
      <c r="AG33">
        <v>1492</v>
      </c>
      <c r="AH33" s="342">
        <f t="shared" si="3"/>
        <v>595.4</v>
      </c>
    </row>
    <row r="34" spans="2:34" x14ac:dyDescent="0.3">
      <c r="B34" s="329" t="s">
        <v>451</v>
      </c>
      <c r="C34" s="22"/>
      <c r="D34" s="34">
        <f t="shared" si="0"/>
        <v>0</v>
      </c>
      <c r="E34" s="161">
        <f t="shared" si="1"/>
        <v>89.5</v>
      </c>
      <c r="F34" s="161">
        <f t="shared" si="2"/>
        <v>89.5</v>
      </c>
      <c r="H34" t="s">
        <v>451</v>
      </c>
      <c r="I34" s="34">
        <v>0</v>
      </c>
      <c r="J34" s="34">
        <v>0</v>
      </c>
      <c r="K34" s="34">
        <v>0</v>
      </c>
      <c r="L34" s="34">
        <v>0</v>
      </c>
      <c r="M34" s="34">
        <v>0</v>
      </c>
      <c r="N34" s="34">
        <v>0</v>
      </c>
      <c r="O34" s="34">
        <v>0</v>
      </c>
      <c r="P34" s="34">
        <v>0</v>
      </c>
      <c r="Q34" s="34">
        <v>0</v>
      </c>
      <c r="R34" s="34">
        <v>0</v>
      </c>
      <c r="S34" s="34">
        <v>0</v>
      </c>
      <c r="T34" s="341">
        <v>0</v>
      </c>
      <c r="V34" t="s">
        <v>451</v>
      </c>
      <c r="W34">
        <v>112</v>
      </c>
      <c r="X34">
        <v>171</v>
      </c>
      <c r="Y34">
        <v>41</v>
      </c>
      <c r="Z34">
        <v>110</v>
      </c>
      <c r="AA34">
        <v>203</v>
      </c>
      <c r="AB34">
        <v>119</v>
      </c>
      <c r="AC34">
        <v>43</v>
      </c>
      <c r="AD34">
        <v>6</v>
      </c>
      <c r="AE34">
        <v>75</v>
      </c>
      <c r="AF34">
        <v>15</v>
      </c>
      <c r="AG34">
        <v>203</v>
      </c>
      <c r="AH34" s="342">
        <f t="shared" si="3"/>
        <v>89.5</v>
      </c>
    </row>
    <row r="35" spans="2:34" x14ac:dyDescent="0.3">
      <c r="B35" s="329" t="s">
        <v>452</v>
      </c>
      <c r="C35" s="22" t="s">
        <v>413</v>
      </c>
      <c r="D35" s="34">
        <f t="shared" si="0"/>
        <v>0.52429999999999999</v>
      </c>
      <c r="E35" s="161">
        <f t="shared" si="1"/>
        <v>209.1</v>
      </c>
      <c r="F35" s="161">
        <f t="shared" si="2"/>
        <v>439.56274963212104</v>
      </c>
      <c r="H35" t="s">
        <v>452</v>
      </c>
      <c r="I35" s="34">
        <v>0.42199999999999999</v>
      </c>
      <c r="J35" s="34">
        <v>0.29699999999999999</v>
      </c>
      <c r="K35" s="34">
        <v>0.3</v>
      </c>
      <c r="L35" s="34">
        <v>0.30599999999999999</v>
      </c>
      <c r="M35" s="34">
        <v>0.27600000000000002</v>
      </c>
      <c r="N35" s="34">
        <v>0.67</v>
      </c>
      <c r="O35" s="34">
        <v>0.66500000000000004</v>
      </c>
      <c r="P35" s="34">
        <v>0.80300000000000005</v>
      </c>
      <c r="Q35" s="34">
        <v>0.86799999999999999</v>
      </c>
      <c r="R35" s="34">
        <v>0.63600000000000001</v>
      </c>
      <c r="S35" s="34">
        <v>0.86799999999999999</v>
      </c>
      <c r="T35" s="341">
        <v>0.52429999999999999</v>
      </c>
      <c r="V35" t="s">
        <v>452</v>
      </c>
      <c r="W35">
        <v>542</v>
      </c>
      <c r="X35">
        <v>597</v>
      </c>
      <c r="Y35">
        <v>234</v>
      </c>
      <c r="Z35">
        <v>118</v>
      </c>
      <c r="AA35">
        <v>213</v>
      </c>
      <c r="AB35">
        <v>173</v>
      </c>
      <c r="AC35">
        <v>114</v>
      </c>
      <c r="AD35">
        <v>63</v>
      </c>
      <c r="AE35">
        <v>29</v>
      </c>
      <c r="AF35">
        <v>8</v>
      </c>
      <c r="AG35">
        <v>597</v>
      </c>
      <c r="AH35" s="342">
        <f t="shared" si="3"/>
        <v>209.1</v>
      </c>
    </row>
    <row r="36" spans="2:34" x14ac:dyDescent="0.3">
      <c r="B36" s="329" t="s">
        <v>453</v>
      </c>
      <c r="C36" s="22"/>
      <c r="D36" s="34">
        <f t="shared" si="0"/>
        <v>0</v>
      </c>
      <c r="E36" s="161">
        <f t="shared" si="1"/>
        <v>338.5</v>
      </c>
      <c r="F36" s="161">
        <f t="shared" si="2"/>
        <v>338.5</v>
      </c>
      <c r="H36" t="s">
        <v>453</v>
      </c>
      <c r="I36" s="34">
        <v>0</v>
      </c>
      <c r="J36" s="34">
        <v>0</v>
      </c>
      <c r="K36" s="34">
        <v>0</v>
      </c>
      <c r="L36" s="34">
        <v>0</v>
      </c>
      <c r="M36" s="34">
        <v>0</v>
      </c>
      <c r="N36" s="34">
        <v>0</v>
      </c>
      <c r="O36" s="34">
        <v>0</v>
      </c>
      <c r="P36" s="34">
        <v>0</v>
      </c>
      <c r="Q36" s="34">
        <v>0</v>
      </c>
      <c r="R36" s="34">
        <v>0</v>
      </c>
      <c r="S36" s="34">
        <v>0</v>
      </c>
      <c r="T36" s="341">
        <v>0</v>
      </c>
      <c r="V36" t="s">
        <v>453</v>
      </c>
      <c r="W36">
        <v>440</v>
      </c>
      <c r="X36">
        <v>437</v>
      </c>
      <c r="Y36">
        <v>519</v>
      </c>
      <c r="Z36">
        <v>318</v>
      </c>
      <c r="AA36">
        <v>665</v>
      </c>
      <c r="AB36">
        <v>434</v>
      </c>
      <c r="AC36">
        <v>239</v>
      </c>
      <c r="AD36">
        <v>77</v>
      </c>
      <c r="AE36">
        <v>156</v>
      </c>
      <c r="AF36">
        <v>100</v>
      </c>
      <c r="AG36">
        <v>665</v>
      </c>
      <c r="AH36" s="342">
        <f t="shared" si="3"/>
        <v>338.5</v>
      </c>
    </row>
    <row r="37" spans="2:34" x14ac:dyDescent="0.3">
      <c r="B37" s="329" t="s">
        <v>454</v>
      </c>
      <c r="C37" s="22" t="s">
        <v>413</v>
      </c>
      <c r="D37" s="34">
        <f t="shared" si="0"/>
        <v>0.53400000000000003</v>
      </c>
      <c r="E37" s="161">
        <f t="shared" si="1"/>
        <v>724</v>
      </c>
      <c r="F37" s="161">
        <f t="shared" si="2"/>
        <v>1553.6480686695279</v>
      </c>
      <c r="H37" t="s">
        <v>454</v>
      </c>
      <c r="I37" s="34">
        <v>0.76600000000000001</v>
      </c>
      <c r="J37" s="34">
        <v>0.79300000000000004</v>
      </c>
      <c r="K37" s="34">
        <v>0.38400000000000001</v>
      </c>
      <c r="L37" s="34">
        <v>0.51700000000000002</v>
      </c>
      <c r="M37" s="34">
        <v>0.55300000000000005</v>
      </c>
      <c r="N37" s="34">
        <v>0.47599999999999998</v>
      </c>
      <c r="O37" s="34">
        <v>0.44500000000000001</v>
      </c>
      <c r="P37" s="34">
        <v>0.64800000000000002</v>
      </c>
      <c r="Q37" s="34">
        <v>0.75800000000000001</v>
      </c>
      <c r="R37" s="34">
        <v>0</v>
      </c>
      <c r="S37" s="34">
        <v>0.79300000000000004</v>
      </c>
      <c r="T37" s="341">
        <v>0.53400000000000003</v>
      </c>
      <c r="V37" t="s">
        <v>454</v>
      </c>
      <c r="W37">
        <v>1135</v>
      </c>
      <c r="X37">
        <v>1188</v>
      </c>
      <c r="Y37">
        <v>1153</v>
      </c>
      <c r="Z37">
        <v>563</v>
      </c>
      <c r="AA37">
        <v>1283</v>
      </c>
      <c r="AB37">
        <v>557</v>
      </c>
      <c r="AC37">
        <v>750</v>
      </c>
      <c r="AD37">
        <v>189</v>
      </c>
      <c r="AE37">
        <v>230</v>
      </c>
      <c r="AF37">
        <v>192</v>
      </c>
      <c r="AG37">
        <v>1283</v>
      </c>
      <c r="AH37" s="342">
        <f t="shared" si="3"/>
        <v>724</v>
      </c>
    </row>
    <row r="38" spans="2:34" x14ac:dyDescent="0.3">
      <c r="B38" s="329" t="s">
        <v>455</v>
      </c>
      <c r="C38" s="22"/>
      <c r="D38" s="34">
        <f t="shared" si="0"/>
        <v>0.236231475</v>
      </c>
      <c r="E38" s="161">
        <f t="shared" si="1"/>
        <v>454.8</v>
      </c>
      <c r="F38" s="161">
        <f t="shared" si="2"/>
        <v>595.46837178188241</v>
      </c>
      <c r="H38" t="s">
        <v>455</v>
      </c>
      <c r="I38" s="34">
        <v>0.13888890000000001</v>
      </c>
      <c r="J38" s="34">
        <v>0.3</v>
      </c>
      <c r="K38" s="34">
        <v>0.13157895</v>
      </c>
      <c r="L38" s="34">
        <v>0.36734689999999998</v>
      </c>
      <c r="M38" s="34">
        <v>0.38750000000000001</v>
      </c>
      <c r="N38" s="34">
        <v>0.14799999999999999</v>
      </c>
      <c r="O38" s="34">
        <v>0.16700000000000001</v>
      </c>
      <c r="P38" s="34">
        <v>0.222</v>
      </c>
      <c r="Q38" s="34">
        <v>0.5</v>
      </c>
      <c r="R38" s="34">
        <v>0</v>
      </c>
      <c r="S38" s="34">
        <v>0.5</v>
      </c>
      <c r="T38" s="341">
        <v>0.236231475</v>
      </c>
      <c r="V38" t="s">
        <v>455</v>
      </c>
      <c r="W38">
        <v>592</v>
      </c>
      <c r="X38">
        <v>592</v>
      </c>
      <c r="Y38">
        <v>563</v>
      </c>
      <c r="Z38">
        <v>282</v>
      </c>
      <c r="AA38">
        <v>606</v>
      </c>
      <c r="AB38">
        <v>610</v>
      </c>
      <c r="AC38">
        <v>745</v>
      </c>
      <c r="AD38">
        <v>186</v>
      </c>
      <c r="AE38">
        <v>256</v>
      </c>
      <c r="AF38">
        <v>116</v>
      </c>
      <c r="AG38">
        <v>745</v>
      </c>
      <c r="AH38" s="342">
        <f t="shared" si="3"/>
        <v>454.8</v>
      </c>
    </row>
    <row r="39" spans="2:34" x14ac:dyDescent="0.3">
      <c r="B39" s="329" t="s">
        <v>456</v>
      </c>
      <c r="C39" s="22" t="s">
        <v>413</v>
      </c>
      <c r="D39" s="34">
        <f t="shared" si="0"/>
        <v>0.34110000000000007</v>
      </c>
      <c r="E39" s="161">
        <f t="shared" si="1"/>
        <v>163.19999999999999</v>
      </c>
      <c r="F39" s="161">
        <f t="shared" si="2"/>
        <v>247.68553650022767</v>
      </c>
      <c r="H39" t="s">
        <v>456</v>
      </c>
      <c r="I39" s="34">
        <v>0.96</v>
      </c>
      <c r="J39" s="34">
        <v>0.27500000000000002</v>
      </c>
      <c r="K39" s="34">
        <v>0.79500000000000004</v>
      </c>
      <c r="L39" s="34">
        <v>0.48699999999999999</v>
      </c>
      <c r="M39" s="34">
        <v>0.53400000000000003</v>
      </c>
      <c r="N39" s="34">
        <v>0</v>
      </c>
      <c r="O39" s="34">
        <v>0.2</v>
      </c>
      <c r="P39" s="34">
        <v>0.12</v>
      </c>
      <c r="Q39" s="34">
        <v>0.04</v>
      </c>
      <c r="R39" s="34">
        <v>0</v>
      </c>
      <c r="S39" s="34">
        <v>0.96</v>
      </c>
      <c r="T39" s="341">
        <v>0.34110000000000007</v>
      </c>
      <c r="V39" t="s">
        <v>456</v>
      </c>
      <c r="W39">
        <v>64</v>
      </c>
      <c r="X39">
        <v>116</v>
      </c>
      <c r="Y39">
        <v>268</v>
      </c>
      <c r="Z39">
        <v>358</v>
      </c>
      <c r="AA39">
        <v>216</v>
      </c>
      <c r="AB39">
        <v>117</v>
      </c>
      <c r="AC39">
        <v>351</v>
      </c>
      <c r="AD39">
        <v>40</v>
      </c>
      <c r="AE39">
        <v>77</v>
      </c>
      <c r="AF39">
        <v>25</v>
      </c>
      <c r="AG39">
        <v>358</v>
      </c>
      <c r="AH39" s="342">
        <f t="shared" si="3"/>
        <v>163.19999999999999</v>
      </c>
    </row>
    <row r="40" spans="2:34" x14ac:dyDescent="0.3">
      <c r="H40" t="s">
        <v>425</v>
      </c>
      <c r="I40" s="34">
        <v>0.96</v>
      </c>
      <c r="J40" s="34">
        <v>0.90359999999999996</v>
      </c>
      <c r="K40" s="34">
        <v>0.79500000000000004</v>
      </c>
      <c r="L40" s="34">
        <v>0.69240000000000002</v>
      </c>
      <c r="M40" s="34">
        <v>0.64839999999999998</v>
      </c>
      <c r="N40" s="34">
        <v>0.80940000000000001</v>
      </c>
      <c r="O40" s="34">
        <v>0.71519999999999995</v>
      </c>
      <c r="P40" s="34">
        <v>0.82099999999999995</v>
      </c>
      <c r="Q40" s="34">
        <v>0.86799999999999999</v>
      </c>
      <c r="R40" s="34">
        <v>0.70499999999999996</v>
      </c>
      <c r="S40" s="34">
        <v>0.96</v>
      </c>
      <c r="T40" s="341"/>
      <c r="V40" t="s">
        <v>425</v>
      </c>
      <c r="W40">
        <v>1492</v>
      </c>
      <c r="X40">
        <v>1864</v>
      </c>
      <c r="Y40">
        <v>1153</v>
      </c>
      <c r="Z40">
        <v>900</v>
      </c>
      <c r="AA40">
        <v>1489</v>
      </c>
      <c r="AB40">
        <v>1405</v>
      </c>
      <c r="AC40">
        <v>892</v>
      </c>
      <c r="AD40">
        <v>437</v>
      </c>
      <c r="AE40">
        <v>563</v>
      </c>
      <c r="AF40">
        <v>216</v>
      </c>
      <c r="AG40">
        <v>1864</v>
      </c>
      <c r="AH40" s="342">
        <f t="shared" si="3"/>
        <v>1041.0999999999999</v>
      </c>
    </row>
    <row r="41" spans="2:34" x14ac:dyDescent="0.3">
      <c r="I41" s="34"/>
      <c r="J41" s="34"/>
      <c r="K41" s="34"/>
      <c r="L41" s="34"/>
      <c r="M41" s="34"/>
      <c r="N41" s="34"/>
      <c r="O41" s="34"/>
      <c r="P41" s="34"/>
      <c r="Q41" s="34"/>
      <c r="R41" s="34"/>
      <c r="S41" s="34"/>
      <c r="T41" s="341"/>
    </row>
    <row r="42" spans="2:34" x14ac:dyDescent="0.3">
      <c r="C42" s="329" t="s">
        <v>467</v>
      </c>
      <c r="D42" s="329">
        <f>COUNTIF(D$9:D$39,"&lt;.1")</f>
        <v>20</v>
      </c>
      <c r="E42" s="329">
        <f>D42-D41</f>
        <v>20</v>
      </c>
      <c r="F42" s="32">
        <f>E42/D$51</f>
        <v>0.64516129032258063</v>
      </c>
      <c r="I42" s="34"/>
      <c r="J42" s="34"/>
      <c r="K42" s="34"/>
      <c r="L42" s="34"/>
      <c r="M42" s="34"/>
      <c r="N42" s="34"/>
      <c r="O42" s="34"/>
      <c r="P42" s="34"/>
      <c r="Q42" s="34"/>
      <c r="R42" s="34"/>
      <c r="S42" s="34"/>
      <c r="T42" s="341">
        <v>0.16457869112903226</v>
      </c>
    </row>
    <row r="43" spans="2:34" x14ac:dyDescent="0.3">
      <c r="C43" s="329" t="s">
        <v>468</v>
      </c>
      <c r="D43" s="331">
        <f>COUNTIF(D$9:D$39,"&lt;.2")</f>
        <v>20</v>
      </c>
      <c r="E43" s="331">
        <f t="shared" ref="E43:E51" si="4">D43-D42</f>
        <v>0</v>
      </c>
      <c r="F43" s="32">
        <f t="shared" ref="F43:F51" si="5">E43/D$51</f>
        <v>0</v>
      </c>
    </row>
    <row r="44" spans="2:34" x14ac:dyDescent="0.3">
      <c r="C44" s="329" t="s">
        <v>469</v>
      </c>
      <c r="D44" s="331">
        <f>COUNTIF(D$9:D$39,"&lt;.3")</f>
        <v>22</v>
      </c>
      <c r="E44" s="331">
        <f t="shared" si="4"/>
        <v>2</v>
      </c>
      <c r="F44" s="32">
        <f t="shared" si="5"/>
        <v>6.4516129032258063E-2</v>
      </c>
      <c r="H44" t="s">
        <v>457</v>
      </c>
    </row>
    <row r="45" spans="2:34" x14ac:dyDescent="0.3">
      <c r="C45" s="329" t="s">
        <v>470</v>
      </c>
      <c r="D45" s="331">
        <f>COUNTIF(D$9:D$39,"&lt;.4")</f>
        <v>24</v>
      </c>
      <c r="E45" s="331">
        <f t="shared" si="4"/>
        <v>2</v>
      </c>
      <c r="F45" s="32">
        <f t="shared" si="5"/>
        <v>6.4516129032258063E-2</v>
      </c>
    </row>
    <row r="46" spans="2:34" x14ac:dyDescent="0.3">
      <c r="C46" s="329" t="s">
        <v>471</v>
      </c>
      <c r="D46" s="331">
        <f>COUNTIF(D$9:D$39,"&lt;.5")</f>
        <v>26</v>
      </c>
      <c r="E46" s="331">
        <f t="shared" si="4"/>
        <v>2</v>
      </c>
      <c r="F46" s="32">
        <f t="shared" si="5"/>
        <v>6.4516129032258063E-2</v>
      </c>
    </row>
    <row r="47" spans="2:34" x14ac:dyDescent="0.3">
      <c r="C47" s="329" t="s">
        <v>472</v>
      </c>
      <c r="D47" s="331">
        <f>COUNTIF(D$9:D$39,"&lt;.6")</f>
        <v>30</v>
      </c>
      <c r="E47" s="331">
        <f t="shared" si="4"/>
        <v>4</v>
      </c>
      <c r="F47" s="32">
        <f t="shared" si="5"/>
        <v>0.12903225806451613</v>
      </c>
    </row>
    <row r="48" spans="2:34" x14ac:dyDescent="0.3">
      <c r="C48" s="329" t="s">
        <v>473</v>
      </c>
      <c r="D48" s="331">
        <f>COUNTIF(D$9:D$39,"&lt;.7")</f>
        <v>31</v>
      </c>
      <c r="E48" s="331">
        <f t="shared" si="4"/>
        <v>1</v>
      </c>
      <c r="F48" s="32">
        <f t="shared" si="5"/>
        <v>3.2258064516129031E-2</v>
      </c>
    </row>
    <row r="49" spans="3:6" x14ac:dyDescent="0.3">
      <c r="C49" s="329" t="s">
        <v>474</v>
      </c>
      <c r="D49" s="331">
        <f>COUNTIF(D$9:D$39,"&lt;.8")</f>
        <v>31</v>
      </c>
      <c r="E49" s="331">
        <f t="shared" si="4"/>
        <v>0</v>
      </c>
      <c r="F49" s="32">
        <f t="shared" si="5"/>
        <v>0</v>
      </c>
    </row>
    <row r="50" spans="3:6" x14ac:dyDescent="0.3">
      <c r="C50" s="329" t="s">
        <v>475</v>
      </c>
      <c r="D50" s="331">
        <f>COUNTIF(D$9:D$39,"&lt;.9")</f>
        <v>31</v>
      </c>
      <c r="E50" s="331">
        <f t="shared" si="4"/>
        <v>0</v>
      </c>
      <c r="F50" s="32">
        <f t="shared" si="5"/>
        <v>0</v>
      </c>
    </row>
    <row r="51" spans="3:6" x14ac:dyDescent="0.3">
      <c r="C51" s="329" t="s">
        <v>467</v>
      </c>
      <c r="D51" s="331">
        <f>COUNTIF(D$9:D$39,"&lt;1")</f>
        <v>31</v>
      </c>
      <c r="E51" s="331">
        <f t="shared" si="4"/>
        <v>0</v>
      </c>
      <c r="F51" s="32">
        <f t="shared" si="5"/>
        <v>0</v>
      </c>
    </row>
  </sheetData>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A87"/>
  <sheetViews>
    <sheetView zoomScale="90" zoomScaleNormal="90" workbookViewId="0">
      <pane xSplit="1" ySplit="6" topLeftCell="CP61" activePane="bottomRight" state="frozen"/>
      <selection pane="topRight" activeCell="B1" sqref="B1"/>
      <selection pane="bottomLeft" activeCell="A6" sqref="A6"/>
      <selection pane="bottomRight" activeCell="CX90" sqref="CX90"/>
    </sheetView>
  </sheetViews>
  <sheetFormatPr defaultRowHeight="14.4" x14ac:dyDescent="0.3"/>
  <cols>
    <col min="1" max="14" width="9.109375"/>
    <col min="19" max="19" width="11.5546875" bestFit="1" customWidth="1"/>
    <col min="20" max="20" width="11.5546875" customWidth="1"/>
    <col min="21" max="24" width="9.109375"/>
    <col min="25" max="25" width="2.88671875" customWidth="1"/>
    <col min="26" max="26" width="9.6640625" customWidth="1"/>
    <col min="27" max="29" width="9.109375"/>
    <col min="30" max="30" width="2.33203125" customWidth="1"/>
    <col min="31" max="33" width="9.109375"/>
    <col min="34" max="34" width="2.109375" customWidth="1"/>
    <col min="35" max="37" width="9.109375"/>
    <col min="38" max="38" width="2.33203125" customWidth="1"/>
    <col min="39" max="39" width="9.109375"/>
    <col min="40" max="40" width="9.88671875" customWidth="1"/>
    <col min="42" max="42" width="3.33203125" customWidth="1"/>
    <col min="43" max="43" width="9.109375" style="28"/>
    <col min="45" max="45" width="9.109375" style="34"/>
    <col min="46" max="46" width="3" customWidth="1"/>
    <col min="48" max="48" width="9.109375" style="90"/>
    <col min="63" max="63" width="8.88671875" style="32"/>
    <col min="64" max="64" width="1" style="32" customWidth="1"/>
    <col min="71" max="71" width="2.109375" customWidth="1"/>
    <col min="78" max="78" width="0.6640625" customWidth="1"/>
    <col min="83" max="83" width="8.88671875" style="28"/>
    <col min="84" max="84" width="8.88671875" style="32"/>
    <col min="85" max="85" width="1" style="32" customWidth="1"/>
    <col min="92" max="92" width="0.77734375" customWidth="1"/>
    <col min="107" max="107" width="1.6640625" customWidth="1"/>
    <col min="111" max="111" width="2.109375" customWidth="1"/>
    <col min="112" max="112" width="10.88671875" customWidth="1"/>
    <col min="113" max="113" width="2.109375" customWidth="1"/>
    <col min="121" max="121" width="8.88671875" style="32"/>
    <col min="129" max="129" width="8.88671875" style="32"/>
    <col min="131" max="131" width="8.88671875" style="32"/>
    <col min="132" max="132" width="3.88671875" customWidth="1"/>
    <col min="153" max="155" width="8.88671875" style="90"/>
    <col min="157" max="157" width="17.88671875" bestFit="1" customWidth="1"/>
  </cols>
  <sheetData>
    <row r="1" spans="1:152" x14ac:dyDescent="0.3">
      <c r="AM1" t="s">
        <v>321</v>
      </c>
    </row>
    <row r="2" spans="1:152" ht="23.4" customHeight="1" x14ac:dyDescent="0.3">
      <c r="R2" s="214"/>
      <c r="AM2" s="213" t="s">
        <v>318</v>
      </c>
      <c r="AN2" s="213"/>
      <c r="AO2" s="213"/>
      <c r="BF2" t="s">
        <v>205</v>
      </c>
    </row>
    <row r="3" spans="1:152" x14ac:dyDescent="0.3">
      <c r="F3" s="31" t="s">
        <v>206</v>
      </c>
      <c r="G3" s="31"/>
      <c r="H3" s="31" t="s">
        <v>206</v>
      </c>
      <c r="I3" s="31"/>
      <c r="J3" s="31" t="s">
        <v>206</v>
      </c>
      <c r="K3" s="31"/>
      <c r="L3" s="31" t="s">
        <v>206</v>
      </c>
      <c r="M3" t="s">
        <v>207</v>
      </c>
      <c r="R3" s="185"/>
      <c r="Z3" t="s">
        <v>138</v>
      </c>
      <c r="AM3" s="399" t="s">
        <v>315</v>
      </c>
      <c r="AN3" s="399" t="s">
        <v>316</v>
      </c>
      <c r="AO3" s="399" t="s">
        <v>317</v>
      </c>
      <c r="AX3" s="129" t="s">
        <v>208</v>
      </c>
      <c r="BF3" t="s">
        <v>274</v>
      </c>
      <c r="CV3" t="s">
        <v>275</v>
      </c>
      <c r="DD3" t="s">
        <v>284</v>
      </c>
      <c r="DJ3" t="s">
        <v>284</v>
      </c>
    </row>
    <row r="4" spans="1:152" ht="20.25" customHeight="1" x14ac:dyDescent="0.3">
      <c r="A4" s="396" t="s">
        <v>119</v>
      </c>
      <c r="B4" s="398" t="s">
        <v>125</v>
      </c>
      <c r="C4" s="398"/>
      <c r="D4" s="130"/>
      <c r="E4" s="398" t="s">
        <v>120</v>
      </c>
      <c r="F4" s="398"/>
      <c r="G4" s="398" t="s">
        <v>121</v>
      </c>
      <c r="H4" s="398"/>
      <c r="I4" s="398" t="s">
        <v>20</v>
      </c>
      <c r="J4" s="398"/>
      <c r="K4" s="398" t="s">
        <v>122</v>
      </c>
      <c r="L4" s="398"/>
      <c r="M4" s="399" t="s">
        <v>122</v>
      </c>
      <c r="N4" s="399"/>
      <c r="R4" s="185" t="s">
        <v>320</v>
      </c>
      <c r="S4" s="33" t="s">
        <v>209</v>
      </c>
      <c r="T4" s="33" t="s">
        <v>210</v>
      </c>
      <c r="U4" t="s">
        <v>136</v>
      </c>
      <c r="Z4" t="s">
        <v>136</v>
      </c>
      <c r="AA4" s="130"/>
      <c r="AB4" s="130"/>
      <c r="AC4" s="130"/>
      <c r="AD4" s="130"/>
      <c r="AE4" s="130"/>
      <c r="AF4" s="130"/>
      <c r="AG4" s="130"/>
      <c r="AH4" s="130"/>
      <c r="AI4" s="130"/>
      <c r="AJ4" s="130"/>
      <c r="AK4" s="130"/>
      <c r="AL4" s="33"/>
      <c r="AM4" s="399"/>
      <c r="AN4" s="399"/>
      <c r="AO4" s="399"/>
      <c r="AQ4" s="28" t="s">
        <v>211</v>
      </c>
      <c r="AU4" t="s">
        <v>212</v>
      </c>
      <c r="AV4" s="90" t="s">
        <v>213</v>
      </c>
      <c r="BF4" t="s">
        <v>220</v>
      </c>
      <c r="BM4" t="s">
        <v>36</v>
      </c>
      <c r="BT4" t="s">
        <v>32</v>
      </c>
      <c r="CA4" t="s">
        <v>35</v>
      </c>
      <c r="CH4" t="s">
        <v>221</v>
      </c>
      <c r="CO4" t="s">
        <v>31</v>
      </c>
      <c r="CV4" t="s">
        <v>23</v>
      </c>
      <c r="DD4" t="s">
        <v>23</v>
      </c>
      <c r="DH4" t="s">
        <v>287</v>
      </c>
      <c r="DJ4" s="39" t="s">
        <v>40</v>
      </c>
      <c r="DK4" s="39"/>
      <c r="DL4" s="39" t="s">
        <v>41</v>
      </c>
      <c r="DM4" s="39"/>
      <c r="DN4" s="39" t="s">
        <v>42</v>
      </c>
      <c r="DO4" s="39"/>
      <c r="DP4" s="39" t="s">
        <v>43</v>
      </c>
      <c r="DQ4" s="197"/>
      <c r="DR4" s="39" t="s">
        <v>44</v>
      </c>
      <c r="DS4" s="39"/>
      <c r="DT4" s="39" t="s">
        <v>45</v>
      </c>
      <c r="DU4" s="39"/>
      <c r="DV4" s="39" t="s">
        <v>46</v>
      </c>
      <c r="DW4" s="39"/>
      <c r="DX4" s="39" t="s">
        <v>47</v>
      </c>
      <c r="DY4" s="197"/>
      <c r="DZ4" s="39" t="s">
        <v>48</v>
      </c>
      <c r="EC4" s="39" t="s">
        <v>49</v>
      </c>
      <c r="ED4" s="39" t="s">
        <v>50</v>
      </c>
      <c r="EE4" s="39" t="s">
        <v>69</v>
      </c>
      <c r="EF4" s="39"/>
      <c r="EG4" s="39" t="s">
        <v>51</v>
      </c>
      <c r="EH4" s="39" t="s">
        <v>52</v>
      </c>
      <c r="EI4" s="39"/>
      <c r="EJ4" s="39" t="s">
        <v>24</v>
      </c>
      <c r="EK4" s="39"/>
      <c r="EL4" s="39" t="s">
        <v>53</v>
      </c>
      <c r="EM4" s="39" t="s">
        <v>54</v>
      </c>
      <c r="EN4" s="39"/>
      <c r="EO4" s="39" t="s">
        <v>67</v>
      </c>
      <c r="EQ4" t="s">
        <v>37</v>
      </c>
      <c r="ER4" t="s">
        <v>38</v>
      </c>
      <c r="ES4" t="s">
        <v>27</v>
      </c>
      <c r="EU4" t="s">
        <v>39</v>
      </c>
    </row>
    <row r="5" spans="1:152" ht="15" customHeight="1" thickBot="1" x14ac:dyDescent="0.35">
      <c r="A5" s="396"/>
      <c r="B5" s="400" t="s">
        <v>126</v>
      </c>
      <c r="C5" s="400"/>
      <c r="D5" s="131"/>
      <c r="E5" s="400" t="s">
        <v>214</v>
      </c>
      <c r="F5" s="400"/>
      <c r="G5" s="400" t="s">
        <v>215</v>
      </c>
      <c r="H5" s="400"/>
      <c r="I5" s="400" t="s">
        <v>127</v>
      </c>
      <c r="J5" s="400"/>
      <c r="K5" s="400" t="s">
        <v>216</v>
      </c>
      <c r="L5" s="400"/>
      <c r="M5" s="401" t="s">
        <v>217</v>
      </c>
      <c r="N5" s="401"/>
      <c r="O5" t="s">
        <v>320</v>
      </c>
      <c r="P5" t="s">
        <v>320</v>
      </c>
      <c r="Q5" t="s">
        <v>320</v>
      </c>
      <c r="R5" s="185" t="s">
        <v>181</v>
      </c>
      <c r="S5" s="33" t="s">
        <v>144</v>
      </c>
      <c r="T5" s="33" t="s">
        <v>144</v>
      </c>
      <c r="U5" s="132" t="s">
        <v>128</v>
      </c>
      <c r="V5" s="132"/>
      <c r="Z5" s="130" t="s">
        <v>137</v>
      </c>
      <c r="AA5" s="130"/>
      <c r="AB5" s="130"/>
      <c r="AC5" s="130"/>
      <c r="AD5" s="130"/>
      <c r="AE5" s="132" t="s">
        <v>139</v>
      </c>
      <c r="AF5" s="130"/>
      <c r="AG5" s="130"/>
      <c r="AH5" s="130"/>
      <c r="AI5" s="132" t="s">
        <v>142</v>
      </c>
      <c r="AJ5" s="130"/>
      <c r="AK5" s="130"/>
      <c r="AL5" s="33"/>
      <c r="AM5" s="399"/>
      <c r="AN5" s="399"/>
      <c r="AO5" s="399"/>
      <c r="AR5" t="s">
        <v>206</v>
      </c>
      <c r="AS5" s="34" t="s">
        <v>206</v>
      </c>
      <c r="AU5" t="s">
        <v>218</v>
      </c>
      <c r="AV5" s="90" t="s">
        <v>184</v>
      </c>
      <c r="AY5" s="129"/>
      <c r="AZ5" s="129"/>
      <c r="BA5" s="129"/>
      <c r="BB5" s="129"/>
      <c r="BC5" t="s">
        <v>219</v>
      </c>
      <c r="BF5" t="s">
        <v>271</v>
      </c>
      <c r="BI5" t="s">
        <v>272</v>
      </c>
      <c r="BM5" t="s">
        <v>271</v>
      </c>
      <c r="BP5" t="s">
        <v>272</v>
      </c>
      <c r="BT5" t="s">
        <v>271</v>
      </c>
      <c r="BW5" t="s">
        <v>272</v>
      </c>
      <c r="CA5" t="s">
        <v>271</v>
      </c>
      <c r="CD5" t="s">
        <v>272</v>
      </c>
      <c r="CH5" t="s">
        <v>271</v>
      </c>
      <c r="CK5" t="s">
        <v>272</v>
      </c>
      <c r="CO5" t="s">
        <v>271</v>
      </c>
      <c r="CR5" t="s">
        <v>272</v>
      </c>
      <c r="CV5" t="s">
        <v>131</v>
      </c>
      <c r="CW5" t="s">
        <v>277</v>
      </c>
      <c r="CZ5" t="s">
        <v>281</v>
      </c>
      <c r="DA5" t="s">
        <v>131</v>
      </c>
      <c r="DD5" t="s">
        <v>271</v>
      </c>
      <c r="DJ5" t="s">
        <v>272</v>
      </c>
      <c r="DL5" t="s">
        <v>272</v>
      </c>
      <c r="DN5" t="s">
        <v>272</v>
      </c>
      <c r="DP5" t="s">
        <v>272</v>
      </c>
      <c r="DR5" t="s">
        <v>272</v>
      </c>
      <c r="DT5" t="s">
        <v>272</v>
      </c>
      <c r="DV5" t="s">
        <v>272</v>
      </c>
      <c r="DX5" t="s">
        <v>272</v>
      </c>
      <c r="DZ5" t="s">
        <v>272</v>
      </c>
      <c r="EC5" t="s">
        <v>272</v>
      </c>
      <c r="ED5" t="s">
        <v>272</v>
      </c>
      <c r="EE5" t="s">
        <v>272</v>
      </c>
      <c r="EG5" t="s">
        <v>272</v>
      </c>
      <c r="EH5" t="s">
        <v>272</v>
      </c>
      <c r="EJ5" t="s">
        <v>272</v>
      </c>
      <c r="EL5" t="s">
        <v>272</v>
      </c>
      <c r="EM5" t="s">
        <v>272</v>
      </c>
      <c r="EO5" t="s">
        <v>272</v>
      </c>
      <c r="EQ5" t="s">
        <v>272</v>
      </c>
      <c r="ER5" t="s">
        <v>272</v>
      </c>
      <c r="ES5" t="s">
        <v>272</v>
      </c>
      <c r="EU5" t="s">
        <v>272</v>
      </c>
      <c r="EV5" t="s">
        <v>272</v>
      </c>
    </row>
    <row r="6" spans="1:152" ht="16.5" customHeight="1" thickTop="1" thickBot="1" x14ac:dyDescent="0.35">
      <c r="A6" s="397"/>
      <c r="B6" s="131" t="s">
        <v>20</v>
      </c>
      <c r="C6" s="131" t="s">
        <v>122</v>
      </c>
      <c r="D6" s="131" t="s">
        <v>135</v>
      </c>
      <c r="E6" s="131" t="s">
        <v>123</v>
      </c>
      <c r="F6" s="131" t="s">
        <v>124</v>
      </c>
      <c r="G6" s="131" t="s">
        <v>123</v>
      </c>
      <c r="H6" s="131" t="s">
        <v>124</v>
      </c>
      <c r="I6" s="131" t="s">
        <v>123</v>
      </c>
      <c r="J6" s="131" t="s">
        <v>124</v>
      </c>
      <c r="K6" s="131" t="s">
        <v>123</v>
      </c>
      <c r="L6" s="131" t="s">
        <v>124</v>
      </c>
      <c r="M6" s="133" t="s">
        <v>123</v>
      </c>
      <c r="N6" s="134" t="s">
        <v>124</v>
      </c>
      <c r="O6" t="s">
        <v>400</v>
      </c>
      <c r="P6" t="s">
        <v>399</v>
      </c>
      <c r="Q6" t="s">
        <v>131</v>
      </c>
      <c r="R6" s="185" t="s">
        <v>319</v>
      </c>
      <c r="S6" s="36" t="s">
        <v>143</v>
      </c>
      <c r="T6" s="36" t="s">
        <v>143</v>
      </c>
      <c r="U6" t="s">
        <v>129</v>
      </c>
      <c r="V6" t="s">
        <v>130</v>
      </c>
      <c r="W6" t="s">
        <v>121</v>
      </c>
      <c r="X6" t="s">
        <v>131</v>
      </c>
      <c r="Z6" t="s">
        <v>129</v>
      </c>
      <c r="AA6" t="s">
        <v>130</v>
      </c>
      <c r="AB6" t="s">
        <v>121</v>
      </c>
      <c r="AC6" t="s">
        <v>131</v>
      </c>
      <c r="AE6" t="s">
        <v>140</v>
      </c>
      <c r="AF6" t="s">
        <v>141</v>
      </c>
      <c r="AG6" t="s">
        <v>20</v>
      </c>
      <c r="AI6" t="s">
        <v>140</v>
      </c>
      <c r="AJ6" t="s">
        <v>141</v>
      </c>
      <c r="AK6" t="s">
        <v>20</v>
      </c>
      <c r="AM6" s="399"/>
      <c r="AN6" s="399"/>
      <c r="AO6" s="399"/>
      <c r="AQ6" s="28" t="s">
        <v>222</v>
      </c>
      <c r="AR6" t="s">
        <v>223</v>
      </c>
      <c r="AS6" s="34" t="s">
        <v>224</v>
      </c>
      <c r="AU6" t="s">
        <v>225</v>
      </c>
      <c r="AV6" s="90" t="s">
        <v>226</v>
      </c>
      <c r="AX6" s="22" t="s">
        <v>21</v>
      </c>
      <c r="AY6" s="22" t="s">
        <v>227</v>
      </c>
      <c r="AZ6" s="22" t="s">
        <v>20</v>
      </c>
      <c r="BA6" s="22" t="s">
        <v>228</v>
      </c>
      <c r="BC6" s="22" t="s">
        <v>21</v>
      </c>
      <c r="BD6" s="22" t="s">
        <v>227</v>
      </c>
      <c r="BF6" t="s">
        <v>229</v>
      </c>
      <c r="BG6" t="s">
        <v>131</v>
      </c>
      <c r="BH6" t="s">
        <v>230</v>
      </c>
      <c r="BI6" t="s">
        <v>229</v>
      </c>
      <c r="BJ6" t="s">
        <v>131</v>
      </c>
      <c r="BK6" s="32" t="s">
        <v>230</v>
      </c>
      <c r="BM6" t="s">
        <v>229</v>
      </c>
      <c r="BN6" t="s">
        <v>131</v>
      </c>
      <c r="BO6" t="s">
        <v>230</v>
      </c>
      <c r="BP6" t="s">
        <v>229</v>
      </c>
      <c r="BQ6" t="s">
        <v>131</v>
      </c>
      <c r="BR6" t="s">
        <v>230</v>
      </c>
      <c r="BT6" t="s">
        <v>229</v>
      </c>
      <c r="BU6" t="s">
        <v>131</v>
      </c>
      <c r="BV6" t="s">
        <v>230</v>
      </c>
      <c r="BW6" t="s">
        <v>229</v>
      </c>
      <c r="BX6" t="s">
        <v>131</v>
      </c>
      <c r="BY6" t="s">
        <v>230</v>
      </c>
      <c r="CA6" t="s">
        <v>229</v>
      </c>
      <c r="CB6" t="s">
        <v>131</v>
      </c>
      <c r="CC6" t="s">
        <v>230</v>
      </c>
      <c r="CD6" t="s">
        <v>229</v>
      </c>
      <c r="CE6" s="28" t="s">
        <v>131</v>
      </c>
      <c r="CF6" s="32" t="s">
        <v>230</v>
      </c>
      <c r="CH6" t="s">
        <v>229</v>
      </c>
      <c r="CI6" t="s">
        <v>131</v>
      </c>
      <c r="CJ6" t="s">
        <v>230</v>
      </c>
      <c r="CK6" t="s">
        <v>229</v>
      </c>
      <c r="CL6" t="s">
        <v>131</v>
      </c>
      <c r="CM6" t="s">
        <v>230</v>
      </c>
      <c r="CO6" t="s">
        <v>229</v>
      </c>
      <c r="CP6" t="s">
        <v>131</v>
      </c>
      <c r="CQ6" t="s">
        <v>230</v>
      </c>
      <c r="CR6" t="s">
        <v>229</v>
      </c>
      <c r="CS6" t="s">
        <v>131</v>
      </c>
      <c r="CT6" t="s">
        <v>230</v>
      </c>
      <c r="CV6" t="s">
        <v>276</v>
      </c>
      <c r="CW6" t="s">
        <v>278</v>
      </c>
      <c r="CX6" s="22" t="s">
        <v>279</v>
      </c>
      <c r="CY6" t="s">
        <v>280</v>
      </c>
      <c r="CZ6" t="s">
        <v>117</v>
      </c>
      <c r="DA6" t="s">
        <v>282</v>
      </c>
      <c r="DB6" t="s">
        <v>283</v>
      </c>
      <c r="DD6" t="s">
        <v>229</v>
      </c>
      <c r="DE6" t="s">
        <v>131</v>
      </c>
      <c r="DF6" t="s">
        <v>230</v>
      </c>
      <c r="DJ6" t="s">
        <v>229</v>
      </c>
      <c r="DK6" t="s">
        <v>230</v>
      </c>
      <c r="DL6" t="s">
        <v>229</v>
      </c>
      <c r="DM6" t="s">
        <v>230</v>
      </c>
      <c r="DN6" t="s">
        <v>229</v>
      </c>
      <c r="DO6" t="s">
        <v>230</v>
      </c>
      <c r="DP6" t="s">
        <v>229</v>
      </c>
      <c r="DQ6" s="32" t="s">
        <v>230</v>
      </c>
      <c r="DR6" t="s">
        <v>229</v>
      </c>
      <c r="DS6" t="s">
        <v>230</v>
      </c>
      <c r="DT6" t="s">
        <v>229</v>
      </c>
      <c r="DU6" t="s">
        <v>230</v>
      </c>
      <c r="DV6" t="s">
        <v>229</v>
      </c>
      <c r="DW6" t="s">
        <v>230</v>
      </c>
      <c r="DX6" t="s">
        <v>229</v>
      </c>
      <c r="DY6" s="32" t="s">
        <v>230</v>
      </c>
      <c r="DZ6" t="s">
        <v>229</v>
      </c>
      <c r="EA6" s="32" t="s">
        <v>230</v>
      </c>
      <c r="EC6" t="s">
        <v>229</v>
      </c>
      <c r="ED6" t="s">
        <v>229</v>
      </c>
      <c r="EE6" t="s">
        <v>229</v>
      </c>
      <c r="EF6" s="32" t="s">
        <v>230</v>
      </c>
      <c r="EG6" t="s">
        <v>229</v>
      </c>
      <c r="EH6" t="s">
        <v>229</v>
      </c>
      <c r="EI6" s="32" t="s">
        <v>230</v>
      </c>
      <c r="EJ6" t="s">
        <v>229</v>
      </c>
      <c r="EK6" t="s">
        <v>230</v>
      </c>
      <c r="EL6" t="s">
        <v>229</v>
      </c>
      <c r="EM6" t="s">
        <v>229</v>
      </c>
      <c r="EN6" t="s">
        <v>230</v>
      </c>
      <c r="EO6" t="s">
        <v>229</v>
      </c>
      <c r="EQ6" t="s">
        <v>229</v>
      </c>
      <c r="ER6" t="s">
        <v>229</v>
      </c>
      <c r="ES6" t="s">
        <v>229</v>
      </c>
      <c r="ET6" s="32" t="s">
        <v>230</v>
      </c>
      <c r="EU6" t="s">
        <v>229</v>
      </c>
      <c r="EV6" t="s">
        <v>229</v>
      </c>
    </row>
    <row r="7" spans="1:152" ht="16.5" customHeight="1" thickTop="1" x14ac:dyDescent="0.3">
      <c r="A7" s="33"/>
      <c r="B7" s="130"/>
      <c r="C7" s="130"/>
      <c r="D7" s="130"/>
      <c r="E7" s="130"/>
      <c r="F7" s="130"/>
      <c r="G7" s="130"/>
      <c r="H7" s="130"/>
      <c r="I7" s="130"/>
      <c r="J7" s="130"/>
      <c r="K7" s="130"/>
      <c r="L7" s="130"/>
      <c r="M7" s="185"/>
      <c r="N7" s="186"/>
      <c r="O7" s="186"/>
      <c r="P7" s="186"/>
      <c r="Q7" s="186"/>
      <c r="R7" s="186"/>
      <c r="S7" s="36"/>
      <c r="T7" s="36"/>
      <c r="AX7" s="22"/>
      <c r="AY7" s="22"/>
      <c r="AZ7" s="22"/>
      <c r="BA7" s="22"/>
      <c r="BC7" s="22"/>
      <c r="BD7" s="22"/>
      <c r="CX7" s="22"/>
    </row>
    <row r="8" spans="1:152" ht="16.5" customHeight="1" x14ac:dyDescent="0.3">
      <c r="A8" s="33">
        <f t="shared" ref="A8:A37" si="0">A9-1</f>
        <v>1949</v>
      </c>
      <c r="B8" s="130"/>
      <c r="C8" s="130"/>
      <c r="D8" s="130"/>
      <c r="E8" s="130"/>
      <c r="F8" s="130"/>
      <c r="G8" s="130"/>
      <c r="H8" s="130"/>
      <c r="I8" s="130"/>
      <c r="J8" s="130"/>
      <c r="K8" s="130"/>
      <c r="L8" s="130"/>
      <c r="M8" s="185"/>
      <c r="N8" s="186"/>
      <c r="O8" s="186"/>
      <c r="P8" s="186"/>
      <c r="Q8" s="186"/>
      <c r="R8" s="186"/>
      <c r="S8" s="36"/>
      <c r="T8" s="36"/>
      <c r="AX8" s="22"/>
      <c r="AY8" s="22"/>
      <c r="AZ8" s="22"/>
      <c r="BA8" s="22"/>
      <c r="BC8" s="22"/>
      <c r="BD8" s="22"/>
      <c r="BM8">
        <v>1938</v>
      </c>
      <c r="BP8">
        <v>1741</v>
      </c>
      <c r="BQ8" s="28">
        <f t="shared" ref="BQ8:BQ71" si="1">BP8/(1-BR8)</f>
        <v>1741</v>
      </c>
      <c r="BR8">
        <v>0</v>
      </c>
      <c r="CH8">
        <v>638</v>
      </c>
      <c r="CK8">
        <v>601</v>
      </c>
      <c r="CL8" s="28">
        <f>CK8/(1-CM8)</f>
        <v>601</v>
      </c>
      <c r="CM8">
        <v>0</v>
      </c>
      <c r="CO8">
        <v>336</v>
      </c>
      <c r="CR8">
        <v>329</v>
      </c>
      <c r="CS8" s="28">
        <f>CR8/(1-CT8)</f>
        <v>329</v>
      </c>
      <c r="CT8">
        <v>0</v>
      </c>
      <c r="CX8" s="22"/>
    </row>
    <row r="9" spans="1:152" ht="16.5" customHeight="1" x14ac:dyDescent="0.3">
      <c r="A9" s="33">
        <f t="shared" si="0"/>
        <v>1950</v>
      </c>
      <c r="B9" s="130"/>
      <c r="C9" s="130"/>
      <c r="D9" s="130"/>
      <c r="E9" s="130"/>
      <c r="F9" s="130"/>
      <c r="G9" s="130"/>
      <c r="H9" s="130"/>
      <c r="I9" s="130"/>
      <c r="J9" s="130"/>
      <c r="K9" s="130"/>
      <c r="L9" s="130"/>
      <c r="M9" s="185"/>
      <c r="N9" s="186"/>
      <c r="O9" s="186"/>
      <c r="P9" s="186"/>
      <c r="Q9" s="186"/>
      <c r="R9" s="186"/>
      <c r="S9" s="36"/>
      <c r="T9" s="36"/>
      <c r="AX9" s="22"/>
      <c r="AY9" s="22"/>
      <c r="AZ9" s="22"/>
      <c r="BA9" s="22"/>
      <c r="BC9" s="22"/>
      <c r="BD9" s="22"/>
      <c r="BM9">
        <v>1024</v>
      </c>
      <c r="BP9">
        <v>919</v>
      </c>
      <c r="BQ9" s="28">
        <f t="shared" si="1"/>
        <v>919</v>
      </c>
      <c r="BR9">
        <v>0</v>
      </c>
      <c r="CH9">
        <v>510</v>
      </c>
      <c r="CK9">
        <v>480</v>
      </c>
      <c r="CL9" s="28">
        <f>CK9/(1-CM9)</f>
        <v>480</v>
      </c>
      <c r="CM9">
        <v>0</v>
      </c>
      <c r="CO9">
        <v>471</v>
      </c>
      <c r="CR9">
        <v>463</v>
      </c>
      <c r="CS9" s="28">
        <f>CR9/(1-CT9)</f>
        <v>463</v>
      </c>
      <c r="CT9">
        <v>0</v>
      </c>
      <c r="CX9" s="22"/>
    </row>
    <row r="10" spans="1:152" ht="16.5" customHeight="1" x14ac:dyDescent="0.3">
      <c r="A10" s="33">
        <f t="shared" si="0"/>
        <v>1951</v>
      </c>
      <c r="B10" s="130"/>
      <c r="C10" s="130"/>
      <c r="D10" s="130"/>
      <c r="E10" s="130"/>
      <c r="F10" s="130"/>
      <c r="G10" s="130"/>
      <c r="H10" s="130"/>
      <c r="I10" s="130"/>
      <c r="J10" s="130"/>
      <c r="K10" s="130"/>
      <c r="L10" s="130"/>
      <c r="M10" s="185"/>
      <c r="N10" s="186"/>
      <c r="O10" s="186"/>
      <c r="P10" s="186"/>
      <c r="Q10" s="186"/>
      <c r="R10" s="186"/>
      <c r="S10" s="36"/>
      <c r="T10" s="36"/>
      <c r="AX10" s="22"/>
      <c r="AY10" s="22"/>
      <c r="AZ10" s="22"/>
      <c r="BA10" s="22"/>
      <c r="BC10" s="22"/>
      <c r="BD10" s="22"/>
      <c r="BM10">
        <v>1761</v>
      </c>
      <c r="BP10">
        <v>1582</v>
      </c>
      <c r="BQ10" s="28">
        <f t="shared" si="1"/>
        <v>1582</v>
      </c>
      <c r="BR10">
        <v>0</v>
      </c>
      <c r="CK10" t="s">
        <v>273</v>
      </c>
      <c r="CM10" t="s">
        <v>273</v>
      </c>
      <c r="CR10" t="s">
        <v>273</v>
      </c>
      <c r="CT10" t="s">
        <v>273</v>
      </c>
      <c r="CX10" s="22"/>
    </row>
    <row r="11" spans="1:152" ht="16.5" customHeight="1" x14ac:dyDescent="0.3">
      <c r="A11" s="33">
        <f t="shared" si="0"/>
        <v>1952</v>
      </c>
      <c r="B11" s="130"/>
      <c r="C11" s="130"/>
      <c r="D11" s="130"/>
      <c r="E11" s="130"/>
      <c r="F11" s="130"/>
      <c r="G11" s="130"/>
      <c r="H11" s="130"/>
      <c r="I11" s="130"/>
      <c r="J11" s="130"/>
      <c r="K11" s="130"/>
      <c r="L11" s="130"/>
      <c r="M11" s="185"/>
      <c r="N11" s="186"/>
      <c r="O11" s="186"/>
      <c r="P11" s="186"/>
      <c r="Q11" s="186"/>
      <c r="R11" s="186"/>
      <c r="S11" s="36"/>
      <c r="T11" s="36"/>
      <c r="AX11" s="22"/>
      <c r="AY11" s="22"/>
      <c r="AZ11" s="22"/>
      <c r="BA11" s="22"/>
      <c r="BC11" s="22"/>
      <c r="BD11" s="22"/>
      <c r="BM11">
        <v>3574</v>
      </c>
      <c r="BP11">
        <v>3211</v>
      </c>
      <c r="BQ11" s="28">
        <f t="shared" si="1"/>
        <v>3211</v>
      </c>
      <c r="BR11">
        <v>0</v>
      </c>
      <c r="CH11">
        <v>734</v>
      </c>
      <c r="CK11">
        <v>691</v>
      </c>
      <c r="CL11" s="28">
        <f t="shared" ref="CL11:CL16" si="2">CK11/(1-CM11)</f>
        <v>691</v>
      </c>
      <c r="CM11">
        <v>0</v>
      </c>
      <c r="CO11">
        <v>948</v>
      </c>
      <c r="CR11">
        <v>915</v>
      </c>
      <c r="CS11" s="28">
        <f t="shared" ref="CS11:CS16" si="3">CR11/(1-CT11)</f>
        <v>915</v>
      </c>
      <c r="CT11">
        <v>0</v>
      </c>
      <c r="CX11" s="22"/>
    </row>
    <row r="12" spans="1:152" ht="16.5" customHeight="1" x14ac:dyDescent="0.3">
      <c r="A12" s="33">
        <f t="shared" si="0"/>
        <v>1953</v>
      </c>
      <c r="B12" s="130"/>
      <c r="C12" s="130"/>
      <c r="D12" s="130"/>
      <c r="E12" s="130"/>
      <c r="F12" s="130"/>
      <c r="G12" s="130"/>
      <c r="H12" s="130"/>
      <c r="I12" s="130"/>
      <c r="J12" s="130"/>
      <c r="K12" s="130"/>
      <c r="L12" s="130"/>
      <c r="M12" s="185"/>
      <c r="N12" s="186"/>
      <c r="O12" s="186"/>
      <c r="P12" s="186"/>
      <c r="Q12" s="186"/>
      <c r="R12" s="186"/>
      <c r="S12" s="36"/>
      <c r="T12" s="36"/>
      <c r="AX12" s="22"/>
      <c r="AY12" s="22"/>
      <c r="AZ12" s="22"/>
      <c r="BA12" s="22"/>
      <c r="BC12" s="22"/>
      <c r="BD12" s="22"/>
      <c r="BF12">
        <v>4273</v>
      </c>
      <c r="BI12">
        <v>3484</v>
      </c>
      <c r="BJ12" s="28">
        <f t="shared" ref="BJ12:BJ74" si="4">BI12/(1-BK12)</f>
        <v>3484</v>
      </c>
      <c r="BK12" s="32">
        <v>0</v>
      </c>
      <c r="BM12">
        <v>2920</v>
      </c>
      <c r="BP12">
        <v>2623</v>
      </c>
      <c r="BQ12" s="28">
        <f t="shared" si="1"/>
        <v>2623</v>
      </c>
      <c r="BR12">
        <v>0</v>
      </c>
      <c r="CA12">
        <v>16</v>
      </c>
      <c r="CD12">
        <v>13</v>
      </c>
      <c r="CE12" s="28">
        <f>CD12/(1-CF12)</f>
        <v>13</v>
      </c>
      <c r="CF12" s="32">
        <v>0</v>
      </c>
      <c r="CH12">
        <v>817</v>
      </c>
      <c r="CK12">
        <v>752</v>
      </c>
      <c r="CL12" s="28">
        <f t="shared" si="2"/>
        <v>752</v>
      </c>
      <c r="CM12">
        <v>0</v>
      </c>
      <c r="CO12">
        <v>959</v>
      </c>
      <c r="CR12">
        <v>802</v>
      </c>
      <c r="CS12" s="28">
        <f t="shared" si="3"/>
        <v>802</v>
      </c>
      <c r="CT12">
        <v>0</v>
      </c>
      <c r="CX12" s="22"/>
    </row>
    <row r="13" spans="1:152" ht="16.5" customHeight="1" x14ac:dyDescent="0.3">
      <c r="A13" s="33">
        <f t="shared" si="0"/>
        <v>1954</v>
      </c>
      <c r="B13" s="130"/>
      <c r="C13" s="130"/>
      <c r="D13" s="130"/>
      <c r="E13" s="130"/>
      <c r="F13" s="130"/>
      <c r="G13" s="130"/>
      <c r="H13" s="130"/>
      <c r="I13" s="130"/>
      <c r="J13" s="130"/>
      <c r="K13" s="130"/>
      <c r="L13" s="130"/>
      <c r="M13" s="185"/>
      <c r="N13" s="186"/>
      <c r="O13" s="186"/>
      <c r="P13" s="186"/>
      <c r="Q13" s="186"/>
      <c r="R13" s="186"/>
      <c r="S13" s="36"/>
      <c r="T13" s="36"/>
      <c r="AX13" s="22"/>
      <c r="AY13" s="22"/>
      <c r="AZ13" s="22"/>
      <c r="BA13" s="22"/>
      <c r="BC13" s="22"/>
      <c r="BD13" s="22"/>
      <c r="BF13">
        <v>973</v>
      </c>
      <c r="BI13">
        <v>816</v>
      </c>
      <c r="BJ13" s="28">
        <f t="shared" si="4"/>
        <v>816</v>
      </c>
      <c r="BK13" s="32">
        <v>0</v>
      </c>
      <c r="BM13">
        <v>3054</v>
      </c>
      <c r="BP13">
        <v>2743</v>
      </c>
      <c r="BQ13" s="28">
        <f t="shared" si="1"/>
        <v>2743</v>
      </c>
      <c r="BR13">
        <v>0</v>
      </c>
      <c r="BT13">
        <v>794</v>
      </c>
      <c r="BW13">
        <v>718</v>
      </c>
      <c r="BX13" s="28">
        <f t="shared" ref="BX13:BX74" si="5">BW13/(1-BY13)</f>
        <v>718</v>
      </c>
      <c r="BY13">
        <v>0</v>
      </c>
      <c r="CA13">
        <v>540</v>
      </c>
      <c r="CD13">
        <v>488</v>
      </c>
      <c r="CE13" s="28">
        <f>CD13/(1-CF13)</f>
        <v>488</v>
      </c>
      <c r="CF13" s="32">
        <v>0</v>
      </c>
      <c r="CH13">
        <v>932</v>
      </c>
      <c r="CK13">
        <v>843</v>
      </c>
      <c r="CL13" s="28">
        <f t="shared" si="2"/>
        <v>843</v>
      </c>
      <c r="CM13">
        <v>0</v>
      </c>
      <c r="CO13">
        <v>571</v>
      </c>
      <c r="CR13">
        <v>418</v>
      </c>
      <c r="CS13" s="28">
        <f t="shared" si="3"/>
        <v>418</v>
      </c>
      <c r="CT13">
        <v>0</v>
      </c>
      <c r="CX13" s="22"/>
      <c r="DD13">
        <v>1159</v>
      </c>
      <c r="DE13" s="28">
        <f>DD13/(1-DF13)</f>
        <v>1159</v>
      </c>
      <c r="DF13">
        <v>0</v>
      </c>
    </row>
    <row r="14" spans="1:152" ht="16.5" customHeight="1" x14ac:dyDescent="0.3">
      <c r="A14" s="33">
        <f t="shared" si="0"/>
        <v>1955</v>
      </c>
      <c r="B14" s="130"/>
      <c r="C14" s="130"/>
      <c r="D14" s="130"/>
      <c r="E14" s="130"/>
      <c r="F14" s="130"/>
      <c r="G14" s="130"/>
      <c r="H14" s="130"/>
      <c r="I14" s="130"/>
      <c r="J14" s="130"/>
      <c r="K14" s="130"/>
      <c r="L14" s="130"/>
      <c r="M14" s="185"/>
      <c r="N14" s="186"/>
      <c r="O14" s="186"/>
      <c r="P14" s="186"/>
      <c r="Q14" s="186"/>
      <c r="R14" s="186"/>
      <c r="S14" s="36"/>
      <c r="T14" s="36"/>
      <c r="AX14" s="22"/>
      <c r="AY14" s="22"/>
      <c r="AZ14" s="22"/>
      <c r="BA14" s="22"/>
      <c r="BC14" s="22"/>
      <c r="BD14" s="22"/>
      <c r="BF14">
        <v>122</v>
      </c>
      <c r="BI14">
        <v>106</v>
      </c>
      <c r="BJ14" s="28">
        <f t="shared" si="4"/>
        <v>106</v>
      </c>
      <c r="BK14" s="32">
        <v>0</v>
      </c>
      <c r="BM14">
        <v>5856</v>
      </c>
      <c r="BP14">
        <v>5261</v>
      </c>
      <c r="BQ14" s="28">
        <f t="shared" si="1"/>
        <v>5261</v>
      </c>
      <c r="BR14">
        <v>0</v>
      </c>
      <c r="BT14">
        <v>1082</v>
      </c>
      <c r="BW14">
        <v>940</v>
      </c>
      <c r="BX14" s="28">
        <f t="shared" si="5"/>
        <v>940</v>
      </c>
      <c r="BY14">
        <v>0</v>
      </c>
      <c r="CA14">
        <v>56</v>
      </c>
      <c r="CD14">
        <v>48</v>
      </c>
      <c r="CE14" s="28">
        <f>CD14/(1-CF14)</f>
        <v>48</v>
      </c>
      <c r="CF14" s="32">
        <v>0</v>
      </c>
      <c r="CH14">
        <v>1451</v>
      </c>
      <c r="CK14">
        <v>1260</v>
      </c>
      <c r="CL14" s="28">
        <f t="shared" si="2"/>
        <v>1260</v>
      </c>
      <c r="CM14">
        <v>0</v>
      </c>
      <c r="CO14">
        <v>335</v>
      </c>
      <c r="CR14">
        <v>122</v>
      </c>
      <c r="CS14" s="28">
        <f t="shared" si="3"/>
        <v>122</v>
      </c>
      <c r="CT14">
        <v>0</v>
      </c>
      <c r="CX14" s="22"/>
      <c r="DD14" t="s">
        <v>273</v>
      </c>
      <c r="DF14" t="s">
        <v>273</v>
      </c>
    </row>
    <row r="15" spans="1:152" ht="16.5" customHeight="1" x14ac:dyDescent="0.3">
      <c r="A15" s="33">
        <f t="shared" si="0"/>
        <v>1956</v>
      </c>
      <c r="B15" s="130"/>
      <c r="C15" s="130"/>
      <c r="D15" s="130"/>
      <c r="E15" s="130"/>
      <c r="F15" s="130"/>
      <c r="G15" s="130"/>
      <c r="H15" s="130"/>
      <c r="I15" s="130"/>
      <c r="J15" s="130"/>
      <c r="K15" s="130"/>
      <c r="L15" s="130"/>
      <c r="M15" s="185"/>
      <c r="N15" s="186"/>
      <c r="O15" s="186"/>
      <c r="P15" s="186"/>
      <c r="Q15" s="186"/>
      <c r="R15" s="186"/>
      <c r="S15" s="36"/>
      <c r="T15" s="36"/>
      <c r="AX15" s="22"/>
      <c r="AY15" s="22"/>
      <c r="AZ15" s="22"/>
      <c r="BA15" s="22"/>
      <c r="BC15" s="22"/>
      <c r="BD15" s="22"/>
      <c r="BF15">
        <v>2606</v>
      </c>
      <c r="BI15">
        <v>2338</v>
      </c>
      <c r="BJ15" s="28">
        <f t="shared" si="4"/>
        <v>2338</v>
      </c>
      <c r="BK15" s="32">
        <v>0</v>
      </c>
      <c r="BM15">
        <v>1728</v>
      </c>
      <c r="BP15">
        <v>1552</v>
      </c>
      <c r="BQ15" s="28">
        <f t="shared" si="1"/>
        <v>1552</v>
      </c>
      <c r="BR15">
        <v>0</v>
      </c>
      <c r="BT15">
        <v>2020</v>
      </c>
      <c r="BW15">
        <v>1549</v>
      </c>
      <c r="BX15" s="28">
        <f t="shared" si="5"/>
        <v>1549</v>
      </c>
      <c r="BY15">
        <v>0</v>
      </c>
      <c r="CA15">
        <v>40</v>
      </c>
      <c r="CD15">
        <v>31</v>
      </c>
      <c r="CE15" s="28">
        <f>CD15/(1-CF15)</f>
        <v>31</v>
      </c>
      <c r="CF15" s="32">
        <v>0</v>
      </c>
      <c r="CH15">
        <v>905</v>
      </c>
      <c r="CK15">
        <v>694</v>
      </c>
      <c r="CL15" s="28">
        <f t="shared" si="2"/>
        <v>694</v>
      </c>
      <c r="CM15">
        <v>0</v>
      </c>
      <c r="CO15">
        <v>1064</v>
      </c>
      <c r="CR15">
        <v>972</v>
      </c>
      <c r="CS15" s="28">
        <f t="shared" si="3"/>
        <v>972</v>
      </c>
      <c r="CT15">
        <v>0</v>
      </c>
      <c r="CX15" s="22"/>
      <c r="DD15" t="s">
        <v>273</v>
      </c>
      <c r="DF15" t="s">
        <v>273</v>
      </c>
    </row>
    <row r="16" spans="1:152" ht="16.5" customHeight="1" x14ac:dyDescent="0.3">
      <c r="A16" s="33">
        <f t="shared" si="0"/>
        <v>1957</v>
      </c>
      <c r="B16" s="130"/>
      <c r="C16" s="130"/>
      <c r="D16" s="130"/>
      <c r="E16" s="130"/>
      <c r="F16" s="130"/>
      <c r="G16" s="130"/>
      <c r="H16" s="130"/>
      <c r="I16" s="130"/>
      <c r="J16" s="130"/>
      <c r="K16" s="130"/>
      <c r="L16" s="130"/>
      <c r="M16" s="185"/>
      <c r="N16" s="186"/>
      <c r="O16" s="186"/>
      <c r="P16" s="186"/>
      <c r="Q16" s="186"/>
      <c r="R16" s="186"/>
      <c r="S16" s="36"/>
      <c r="T16" s="36"/>
      <c r="AX16" s="22"/>
      <c r="AY16" s="22"/>
      <c r="AZ16" s="22"/>
      <c r="BA16" s="22"/>
      <c r="BC16" s="22"/>
      <c r="BD16" s="22"/>
      <c r="BF16">
        <v>1754</v>
      </c>
      <c r="BI16">
        <v>1619</v>
      </c>
      <c r="BJ16" s="28">
        <f t="shared" si="4"/>
        <v>1619</v>
      </c>
      <c r="BK16" s="32">
        <v>0</v>
      </c>
      <c r="BM16">
        <v>6267</v>
      </c>
      <c r="BP16">
        <v>5630</v>
      </c>
      <c r="BQ16" s="28">
        <f t="shared" si="1"/>
        <v>5630</v>
      </c>
      <c r="BR16">
        <v>0</v>
      </c>
      <c r="BT16">
        <v>4104</v>
      </c>
      <c r="BW16">
        <v>3788</v>
      </c>
      <c r="BX16" s="28">
        <f t="shared" si="5"/>
        <v>3788</v>
      </c>
      <c r="BY16">
        <v>0</v>
      </c>
      <c r="CA16">
        <v>532</v>
      </c>
      <c r="CD16">
        <v>492</v>
      </c>
      <c r="CE16" s="28">
        <f>CD16/(1-CF16)</f>
        <v>492</v>
      </c>
      <c r="CF16" s="32">
        <v>0</v>
      </c>
      <c r="CH16">
        <v>2205</v>
      </c>
      <c r="CK16">
        <v>2035</v>
      </c>
      <c r="CL16" s="28">
        <f t="shared" si="2"/>
        <v>2035</v>
      </c>
      <c r="CM16">
        <v>0</v>
      </c>
      <c r="CO16">
        <v>2876</v>
      </c>
      <c r="CR16">
        <v>2717</v>
      </c>
      <c r="CS16" s="28">
        <f t="shared" si="3"/>
        <v>2717</v>
      </c>
      <c r="CT16">
        <v>0</v>
      </c>
      <c r="CX16" s="22"/>
      <c r="DD16">
        <v>4311</v>
      </c>
      <c r="DE16" s="28">
        <f t="shared" ref="DE16:DE75" si="6">DD16/(1-DF16)</f>
        <v>4311</v>
      </c>
      <c r="DF16">
        <v>0</v>
      </c>
      <c r="DJ16">
        <v>541</v>
      </c>
      <c r="DK16" s="32">
        <v>0</v>
      </c>
      <c r="DL16">
        <v>1020</v>
      </c>
      <c r="DM16" s="32">
        <v>0</v>
      </c>
      <c r="DN16">
        <v>119</v>
      </c>
      <c r="DO16" s="32">
        <v>0</v>
      </c>
      <c r="DP16">
        <v>250</v>
      </c>
      <c r="DQ16" s="32">
        <v>0</v>
      </c>
      <c r="DR16">
        <v>1057</v>
      </c>
      <c r="DS16" s="32">
        <v>0</v>
      </c>
      <c r="DT16">
        <v>654</v>
      </c>
      <c r="DU16" s="32">
        <v>0</v>
      </c>
      <c r="DV16">
        <v>634</v>
      </c>
      <c r="DW16" s="32">
        <v>0</v>
      </c>
      <c r="DX16">
        <v>1932</v>
      </c>
      <c r="DY16" s="32">
        <v>0</v>
      </c>
      <c r="DZ16">
        <v>886</v>
      </c>
      <c r="EA16" s="32">
        <v>0</v>
      </c>
      <c r="EC16">
        <v>507</v>
      </c>
      <c r="ED16">
        <v>1489</v>
      </c>
      <c r="EE16">
        <v>4118</v>
      </c>
      <c r="EF16">
        <v>0</v>
      </c>
      <c r="EH16">
        <v>2035</v>
      </c>
      <c r="EI16" s="32">
        <v>0</v>
      </c>
      <c r="EJ16">
        <v>386</v>
      </c>
      <c r="EK16" s="32">
        <v>0</v>
      </c>
      <c r="EL16">
        <v>1384</v>
      </c>
      <c r="EM16">
        <v>2325</v>
      </c>
      <c r="EN16" s="32">
        <v>0</v>
      </c>
      <c r="ES16">
        <v>5490</v>
      </c>
      <c r="ET16" s="32">
        <v>0</v>
      </c>
    </row>
    <row r="17" spans="1:155" ht="16.5" customHeight="1" x14ac:dyDescent="0.3">
      <c r="A17" s="33">
        <f t="shared" si="0"/>
        <v>1958</v>
      </c>
      <c r="B17" s="130"/>
      <c r="C17" s="130"/>
      <c r="D17" s="130"/>
      <c r="E17" s="130"/>
      <c r="F17" s="130"/>
      <c r="G17" s="130"/>
      <c r="H17" s="130"/>
      <c r="I17" s="130"/>
      <c r="J17" s="130"/>
      <c r="K17" s="130"/>
      <c r="L17" s="130"/>
      <c r="M17" s="185"/>
      <c r="N17" s="186"/>
      <c r="O17" s="186"/>
      <c r="P17" s="186"/>
      <c r="Q17" s="186"/>
      <c r="R17" s="186"/>
      <c r="S17" s="36"/>
      <c r="T17" s="36"/>
      <c r="AX17" s="22"/>
      <c r="AY17" s="22"/>
      <c r="AZ17" s="22"/>
      <c r="BA17" s="22"/>
      <c r="BC17" s="22"/>
      <c r="BD17" s="22"/>
      <c r="BF17">
        <v>486</v>
      </c>
      <c r="BI17">
        <v>456</v>
      </c>
      <c r="BJ17" s="28">
        <f t="shared" si="4"/>
        <v>456</v>
      </c>
      <c r="BK17" s="32">
        <v>0</v>
      </c>
      <c r="BM17">
        <v>1399</v>
      </c>
      <c r="BP17">
        <v>1257</v>
      </c>
      <c r="BQ17" s="28">
        <f t="shared" si="1"/>
        <v>1257</v>
      </c>
      <c r="BR17">
        <v>0</v>
      </c>
      <c r="BT17">
        <v>305</v>
      </c>
      <c r="BW17">
        <v>286</v>
      </c>
      <c r="BX17" s="28">
        <f t="shared" si="5"/>
        <v>286</v>
      </c>
      <c r="BY17">
        <v>0</v>
      </c>
      <c r="CD17" t="s">
        <v>273</v>
      </c>
      <c r="CF17" s="32" t="s">
        <v>273</v>
      </c>
      <c r="CK17" t="s">
        <v>273</v>
      </c>
      <c r="CM17" t="s">
        <v>273</v>
      </c>
      <c r="CR17" t="s">
        <v>273</v>
      </c>
      <c r="CT17" t="s">
        <v>273</v>
      </c>
      <c r="CX17" s="22"/>
      <c r="DD17">
        <v>875</v>
      </c>
      <c r="DE17" s="28">
        <f t="shared" si="6"/>
        <v>875</v>
      </c>
      <c r="DF17">
        <v>0</v>
      </c>
      <c r="DJ17">
        <v>958</v>
      </c>
      <c r="DK17" s="32">
        <v>0</v>
      </c>
      <c r="DL17">
        <v>585</v>
      </c>
      <c r="DM17" s="32">
        <v>0</v>
      </c>
      <c r="DN17">
        <v>116</v>
      </c>
      <c r="DO17" s="32">
        <v>0</v>
      </c>
      <c r="DP17">
        <v>281</v>
      </c>
      <c r="DQ17" s="32">
        <v>0</v>
      </c>
      <c r="DR17">
        <v>480</v>
      </c>
      <c r="DS17" s="32">
        <v>0</v>
      </c>
      <c r="DT17">
        <v>525</v>
      </c>
      <c r="DU17" s="32">
        <v>0</v>
      </c>
      <c r="DV17">
        <v>218</v>
      </c>
      <c r="DW17" s="32">
        <v>0</v>
      </c>
      <c r="DX17">
        <v>1224</v>
      </c>
      <c r="DY17" s="32">
        <v>0</v>
      </c>
      <c r="DZ17">
        <v>667</v>
      </c>
      <c r="EA17" s="32">
        <v>0</v>
      </c>
      <c r="EC17">
        <v>163</v>
      </c>
      <c r="ED17">
        <v>1133</v>
      </c>
      <c r="EE17">
        <v>747</v>
      </c>
      <c r="EF17">
        <v>0</v>
      </c>
      <c r="EH17">
        <v>1258</v>
      </c>
      <c r="EI17" s="32">
        <v>0</v>
      </c>
      <c r="EJ17">
        <v>255</v>
      </c>
      <c r="EK17" s="32">
        <v>0</v>
      </c>
      <c r="EL17">
        <v>286</v>
      </c>
      <c r="EM17">
        <v>1117</v>
      </c>
      <c r="EN17" s="32">
        <v>0</v>
      </c>
      <c r="ES17">
        <v>2423</v>
      </c>
      <c r="ET17" s="32">
        <v>0</v>
      </c>
    </row>
    <row r="18" spans="1:155" s="23" customFormat="1" ht="16.5" customHeight="1" x14ac:dyDescent="0.3">
      <c r="A18" s="199">
        <f t="shared" si="0"/>
        <v>1959</v>
      </c>
      <c r="B18" s="200"/>
      <c r="C18" s="200"/>
      <c r="D18" s="200"/>
      <c r="E18" s="200"/>
      <c r="F18" s="200"/>
      <c r="G18" s="200"/>
      <c r="H18" s="200"/>
      <c r="I18" s="200"/>
      <c r="J18" s="200"/>
      <c r="K18" s="200"/>
      <c r="L18" s="200"/>
      <c r="M18" s="201"/>
      <c r="N18" s="202"/>
      <c r="O18" s="202"/>
      <c r="P18" s="202"/>
      <c r="Q18" s="202"/>
      <c r="R18" s="202"/>
      <c r="S18" s="203"/>
      <c r="T18" s="203"/>
      <c r="AQ18" s="204"/>
      <c r="AS18" s="205"/>
      <c r="AV18" s="164"/>
      <c r="AX18" s="183"/>
      <c r="AY18" s="183"/>
      <c r="AZ18" s="183"/>
      <c r="BA18" s="183"/>
      <c r="BC18" s="183"/>
      <c r="BD18" s="183"/>
      <c r="BF18" s="23">
        <v>712</v>
      </c>
      <c r="BI18" s="23">
        <v>655</v>
      </c>
      <c r="BJ18" s="204">
        <f t="shared" si="4"/>
        <v>655</v>
      </c>
      <c r="BK18" s="206">
        <v>0</v>
      </c>
      <c r="BL18" s="206"/>
      <c r="BM18" s="23">
        <v>965</v>
      </c>
      <c r="BP18" s="23">
        <v>867</v>
      </c>
      <c r="BQ18" s="204">
        <f t="shared" si="1"/>
        <v>867</v>
      </c>
      <c r="BR18" s="23">
        <v>0</v>
      </c>
      <c r="BT18" s="23">
        <v>1984</v>
      </c>
      <c r="BW18" s="23">
        <v>1824</v>
      </c>
      <c r="BX18" s="204">
        <f t="shared" si="5"/>
        <v>1824</v>
      </c>
      <c r="BY18" s="23">
        <v>0</v>
      </c>
      <c r="CA18" s="23">
        <v>179</v>
      </c>
      <c r="CD18" s="23">
        <v>165</v>
      </c>
      <c r="CE18" s="204">
        <f t="shared" ref="CE18:CE74" si="7">CD18/(1-CF18)</f>
        <v>165</v>
      </c>
      <c r="CF18" s="206">
        <v>0</v>
      </c>
      <c r="CG18" s="206"/>
      <c r="CH18" s="23">
        <v>657</v>
      </c>
      <c r="CK18" s="23">
        <v>604</v>
      </c>
      <c r="CL18" s="204">
        <f t="shared" ref="CL18:CL55" si="8">CK18/(1-CM18)</f>
        <v>604</v>
      </c>
      <c r="CM18" s="23">
        <v>0</v>
      </c>
      <c r="CR18" s="23" t="s">
        <v>273</v>
      </c>
      <c r="CT18" s="23" t="s">
        <v>273</v>
      </c>
      <c r="CX18" s="183"/>
      <c r="DD18" s="23">
        <v>963</v>
      </c>
      <c r="DE18" s="204">
        <f t="shared" si="6"/>
        <v>963</v>
      </c>
      <c r="DF18" s="23">
        <v>0</v>
      </c>
      <c r="DJ18" s="23">
        <v>920</v>
      </c>
      <c r="DK18" s="206">
        <v>0</v>
      </c>
      <c r="DL18" s="23">
        <v>399</v>
      </c>
      <c r="DM18" s="206">
        <v>0</v>
      </c>
      <c r="DN18" s="23">
        <v>18</v>
      </c>
      <c r="DO18" s="206">
        <v>0</v>
      </c>
      <c r="DP18" s="23">
        <v>190</v>
      </c>
      <c r="DQ18" s="206">
        <v>0</v>
      </c>
      <c r="DR18" s="23">
        <v>305</v>
      </c>
      <c r="DS18" s="206">
        <v>0</v>
      </c>
      <c r="DT18" s="23">
        <v>513</v>
      </c>
      <c r="DU18" s="206">
        <v>0</v>
      </c>
      <c r="DV18" s="23">
        <v>166</v>
      </c>
      <c r="DW18" s="206">
        <v>0</v>
      </c>
      <c r="DX18" s="23">
        <v>1531</v>
      </c>
      <c r="DY18" s="206">
        <v>0</v>
      </c>
      <c r="DZ18" s="23">
        <v>224</v>
      </c>
      <c r="EA18" s="206">
        <v>0</v>
      </c>
      <c r="EC18" s="23" t="s">
        <v>273</v>
      </c>
      <c r="ED18" s="23">
        <v>926</v>
      </c>
      <c r="EE18" s="23">
        <v>572</v>
      </c>
      <c r="EF18" s="23">
        <v>0</v>
      </c>
      <c r="EH18" s="23">
        <v>894</v>
      </c>
      <c r="EI18" s="206">
        <v>0</v>
      </c>
      <c r="EJ18" s="23">
        <v>106</v>
      </c>
      <c r="EK18" s="206">
        <v>0</v>
      </c>
      <c r="EL18" s="23">
        <v>233</v>
      </c>
      <c r="EM18" s="23">
        <v>952</v>
      </c>
      <c r="EN18" s="206">
        <v>0</v>
      </c>
      <c r="ES18" s="23">
        <v>2622</v>
      </c>
      <c r="ET18" s="206">
        <v>0</v>
      </c>
      <c r="EW18" s="164"/>
      <c r="EX18" s="164"/>
      <c r="EY18" s="164"/>
    </row>
    <row r="19" spans="1:155" ht="16.5" customHeight="1" x14ac:dyDescent="0.3">
      <c r="A19" s="33">
        <f t="shared" si="0"/>
        <v>1960</v>
      </c>
      <c r="B19" s="130"/>
      <c r="C19" s="130"/>
      <c r="D19" s="130"/>
      <c r="E19" s="130"/>
      <c r="F19" s="130"/>
      <c r="G19" s="130"/>
      <c r="H19" s="130"/>
      <c r="I19" s="130"/>
      <c r="J19" s="130"/>
      <c r="K19" s="130"/>
      <c r="L19" s="130"/>
      <c r="M19" s="185"/>
      <c r="N19" s="186"/>
      <c r="O19" s="186"/>
      <c r="P19" s="186"/>
      <c r="Q19" s="186"/>
      <c r="R19" s="186"/>
      <c r="S19" s="36"/>
      <c r="T19" s="36"/>
      <c r="AX19" s="22"/>
      <c r="AY19" s="22"/>
      <c r="AZ19" s="22"/>
      <c r="BA19" s="22"/>
      <c r="BC19" s="22"/>
      <c r="BD19" s="22"/>
      <c r="BF19">
        <v>3161</v>
      </c>
      <c r="BI19">
        <v>2947</v>
      </c>
      <c r="BJ19" s="28">
        <f t="shared" si="4"/>
        <v>2947</v>
      </c>
      <c r="BK19" s="32">
        <v>0</v>
      </c>
      <c r="BM19">
        <v>2710</v>
      </c>
      <c r="BP19">
        <v>2434</v>
      </c>
      <c r="BQ19" s="28">
        <f t="shared" si="1"/>
        <v>2434</v>
      </c>
      <c r="BR19">
        <v>0</v>
      </c>
      <c r="BT19">
        <v>898</v>
      </c>
      <c r="BW19">
        <v>778</v>
      </c>
      <c r="BX19" s="28">
        <f t="shared" si="5"/>
        <v>778</v>
      </c>
      <c r="BY19">
        <v>0</v>
      </c>
      <c r="CA19">
        <v>346</v>
      </c>
      <c r="CD19">
        <v>300</v>
      </c>
      <c r="CE19" s="28">
        <f t="shared" si="7"/>
        <v>300</v>
      </c>
      <c r="CF19" s="32">
        <v>0</v>
      </c>
      <c r="CH19">
        <v>606</v>
      </c>
      <c r="CK19">
        <v>526</v>
      </c>
      <c r="CL19" s="28">
        <f t="shared" si="8"/>
        <v>526</v>
      </c>
      <c r="CM19">
        <v>0</v>
      </c>
      <c r="CR19" t="s">
        <v>273</v>
      </c>
      <c r="CT19" t="s">
        <v>273</v>
      </c>
      <c r="CX19" s="22"/>
      <c r="DD19">
        <v>792</v>
      </c>
      <c r="DE19" s="28">
        <f t="shared" si="6"/>
        <v>792</v>
      </c>
      <c r="DF19">
        <v>0</v>
      </c>
      <c r="DJ19">
        <v>1718</v>
      </c>
      <c r="DK19" s="32">
        <v>0</v>
      </c>
      <c r="DL19">
        <v>725</v>
      </c>
      <c r="DM19" s="32">
        <v>0</v>
      </c>
      <c r="DN19">
        <v>38</v>
      </c>
      <c r="DO19" s="32">
        <v>0</v>
      </c>
      <c r="DP19">
        <v>343</v>
      </c>
      <c r="DQ19" s="32">
        <v>0</v>
      </c>
      <c r="DR19">
        <v>831</v>
      </c>
      <c r="DS19" s="32">
        <v>0</v>
      </c>
      <c r="DT19">
        <v>414</v>
      </c>
      <c r="DU19" s="32">
        <v>0</v>
      </c>
      <c r="DV19">
        <v>134</v>
      </c>
      <c r="DW19" s="32">
        <v>0</v>
      </c>
      <c r="DX19">
        <v>1283</v>
      </c>
      <c r="DY19" s="32">
        <v>0</v>
      </c>
      <c r="DZ19">
        <v>745</v>
      </c>
      <c r="EA19" s="32">
        <v>0</v>
      </c>
      <c r="EC19">
        <v>247</v>
      </c>
      <c r="ED19">
        <v>2454</v>
      </c>
      <c r="EE19">
        <v>1318</v>
      </c>
      <c r="EF19">
        <v>0</v>
      </c>
      <c r="EH19">
        <v>1622</v>
      </c>
      <c r="EI19" s="32">
        <v>0</v>
      </c>
      <c r="EJ19">
        <v>192</v>
      </c>
      <c r="EK19" s="32">
        <v>0</v>
      </c>
      <c r="EL19">
        <v>550</v>
      </c>
      <c r="EM19">
        <v>1139</v>
      </c>
      <c r="EN19" s="32">
        <v>0</v>
      </c>
      <c r="ES19">
        <v>5083</v>
      </c>
      <c r="ET19" s="32">
        <v>0</v>
      </c>
    </row>
    <row r="20" spans="1:155" ht="16.5" customHeight="1" x14ac:dyDescent="0.3">
      <c r="A20" s="33">
        <f t="shared" si="0"/>
        <v>1961</v>
      </c>
      <c r="B20" s="130"/>
      <c r="C20" s="130"/>
      <c r="D20" s="130"/>
      <c r="E20" s="130"/>
      <c r="F20" s="130"/>
      <c r="G20" s="130"/>
      <c r="H20" s="130"/>
      <c r="I20" s="130"/>
      <c r="J20" s="130"/>
      <c r="K20" s="130"/>
      <c r="L20" s="130"/>
      <c r="M20" s="185"/>
      <c r="N20" s="186"/>
      <c r="O20" s="186"/>
      <c r="P20" s="186"/>
      <c r="Q20" s="186"/>
      <c r="R20" s="186"/>
      <c r="S20" s="36"/>
      <c r="T20" s="36"/>
      <c r="AX20" s="22"/>
      <c r="AY20" s="22"/>
      <c r="AZ20" s="22"/>
      <c r="BA20" s="22"/>
      <c r="BC20" s="22"/>
      <c r="BD20" s="22"/>
      <c r="BF20">
        <v>347</v>
      </c>
      <c r="BI20">
        <v>285</v>
      </c>
      <c r="BJ20" s="28">
        <f t="shared" si="4"/>
        <v>285</v>
      </c>
      <c r="BK20" s="32">
        <v>0</v>
      </c>
      <c r="BM20">
        <v>1854</v>
      </c>
      <c r="BP20">
        <v>1665</v>
      </c>
      <c r="BQ20" s="28">
        <f t="shared" si="1"/>
        <v>1665</v>
      </c>
      <c r="BR20">
        <v>0</v>
      </c>
      <c r="BT20">
        <v>438</v>
      </c>
      <c r="BW20">
        <v>379</v>
      </c>
      <c r="BX20" s="28">
        <f t="shared" si="5"/>
        <v>379</v>
      </c>
      <c r="BY20">
        <v>0</v>
      </c>
      <c r="CA20">
        <v>579</v>
      </c>
      <c r="CD20">
        <v>500</v>
      </c>
      <c r="CE20" s="28">
        <f t="shared" si="7"/>
        <v>500</v>
      </c>
      <c r="CF20" s="32">
        <v>0</v>
      </c>
      <c r="CH20">
        <v>281</v>
      </c>
      <c r="CK20">
        <v>243</v>
      </c>
      <c r="CL20" s="28">
        <f t="shared" si="8"/>
        <v>243</v>
      </c>
      <c r="CM20">
        <v>0</v>
      </c>
      <c r="CR20" t="s">
        <v>273</v>
      </c>
      <c r="CT20" t="s">
        <v>273</v>
      </c>
      <c r="CX20" s="22"/>
      <c r="DD20">
        <v>1582</v>
      </c>
      <c r="DE20" s="28">
        <f t="shared" si="6"/>
        <v>1582</v>
      </c>
      <c r="DF20">
        <v>0</v>
      </c>
      <c r="DJ20">
        <v>284</v>
      </c>
      <c r="DK20" s="32">
        <v>0</v>
      </c>
      <c r="DL20">
        <v>1575</v>
      </c>
      <c r="DM20" s="32">
        <v>0</v>
      </c>
      <c r="DN20">
        <v>78</v>
      </c>
      <c r="DO20" s="32">
        <v>0</v>
      </c>
      <c r="DP20">
        <v>435</v>
      </c>
      <c r="DQ20" s="32">
        <v>0</v>
      </c>
      <c r="DR20">
        <v>325</v>
      </c>
      <c r="DS20" s="32">
        <v>0</v>
      </c>
      <c r="DT20">
        <v>664</v>
      </c>
      <c r="DU20" s="32">
        <v>0</v>
      </c>
      <c r="DV20">
        <v>408</v>
      </c>
      <c r="DW20" s="32">
        <v>0</v>
      </c>
      <c r="DX20">
        <v>2256</v>
      </c>
      <c r="DY20" s="32">
        <v>0</v>
      </c>
      <c r="DZ20">
        <v>1339</v>
      </c>
      <c r="EA20" s="32">
        <v>0</v>
      </c>
      <c r="EC20">
        <v>384</v>
      </c>
      <c r="ED20">
        <v>3570</v>
      </c>
      <c r="EE20">
        <v>578</v>
      </c>
      <c r="EF20">
        <v>0</v>
      </c>
      <c r="EH20">
        <v>3537</v>
      </c>
      <c r="EI20" s="32">
        <v>0</v>
      </c>
      <c r="EJ20">
        <v>597</v>
      </c>
      <c r="EK20" s="32">
        <v>0</v>
      </c>
      <c r="EL20">
        <v>970</v>
      </c>
      <c r="EM20">
        <v>1397</v>
      </c>
      <c r="EN20" s="32">
        <v>0</v>
      </c>
      <c r="ES20">
        <v>1714</v>
      </c>
      <c r="ET20" s="32">
        <v>0</v>
      </c>
    </row>
    <row r="21" spans="1:155" ht="16.5" customHeight="1" x14ac:dyDescent="0.3">
      <c r="A21" s="33">
        <f t="shared" si="0"/>
        <v>1962</v>
      </c>
      <c r="B21" s="130"/>
      <c r="C21" s="130"/>
      <c r="D21" s="130"/>
      <c r="E21" s="130"/>
      <c r="F21" s="130"/>
      <c r="G21" s="130"/>
      <c r="H21" s="130"/>
      <c r="I21" s="130"/>
      <c r="J21" s="130"/>
      <c r="K21" s="130"/>
      <c r="L21" s="130"/>
      <c r="M21" s="185"/>
      <c r="N21" s="186"/>
      <c r="O21" s="144">
        <v>58566</v>
      </c>
      <c r="P21" s="144">
        <v>0</v>
      </c>
      <c r="Q21" s="144">
        <v>58566</v>
      </c>
      <c r="R21" s="144"/>
      <c r="S21" s="36"/>
      <c r="T21" s="36"/>
      <c r="AM21" s="144">
        <v>58566</v>
      </c>
      <c r="AN21" s="144">
        <v>0</v>
      </c>
      <c r="AO21" s="144">
        <v>58566</v>
      </c>
      <c r="AX21" s="22"/>
      <c r="AY21" s="22"/>
      <c r="AZ21" s="22"/>
      <c r="BA21" s="22"/>
      <c r="BC21" s="22"/>
      <c r="BD21" s="22"/>
      <c r="BF21">
        <v>1146</v>
      </c>
      <c r="BI21">
        <v>1081</v>
      </c>
      <c r="BJ21" s="28">
        <f t="shared" si="4"/>
        <v>1081</v>
      </c>
      <c r="BK21" s="32">
        <v>0</v>
      </c>
      <c r="BM21">
        <v>2081</v>
      </c>
      <c r="BP21">
        <v>1870</v>
      </c>
      <c r="BQ21" s="28">
        <f t="shared" si="1"/>
        <v>1870</v>
      </c>
      <c r="BR21">
        <v>0</v>
      </c>
      <c r="BT21">
        <v>1474</v>
      </c>
      <c r="BW21">
        <v>1316</v>
      </c>
      <c r="BX21" s="28">
        <f t="shared" si="5"/>
        <v>1316</v>
      </c>
      <c r="BY21">
        <v>0</v>
      </c>
      <c r="CA21">
        <v>973</v>
      </c>
      <c r="CD21">
        <v>850</v>
      </c>
      <c r="CE21" s="28">
        <f t="shared" si="7"/>
        <v>850</v>
      </c>
      <c r="CF21" s="32">
        <v>0</v>
      </c>
      <c r="CH21">
        <v>338</v>
      </c>
      <c r="CK21">
        <v>237</v>
      </c>
      <c r="CL21" s="28">
        <f t="shared" si="8"/>
        <v>237</v>
      </c>
      <c r="CM21">
        <v>0</v>
      </c>
      <c r="CR21" t="s">
        <v>273</v>
      </c>
      <c r="CT21" t="s">
        <v>273</v>
      </c>
      <c r="CX21" s="22"/>
      <c r="DD21">
        <v>845</v>
      </c>
      <c r="DE21" s="28">
        <f t="shared" si="6"/>
        <v>845</v>
      </c>
      <c r="DF21">
        <v>0</v>
      </c>
      <c r="DJ21">
        <v>599</v>
      </c>
      <c r="DK21" s="32">
        <v>0</v>
      </c>
      <c r="DL21">
        <v>982</v>
      </c>
      <c r="DM21" s="32">
        <v>0</v>
      </c>
      <c r="DN21">
        <v>45</v>
      </c>
      <c r="DO21" s="32">
        <v>0</v>
      </c>
      <c r="DP21">
        <v>380</v>
      </c>
      <c r="DQ21" s="32">
        <v>0</v>
      </c>
      <c r="DR21">
        <v>390</v>
      </c>
      <c r="DS21" s="32">
        <v>0</v>
      </c>
      <c r="DT21">
        <v>595</v>
      </c>
      <c r="DU21" s="32">
        <v>0</v>
      </c>
      <c r="DV21">
        <v>298</v>
      </c>
      <c r="DW21" s="32">
        <v>0</v>
      </c>
      <c r="DX21">
        <v>1677</v>
      </c>
      <c r="DY21" s="32">
        <v>0</v>
      </c>
      <c r="DZ21">
        <v>872</v>
      </c>
      <c r="EA21" s="32">
        <v>0</v>
      </c>
      <c r="EC21">
        <v>209</v>
      </c>
      <c r="ED21">
        <v>2713</v>
      </c>
      <c r="EE21">
        <v>759</v>
      </c>
      <c r="EF21">
        <v>0</v>
      </c>
      <c r="EH21">
        <v>1170</v>
      </c>
      <c r="EI21" s="32">
        <v>0</v>
      </c>
      <c r="EJ21">
        <v>476</v>
      </c>
      <c r="EK21" s="32">
        <v>0</v>
      </c>
      <c r="EL21">
        <v>707</v>
      </c>
      <c r="EM21">
        <v>1395</v>
      </c>
      <c r="EN21" s="32">
        <v>0</v>
      </c>
      <c r="ES21">
        <v>3155</v>
      </c>
      <c r="ET21" s="32">
        <v>0</v>
      </c>
    </row>
    <row r="22" spans="1:155" ht="16.5" customHeight="1" x14ac:dyDescent="0.3">
      <c r="A22" s="33">
        <f t="shared" si="0"/>
        <v>1963</v>
      </c>
      <c r="B22" s="130"/>
      <c r="C22" s="130"/>
      <c r="D22" s="130"/>
      <c r="E22" s="130"/>
      <c r="F22" s="130"/>
      <c r="G22" s="130"/>
      <c r="H22" s="130"/>
      <c r="I22" s="130"/>
      <c r="J22" s="130"/>
      <c r="K22" s="130"/>
      <c r="L22" s="130"/>
      <c r="M22" s="185"/>
      <c r="N22" s="186"/>
      <c r="O22" s="144">
        <v>43514</v>
      </c>
      <c r="P22" s="144">
        <v>0</v>
      </c>
      <c r="Q22" s="144">
        <v>43514</v>
      </c>
      <c r="R22" s="144"/>
      <c r="S22" s="36"/>
      <c r="T22" s="36"/>
      <c r="AM22" s="144">
        <v>43514</v>
      </c>
      <c r="AN22" s="144">
        <v>0</v>
      </c>
      <c r="AO22" s="144">
        <v>43514</v>
      </c>
      <c r="AX22" s="22"/>
      <c r="AY22" s="22"/>
      <c r="AZ22" s="22"/>
      <c r="BA22" s="22"/>
      <c r="BC22" s="22"/>
      <c r="BD22" s="22"/>
      <c r="BF22">
        <v>313</v>
      </c>
      <c r="BI22">
        <v>261</v>
      </c>
      <c r="BJ22" s="28">
        <f t="shared" si="4"/>
        <v>261</v>
      </c>
      <c r="BK22" s="32">
        <v>0</v>
      </c>
      <c r="BM22">
        <v>1116</v>
      </c>
      <c r="BP22">
        <v>1002</v>
      </c>
      <c r="BQ22" s="28">
        <f t="shared" si="1"/>
        <v>1002</v>
      </c>
      <c r="BR22">
        <v>0</v>
      </c>
      <c r="BT22">
        <v>778</v>
      </c>
      <c r="BW22">
        <v>711</v>
      </c>
      <c r="BX22" s="28">
        <f t="shared" si="5"/>
        <v>711</v>
      </c>
      <c r="BY22">
        <v>0</v>
      </c>
      <c r="CA22">
        <v>115</v>
      </c>
      <c r="CD22">
        <v>106</v>
      </c>
      <c r="CE22" s="28">
        <f t="shared" si="7"/>
        <v>106</v>
      </c>
      <c r="CF22" s="32">
        <v>0</v>
      </c>
      <c r="CH22">
        <v>1104</v>
      </c>
      <c r="CK22">
        <v>994</v>
      </c>
      <c r="CL22" s="28">
        <f t="shared" si="8"/>
        <v>994</v>
      </c>
      <c r="CM22">
        <v>0</v>
      </c>
      <c r="CO22">
        <v>1269</v>
      </c>
      <c r="CR22">
        <v>1161</v>
      </c>
      <c r="CS22" s="28">
        <f t="shared" ref="CS22:CS74" si="9">CR22/(1-CT22)</f>
        <v>1161</v>
      </c>
      <c r="CT22">
        <v>0</v>
      </c>
      <c r="CX22" s="22"/>
      <c r="DD22">
        <v>410</v>
      </c>
      <c r="DE22" s="28">
        <f t="shared" si="6"/>
        <v>410</v>
      </c>
      <c r="DF22">
        <v>0</v>
      </c>
      <c r="DJ22">
        <v>167</v>
      </c>
      <c r="DK22" s="32">
        <v>0</v>
      </c>
      <c r="DL22">
        <v>660</v>
      </c>
      <c r="DM22" s="32">
        <v>0</v>
      </c>
      <c r="DN22">
        <v>26</v>
      </c>
      <c r="DO22" s="32">
        <v>0</v>
      </c>
      <c r="DP22">
        <v>462</v>
      </c>
      <c r="DQ22" s="32">
        <v>0</v>
      </c>
      <c r="DR22">
        <v>649</v>
      </c>
      <c r="DS22" s="32">
        <v>0</v>
      </c>
      <c r="DT22">
        <v>512</v>
      </c>
      <c r="DU22" s="32">
        <v>0</v>
      </c>
      <c r="DV22">
        <v>581</v>
      </c>
      <c r="DW22" s="32">
        <v>0</v>
      </c>
      <c r="DX22">
        <v>2036</v>
      </c>
      <c r="DY22" s="32">
        <v>0</v>
      </c>
      <c r="DZ22">
        <v>940</v>
      </c>
      <c r="EA22" s="32">
        <v>0</v>
      </c>
      <c r="EC22">
        <v>194</v>
      </c>
      <c r="ED22">
        <v>743</v>
      </c>
      <c r="EE22">
        <v>316</v>
      </c>
      <c r="EF22">
        <v>0</v>
      </c>
      <c r="EH22">
        <v>2789</v>
      </c>
      <c r="EI22" s="32">
        <v>0</v>
      </c>
      <c r="EJ22">
        <v>826</v>
      </c>
      <c r="EK22" s="32">
        <v>0</v>
      </c>
      <c r="EL22">
        <v>508</v>
      </c>
      <c r="EM22">
        <v>1457</v>
      </c>
      <c r="EN22" s="32">
        <v>0</v>
      </c>
      <c r="ES22">
        <v>1916</v>
      </c>
      <c r="ET22" s="32">
        <v>0</v>
      </c>
    </row>
    <row r="23" spans="1:155" ht="16.5" customHeight="1" x14ac:dyDescent="0.3">
      <c r="A23" s="33">
        <f t="shared" si="0"/>
        <v>1964</v>
      </c>
      <c r="B23" s="130"/>
      <c r="C23" s="130"/>
      <c r="D23" s="130"/>
      <c r="E23" s="130"/>
      <c r="F23" s="130"/>
      <c r="G23" s="130"/>
      <c r="H23" s="130"/>
      <c r="I23" s="130"/>
      <c r="J23" s="130"/>
      <c r="K23" s="130"/>
      <c r="L23" s="130"/>
      <c r="M23" s="185"/>
      <c r="N23" s="186"/>
      <c r="O23" s="144">
        <v>44700</v>
      </c>
      <c r="P23" s="144">
        <v>0</v>
      </c>
      <c r="Q23" s="144">
        <v>44700</v>
      </c>
      <c r="R23" s="144"/>
      <c r="S23" s="36"/>
      <c r="T23" s="36"/>
      <c r="AM23" s="144">
        <v>44700</v>
      </c>
      <c r="AN23" s="144">
        <v>0</v>
      </c>
      <c r="AO23" s="144">
        <v>44700</v>
      </c>
      <c r="AX23" s="22"/>
      <c r="AY23" s="22"/>
      <c r="AZ23" s="22"/>
      <c r="BA23" s="22"/>
      <c r="BC23" s="22"/>
      <c r="BD23" s="22"/>
      <c r="BF23">
        <v>208</v>
      </c>
      <c r="BI23">
        <v>181</v>
      </c>
      <c r="BJ23" s="28">
        <f t="shared" si="4"/>
        <v>181</v>
      </c>
      <c r="BK23" s="32">
        <v>0</v>
      </c>
      <c r="BM23">
        <v>2097</v>
      </c>
      <c r="BP23">
        <v>1883</v>
      </c>
      <c r="BQ23" s="28">
        <f t="shared" si="1"/>
        <v>1883</v>
      </c>
      <c r="BR23">
        <v>0</v>
      </c>
      <c r="BT23">
        <v>1003</v>
      </c>
      <c r="BW23">
        <v>773</v>
      </c>
      <c r="BX23" s="28">
        <f t="shared" si="5"/>
        <v>773</v>
      </c>
      <c r="BY23">
        <v>0</v>
      </c>
      <c r="CA23">
        <v>550</v>
      </c>
      <c r="CD23">
        <v>486</v>
      </c>
      <c r="CE23" s="28">
        <f t="shared" si="7"/>
        <v>486</v>
      </c>
      <c r="CF23" s="32">
        <v>0</v>
      </c>
      <c r="CH23">
        <v>1585</v>
      </c>
      <c r="CK23">
        <v>1463</v>
      </c>
      <c r="CL23" s="28">
        <f t="shared" si="8"/>
        <v>1463</v>
      </c>
      <c r="CM23">
        <v>0</v>
      </c>
      <c r="CO23">
        <v>1586</v>
      </c>
      <c r="CR23">
        <v>1380</v>
      </c>
      <c r="CS23" s="28">
        <f t="shared" si="9"/>
        <v>1380</v>
      </c>
      <c r="CT23">
        <v>0</v>
      </c>
      <c r="CX23" s="22"/>
      <c r="DD23">
        <v>1039</v>
      </c>
      <c r="DE23" s="28">
        <f t="shared" si="6"/>
        <v>1039</v>
      </c>
      <c r="DF23">
        <v>0</v>
      </c>
      <c r="DJ23">
        <v>122</v>
      </c>
      <c r="DK23" s="32">
        <v>0</v>
      </c>
      <c r="DL23">
        <v>218</v>
      </c>
      <c r="DM23" s="32">
        <v>0</v>
      </c>
      <c r="DN23">
        <v>236</v>
      </c>
      <c r="DO23" s="32">
        <v>0</v>
      </c>
      <c r="DP23">
        <v>542</v>
      </c>
      <c r="DQ23" s="32">
        <v>0</v>
      </c>
      <c r="DR23">
        <v>898</v>
      </c>
      <c r="DS23" s="32">
        <v>0</v>
      </c>
      <c r="DT23">
        <v>1744</v>
      </c>
      <c r="DU23" s="32">
        <v>0</v>
      </c>
      <c r="DV23">
        <v>169</v>
      </c>
      <c r="DW23" s="32">
        <v>0</v>
      </c>
      <c r="DX23">
        <v>1814</v>
      </c>
      <c r="DY23" s="32">
        <v>0</v>
      </c>
      <c r="DZ23">
        <v>1807</v>
      </c>
      <c r="EA23" s="32">
        <v>0</v>
      </c>
      <c r="EC23">
        <v>234</v>
      </c>
      <c r="ED23">
        <v>2234</v>
      </c>
      <c r="EE23">
        <v>673</v>
      </c>
      <c r="EF23">
        <v>0</v>
      </c>
      <c r="EH23">
        <v>1839</v>
      </c>
      <c r="EI23" s="32">
        <v>0</v>
      </c>
      <c r="EJ23">
        <v>592</v>
      </c>
      <c r="EK23" s="32">
        <v>0</v>
      </c>
      <c r="EL23">
        <v>680</v>
      </c>
      <c r="EM23">
        <v>1567</v>
      </c>
      <c r="EN23" s="32">
        <v>0</v>
      </c>
      <c r="ES23">
        <v>2248</v>
      </c>
      <c r="ET23" s="32">
        <v>0</v>
      </c>
    </row>
    <row r="24" spans="1:155" ht="16.5" customHeight="1" x14ac:dyDescent="0.3">
      <c r="A24" s="33">
        <f t="shared" si="0"/>
        <v>1965</v>
      </c>
      <c r="B24" s="130"/>
      <c r="C24" s="130"/>
      <c r="D24" s="130"/>
      <c r="E24" s="130"/>
      <c r="F24" s="130"/>
      <c r="G24" s="130"/>
      <c r="H24" s="130"/>
      <c r="I24" s="130"/>
      <c r="J24" s="130"/>
      <c r="K24" s="130"/>
      <c r="L24" s="130"/>
      <c r="M24" s="185"/>
      <c r="N24" s="186"/>
      <c r="O24" s="144">
        <v>21900</v>
      </c>
      <c r="P24" s="144">
        <v>0</v>
      </c>
      <c r="Q24" s="144">
        <v>21900</v>
      </c>
      <c r="R24" s="144"/>
      <c r="S24" s="36"/>
      <c r="T24" s="36"/>
      <c r="AM24" s="144">
        <v>21900</v>
      </c>
      <c r="AN24" s="144">
        <v>0</v>
      </c>
      <c r="AO24" s="144">
        <v>21900</v>
      </c>
      <c r="AX24" s="22"/>
      <c r="AY24" s="22"/>
      <c r="AZ24" s="22"/>
      <c r="BA24" s="22"/>
      <c r="BC24" s="22"/>
      <c r="BD24" s="22"/>
      <c r="BF24">
        <v>770</v>
      </c>
      <c r="BI24">
        <v>739</v>
      </c>
      <c r="BJ24" s="28">
        <f t="shared" si="4"/>
        <v>739</v>
      </c>
      <c r="BK24" s="32">
        <v>0</v>
      </c>
      <c r="BM24">
        <v>1586</v>
      </c>
      <c r="BP24">
        <v>1425</v>
      </c>
      <c r="BQ24" s="28">
        <f t="shared" si="1"/>
        <v>1425</v>
      </c>
      <c r="BR24">
        <v>0</v>
      </c>
      <c r="BT24">
        <v>869</v>
      </c>
      <c r="BW24">
        <v>735</v>
      </c>
      <c r="BX24" s="28">
        <f t="shared" si="5"/>
        <v>735</v>
      </c>
      <c r="BY24">
        <v>0</v>
      </c>
      <c r="CA24">
        <v>620</v>
      </c>
      <c r="CD24">
        <v>525</v>
      </c>
      <c r="CE24" s="28">
        <f t="shared" si="7"/>
        <v>525</v>
      </c>
      <c r="CF24" s="32">
        <v>0</v>
      </c>
      <c r="CH24">
        <v>956</v>
      </c>
      <c r="CK24">
        <v>809</v>
      </c>
      <c r="CL24" s="28">
        <f t="shared" si="8"/>
        <v>809</v>
      </c>
      <c r="CM24">
        <v>0</v>
      </c>
      <c r="CO24">
        <v>759</v>
      </c>
      <c r="CR24">
        <v>642</v>
      </c>
      <c r="CS24" s="28">
        <f t="shared" si="9"/>
        <v>642</v>
      </c>
      <c r="CT24">
        <v>0</v>
      </c>
      <c r="CX24" s="22"/>
      <c r="DD24">
        <v>486</v>
      </c>
      <c r="DE24" s="28">
        <f t="shared" si="6"/>
        <v>486</v>
      </c>
      <c r="DF24">
        <v>0</v>
      </c>
      <c r="DJ24">
        <v>234</v>
      </c>
      <c r="DK24" s="32">
        <v>0</v>
      </c>
      <c r="DL24">
        <v>339</v>
      </c>
      <c r="DM24" s="32">
        <v>0</v>
      </c>
      <c r="DN24">
        <v>55</v>
      </c>
      <c r="DO24" s="32">
        <v>0</v>
      </c>
      <c r="DP24">
        <v>66</v>
      </c>
      <c r="DQ24" s="32">
        <v>0</v>
      </c>
      <c r="DR24">
        <v>412</v>
      </c>
      <c r="DS24" s="32">
        <v>0</v>
      </c>
      <c r="DT24">
        <v>245</v>
      </c>
      <c r="DU24" s="32">
        <v>0</v>
      </c>
      <c r="DV24">
        <v>72</v>
      </c>
      <c r="DW24" s="32">
        <v>0</v>
      </c>
      <c r="DX24">
        <v>873</v>
      </c>
      <c r="DY24" s="32">
        <v>0</v>
      </c>
      <c r="DZ24">
        <v>994</v>
      </c>
      <c r="EA24" s="32">
        <v>0</v>
      </c>
      <c r="EC24">
        <v>101</v>
      </c>
      <c r="ED24">
        <v>889</v>
      </c>
      <c r="EE24">
        <v>326</v>
      </c>
      <c r="EF24">
        <v>0</v>
      </c>
      <c r="EH24">
        <v>765</v>
      </c>
      <c r="EI24" s="32">
        <v>0</v>
      </c>
      <c r="EJ24">
        <v>535</v>
      </c>
      <c r="EK24" s="32">
        <v>0</v>
      </c>
      <c r="EL24">
        <v>658</v>
      </c>
      <c r="EM24">
        <v>1100</v>
      </c>
      <c r="EN24" s="32">
        <v>0</v>
      </c>
      <c r="ES24">
        <v>975</v>
      </c>
      <c r="ET24" s="32">
        <v>0</v>
      </c>
    </row>
    <row r="25" spans="1:155" ht="16.5" customHeight="1" x14ac:dyDescent="0.3">
      <c r="A25" s="33">
        <f t="shared" si="0"/>
        <v>1966</v>
      </c>
      <c r="B25" s="130"/>
      <c r="C25" s="130"/>
      <c r="D25" s="130"/>
      <c r="E25" s="130"/>
      <c r="F25" s="130"/>
      <c r="G25" s="130"/>
      <c r="H25" s="130"/>
      <c r="I25" s="130"/>
      <c r="J25" s="130"/>
      <c r="K25" s="130"/>
      <c r="L25" s="130"/>
      <c r="M25" s="185"/>
      <c r="N25" s="186"/>
      <c r="O25" s="144">
        <v>54500</v>
      </c>
      <c r="P25" s="144">
        <v>0</v>
      </c>
      <c r="Q25" s="144">
        <v>54500</v>
      </c>
      <c r="R25" s="144"/>
      <c r="S25" s="36"/>
      <c r="T25" s="36"/>
      <c r="AM25" s="144">
        <v>54500</v>
      </c>
      <c r="AN25" s="144">
        <v>0</v>
      </c>
      <c r="AO25" s="144">
        <v>54500</v>
      </c>
      <c r="AX25" s="22"/>
      <c r="AY25" s="22"/>
      <c r="AZ25" s="22"/>
      <c r="BA25" s="22"/>
      <c r="BC25" s="22"/>
      <c r="BD25" s="22"/>
      <c r="BF25">
        <v>626</v>
      </c>
      <c r="BI25">
        <v>507</v>
      </c>
      <c r="BJ25" s="28">
        <f t="shared" si="4"/>
        <v>507</v>
      </c>
      <c r="BK25" s="32">
        <v>0</v>
      </c>
      <c r="BM25">
        <v>1871</v>
      </c>
      <c r="BP25">
        <v>1681</v>
      </c>
      <c r="BQ25" s="28">
        <f t="shared" si="1"/>
        <v>1681</v>
      </c>
      <c r="BR25">
        <v>0</v>
      </c>
      <c r="BT25">
        <v>822</v>
      </c>
      <c r="BW25">
        <v>754</v>
      </c>
      <c r="BX25" s="28">
        <f t="shared" si="5"/>
        <v>754</v>
      </c>
      <c r="BY25">
        <v>0</v>
      </c>
      <c r="CA25">
        <v>508</v>
      </c>
      <c r="CD25">
        <v>466</v>
      </c>
      <c r="CE25" s="28">
        <f t="shared" si="7"/>
        <v>466</v>
      </c>
      <c r="CF25" s="32">
        <v>0</v>
      </c>
      <c r="CH25">
        <v>1284</v>
      </c>
      <c r="CK25">
        <v>1056</v>
      </c>
      <c r="CL25" s="28">
        <f t="shared" si="8"/>
        <v>1056</v>
      </c>
      <c r="CM25">
        <v>0</v>
      </c>
      <c r="CO25">
        <v>2672</v>
      </c>
      <c r="CR25">
        <v>2451</v>
      </c>
      <c r="CS25" s="28">
        <f t="shared" si="9"/>
        <v>2451</v>
      </c>
      <c r="CT25">
        <v>0</v>
      </c>
      <c r="CX25" s="22"/>
      <c r="DD25">
        <v>1181</v>
      </c>
      <c r="DE25" s="28">
        <f t="shared" si="6"/>
        <v>1181</v>
      </c>
      <c r="DF25">
        <v>0</v>
      </c>
      <c r="DJ25" t="s">
        <v>273</v>
      </c>
      <c r="DK25" s="32" t="s">
        <v>273</v>
      </c>
      <c r="DL25">
        <v>581</v>
      </c>
      <c r="DM25" s="32">
        <v>0</v>
      </c>
      <c r="DN25">
        <v>86</v>
      </c>
      <c r="DO25" s="32">
        <v>0</v>
      </c>
      <c r="DP25">
        <v>361</v>
      </c>
      <c r="DQ25" s="32">
        <v>0</v>
      </c>
      <c r="DR25">
        <v>121</v>
      </c>
      <c r="DS25" s="32">
        <v>0</v>
      </c>
      <c r="DT25">
        <v>815</v>
      </c>
      <c r="DU25" s="32">
        <v>0</v>
      </c>
      <c r="DV25">
        <v>464</v>
      </c>
      <c r="DW25" s="32">
        <v>0</v>
      </c>
      <c r="DX25">
        <v>1939</v>
      </c>
      <c r="DY25" s="32">
        <v>0</v>
      </c>
      <c r="DZ25">
        <v>1041</v>
      </c>
      <c r="EA25" s="32">
        <v>0</v>
      </c>
      <c r="EC25">
        <v>191</v>
      </c>
      <c r="ED25">
        <v>1644</v>
      </c>
      <c r="EE25">
        <v>633</v>
      </c>
      <c r="EF25">
        <v>0</v>
      </c>
      <c r="EH25">
        <v>2049</v>
      </c>
      <c r="EI25" s="32">
        <v>0</v>
      </c>
      <c r="EJ25">
        <v>1078</v>
      </c>
      <c r="EK25" s="32">
        <v>0</v>
      </c>
      <c r="EL25">
        <v>1035</v>
      </c>
      <c r="EM25">
        <v>1582</v>
      </c>
      <c r="EN25" s="32">
        <v>0</v>
      </c>
      <c r="ES25">
        <v>1977</v>
      </c>
      <c r="ET25" s="32">
        <v>0</v>
      </c>
    </row>
    <row r="26" spans="1:155" ht="16.5" customHeight="1" x14ac:dyDescent="0.3">
      <c r="A26" s="33">
        <f t="shared" si="0"/>
        <v>1967</v>
      </c>
      <c r="B26" s="130"/>
      <c r="C26" s="130"/>
      <c r="D26" s="130"/>
      <c r="E26" s="130"/>
      <c r="F26" s="130"/>
      <c r="G26" s="130"/>
      <c r="H26" s="130"/>
      <c r="I26" s="130"/>
      <c r="J26" s="130"/>
      <c r="K26" s="130"/>
      <c r="L26" s="130"/>
      <c r="M26" s="185"/>
      <c r="N26" s="186"/>
      <c r="O26" s="144">
        <v>57700</v>
      </c>
      <c r="P26" s="144">
        <v>0</v>
      </c>
      <c r="Q26" s="144">
        <v>57700</v>
      </c>
      <c r="R26" s="144"/>
      <c r="S26" s="36"/>
      <c r="T26" s="36"/>
      <c r="AM26" s="144">
        <v>57700</v>
      </c>
      <c r="AN26" s="144">
        <v>0</v>
      </c>
      <c r="AO26" s="144">
        <v>57700</v>
      </c>
      <c r="AX26" s="22"/>
      <c r="AY26" s="22"/>
      <c r="AZ26" s="22"/>
      <c r="BA26" s="22"/>
      <c r="BC26" s="22"/>
      <c r="BD26" s="22"/>
      <c r="BF26">
        <v>1625</v>
      </c>
      <c r="BI26">
        <v>1370</v>
      </c>
      <c r="BJ26" s="28">
        <f t="shared" si="4"/>
        <v>1370</v>
      </c>
      <c r="BK26" s="32">
        <v>0</v>
      </c>
      <c r="BM26">
        <v>1804</v>
      </c>
      <c r="BP26">
        <v>1621</v>
      </c>
      <c r="BQ26" s="28">
        <f t="shared" si="1"/>
        <v>1621</v>
      </c>
      <c r="BR26">
        <v>0</v>
      </c>
      <c r="BT26">
        <v>305</v>
      </c>
      <c r="BW26">
        <v>258</v>
      </c>
      <c r="BX26" s="28">
        <f t="shared" si="5"/>
        <v>258</v>
      </c>
      <c r="BY26">
        <v>0</v>
      </c>
      <c r="CA26">
        <v>768</v>
      </c>
      <c r="CD26">
        <v>648</v>
      </c>
      <c r="CE26" s="28">
        <f t="shared" si="7"/>
        <v>648</v>
      </c>
      <c r="CF26" s="32">
        <v>0</v>
      </c>
      <c r="CH26">
        <v>1106</v>
      </c>
      <c r="CK26">
        <v>990</v>
      </c>
      <c r="CL26" s="28">
        <f t="shared" si="8"/>
        <v>990</v>
      </c>
      <c r="CM26">
        <v>0</v>
      </c>
      <c r="CO26">
        <v>1778</v>
      </c>
      <c r="CR26">
        <v>1715</v>
      </c>
      <c r="CS26" s="28">
        <f t="shared" si="9"/>
        <v>1715</v>
      </c>
      <c r="CT26">
        <v>0</v>
      </c>
      <c r="CX26" s="22"/>
      <c r="DD26">
        <v>817</v>
      </c>
      <c r="DE26" s="28">
        <f t="shared" si="6"/>
        <v>817</v>
      </c>
      <c r="DF26">
        <v>0</v>
      </c>
      <c r="DJ26" t="s">
        <v>273</v>
      </c>
      <c r="DK26" s="32" t="s">
        <v>273</v>
      </c>
      <c r="DL26">
        <v>289</v>
      </c>
      <c r="DM26" s="32">
        <v>0</v>
      </c>
      <c r="DN26">
        <v>66</v>
      </c>
      <c r="DO26" s="32">
        <v>0</v>
      </c>
      <c r="DP26">
        <v>334</v>
      </c>
      <c r="DQ26" s="32">
        <v>0</v>
      </c>
      <c r="DR26">
        <v>384</v>
      </c>
      <c r="DS26" s="32">
        <v>0</v>
      </c>
      <c r="DT26">
        <v>60</v>
      </c>
      <c r="DU26" s="32">
        <v>0</v>
      </c>
      <c r="DV26">
        <v>397</v>
      </c>
      <c r="DW26" s="32">
        <v>0</v>
      </c>
      <c r="DX26">
        <v>1507</v>
      </c>
      <c r="DY26" s="32">
        <v>0</v>
      </c>
      <c r="DZ26">
        <v>1580</v>
      </c>
      <c r="EA26" s="32">
        <v>0</v>
      </c>
      <c r="EC26">
        <v>183</v>
      </c>
      <c r="ED26">
        <v>1756</v>
      </c>
      <c r="EE26">
        <v>593</v>
      </c>
      <c r="EF26">
        <v>0</v>
      </c>
      <c r="EH26">
        <v>2219</v>
      </c>
      <c r="EI26" s="32">
        <v>0</v>
      </c>
      <c r="EJ26">
        <v>1364</v>
      </c>
      <c r="EK26" s="32">
        <v>0</v>
      </c>
      <c r="EL26">
        <v>851</v>
      </c>
      <c r="EM26">
        <v>2037</v>
      </c>
      <c r="EN26" s="32">
        <v>0</v>
      </c>
      <c r="ES26">
        <v>1631</v>
      </c>
      <c r="ET26" s="32">
        <v>0</v>
      </c>
    </row>
    <row r="27" spans="1:155" ht="16.5" customHeight="1" x14ac:dyDescent="0.3">
      <c r="A27" s="33">
        <f t="shared" si="0"/>
        <v>1968</v>
      </c>
      <c r="B27" s="130"/>
      <c r="C27" s="130"/>
      <c r="D27" s="130"/>
      <c r="E27" s="130"/>
      <c r="F27" s="130"/>
      <c r="G27" s="130"/>
      <c r="H27" s="130"/>
      <c r="I27" s="130"/>
      <c r="J27" s="130"/>
      <c r="K27" s="130"/>
      <c r="L27" s="130"/>
      <c r="M27" s="185"/>
      <c r="N27" s="186"/>
      <c r="O27" s="144">
        <v>57500</v>
      </c>
      <c r="P27" s="144">
        <v>5500</v>
      </c>
      <c r="Q27" s="144">
        <v>63000</v>
      </c>
      <c r="R27" s="144"/>
      <c r="S27" s="36"/>
      <c r="T27" s="36"/>
      <c r="AM27" s="144">
        <v>57500</v>
      </c>
      <c r="AN27" s="144">
        <v>5500</v>
      </c>
      <c r="AO27" s="144">
        <v>63000</v>
      </c>
      <c r="AX27" s="22"/>
      <c r="AY27" s="22"/>
      <c r="AZ27" s="22"/>
      <c r="BA27" s="22"/>
      <c r="BC27" s="22"/>
      <c r="BD27" s="22"/>
      <c r="BF27">
        <v>822</v>
      </c>
      <c r="BI27">
        <v>728</v>
      </c>
      <c r="BJ27" s="28">
        <f t="shared" si="4"/>
        <v>728</v>
      </c>
      <c r="BK27" s="32">
        <v>0</v>
      </c>
      <c r="BM27">
        <v>2022</v>
      </c>
      <c r="BP27">
        <v>1816</v>
      </c>
      <c r="BQ27" s="28">
        <f t="shared" si="1"/>
        <v>1816</v>
      </c>
      <c r="BR27">
        <v>0</v>
      </c>
      <c r="BT27">
        <v>657</v>
      </c>
      <c r="BW27">
        <v>526</v>
      </c>
      <c r="BX27" s="28">
        <f t="shared" si="5"/>
        <v>526</v>
      </c>
      <c r="BY27">
        <v>0</v>
      </c>
      <c r="CA27">
        <v>1014</v>
      </c>
      <c r="CD27">
        <v>682</v>
      </c>
      <c r="CE27" s="28">
        <f t="shared" si="7"/>
        <v>682</v>
      </c>
      <c r="CF27" s="32">
        <v>0</v>
      </c>
      <c r="CH27">
        <v>1152</v>
      </c>
      <c r="CK27">
        <v>1126</v>
      </c>
      <c r="CL27" s="28">
        <f t="shared" si="8"/>
        <v>1126</v>
      </c>
      <c r="CM27">
        <v>0</v>
      </c>
      <c r="CO27">
        <v>1230</v>
      </c>
      <c r="CR27">
        <v>700</v>
      </c>
      <c r="CS27" s="28">
        <f t="shared" si="9"/>
        <v>700</v>
      </c>
      <c r="CT27">
        <v>0</v>
      </c>
      <c r="CX27" s="22"/>
      <c r="DD27">
        <v>345</v>
      </c>
      <c r="DE27" s="28">
        <f t="shared" si="6"/>
        <v>345</v>
      </c>
      <c r="DF27">
        <v>0</v>
      </c>
      <c r="DJ27" t="s">
        <v>273</v>
      </c>
      <c r="DK27" s="32" t="s">
        <v>273</v>
      </c>
      <c r="DL27">
        <v>355</v>
      </c>
      <c r="DM27" s="32">
        <v>0</v>
      </c>
      <c r="DN27">
        <v>26</v>
      </c>
      <c r="DO27" s="32">
        <v>0</v>
      </c>
      <c r="DP27">
        <v>502</v>
      </c>
      <c r="DQ27" s="32">
        <v>0</v>
      </c>
      <c r="DR27">
        <v>327</v>
      </c>
      <c r="DS27" s="32">
        <v>0</v>
      </c>
      <c r="DT27">
        <v>277</v>
      </c>
      <c r="DU27" s="32">
        <v>0</v>
      </c>
      <c r="DV27">
        <v>405</v>
      </c>
      <c r="DW27" s="32">
        <v>0</v>
      </c>
      <c r="DX27">
        <v>1904</v>
      </c>
      <c r="DY27" s="32">
        <v>0</v>
      </c>
      <c r="DZ27">
        <v>1198</v>
      </c>
      <c r="EA27" s="32">
        <v>0</v>
      </c>
      <c r="EC27">
        <v>418</v>
      </c>
      <c r="ED27">
        <v>1203</v>
      </c>
      <c r="EE27">
        <v>362</v>
      </c>
      <c r="EF27">
        <v>0</v>
      </c>
      <c r="EH27">
        <v>2396</v>
      </c>
      <c r="EI27" s="32">
        <v>0</v>
      </c>
      <c r="EJ27">
        <v>1413</v>
      </c>
      <c r="EK27" s="32">
        <v>0</v>
      </c>
      <c r="EL27">
        <v>1030</v>
      </c>
      <c r="EM27">
        <v>1620</v>
      </c>
      <c r="EN27" s="32">
        <v>0</v>
      </c>
      <c r="ES27">
        <v>794</v>
      </c>
      <c r="ET27" s="32">
        <v>0</v>
      </c>
    </row>
    <row r="28" spans="1:155" ht="16.5" customHeight="1" x14ac:dyDescent="0.3">
      <c r="A28" s="33">
        <f t="shared" si="0"/>
        <v>1969</v>
      </c>
      <c r="B28" s="130"/>
      <c r="C28" s="130"/>
      <c r="D28" s="130"/>
      <c r="E28" s="130"/>
      <c r="F28" s="130"/>
      <c r="G28" s="130"/>
      <c r="H28" s="130"/>
      <c r="I28" s="130"/>
      <c r="J28" s="130"/>
      <c r="K28" s="130"/>
      <c r="L28" s="130"/>
      <c r="M28" s="185"/>
      <c r="N28" s="186"/>
      <c r="O28" s="144">
        <v>63700</v>
      </c>
      <c r="P28" s="144">
        <v>4600</v>
      </c>
      <c r="Q28" s="144">
        <v>68300</v>
      </c>
      <c r="R28" s="144"/>
      <c r="S28" s="36"/>
      <c r="T28" s="36"/>
      <c r="AM28" s="144">
        <v>63700</v>
      </c>
      <c r="AN28" s="144">
        <v>4600</v>
      </c>
      <c r="AO28" s="144">
        <v>68300</v>
      </c>
      <c r="AX28" s="22"/>
      <c r="AY28" s="22"/>
      <c r="AZ28" s="22"/>
      <c r="BA28" s="22"/>
      <c r="BC28" s="22"/>
      <c r="BD28" s="22"/>
      <c r="BF28">
        <v>1882</v>
      </c>
      <c r="BI28">
        <v>1819</v>
      </c>
      <c r="BJ28" s="28">
        <f t="shared" si="4"/>
        <v>1819</v>
      </c>
      <c r="BK28" s="32">
        <v>0</v>
      </c>
      <c r="BM28">
        <v>2534</v>
      </c>
      <c r="BP28">
        <v>2277</v>
      </c>
      <c r="BQ28" s="28">
        <f t="shared" si="1"/>
        <v>2277</v>
      </c>
      <c r="BR28">
        <v>0</v>
      </c>
      <c r="BT28">
        <v>931</v>
      </c>
      <c r="BW28">
        <v>868</v>
      </c>
      <c r="BX28" s="28">
        <f t="shared" si="5"/>
        <v>868</v>
      </c>
      <c r="BY28">
        <v>0</v>
      </c>
      <c r="CA28">
        <v>1029</v>
      </c>
      <c r="CD28">
        <v>855</v>
      </c>
      <c r="CE28" s="28">
        <f t="shared" si="7"/>
        <v>855</v>
      </c>
      <c r="CF28" s="32">
        <v>0</v>
      </c>
      <c r="CH28">
        <v>914</v>
      </c>
      <c r="CK28">
        <v>888</v>
      </c>
      <c r="CL28" s="28">
        <f t="shared" si="8"/>
        <v>888</v>
      </c>
      <c r="CM28">
        <v>0</v>
      </c>
      <c r="CO28">
        <v>2442</v>
      </c>
      <c r="CR28">
        <v>2280</v>
      </c>
      <c r="CS28" s="28">
        <f t="shared" si="9"/>
        <v>2280</v>
      </c>
      <c r="CT28">
        <v>0</v>
      </c>
      <c r="CX28" s="22"/>
      <c r="DD28">
        <v>1039</v>
      </c>
      <c r="DE28" s="28">
        <f t="shared" si="6"/>
        <v>1039</v>
      </c>
      <c r="DF28">
        <v>0</v>
      </c>
      <c r="DJ28" t="s">
        <v>273</v>
      </c>
      <c r="DK28" s="32" t="s">
        <v>273</v>
      </c>
      <c r="DL28">
        <v>300</v>
      </c>
      <c r="DM28" s="32">
        <v>0</v>
      </c>
      <c r="DN28">
        <v>8</v>
      </c>
      <c r="DO28" s="32">
        <v>0</v>
      </c>
      <c r="DP28">
        <v>152</v>
      </c>
      <c r="DQ28" s="32">
        <v>0</v>
      </c>
      <c r="DR28">
        <v>269</v>
      </c>
      <c r="DS28" s="32">
        <v>0</v>
      </c>
      <c r="DT28">
        <v>153</v>
      </c>
      <c r="DU28" s="32">
        <v>0</v>
      </c>
      <c r="DV28">
        <v>412</v>
      </c>
      <c r="DW28" s="32">
        <v>0</v>
      </c>
      <c r="DX28">
        <v>1285</v>
      </c>
      <c r="DY28" s="32">
        <v>0</v>
      </c>
      <c r="DZ28">
        <v>571</v>
      </c>
      <c r="EA28" s="32">
        <v>0</v>
      </c>
      <c r="EC28">
        <v>426</v>
      </c>
      <c r="ED28">
        <v>684</v>
      </c>
      <c r="EE28">
        <v>194</v>
      </c>
      <c r="EF28">
        <v>0</v>
      </c>
      <c r="EH28">
        <v>934</v>
      </c>
      <c r="EI28" s="32">
        <v>0</v>
      </c>
      <c r="EJ28">
        <v>240</v>
      </c>
      <c r="EK28" s="32">
        <v>0</v>
      </c>
      <c r="EL28">
        <v>147</v>
      </c>
      <c r="EM28">
        <v>719</v>
      </c>
      <c r="EN28" s="32">
        <v>0</v>
      </c>
      <c r="ES28">
        <v>1290</v>
      </c>
      <c r="ET28" s="32">
        <v>0</v>
      </c>
    </row>
    <row r="29" spans="1:155" ht="16.5" customHeight="1" x14ac:dyDescent="0.3">
      <c r="A29" s="33">
        <f t="shared" si="0"/>
        <v>1970</v>
      </c>
      <c r="B29" s="130"/>
      <c r="C29" s="130"/>
      <c r="D29" s="130"/>
      <c r="E29" s="130"/>
      <c r="F29" s="130"/>
      <c r="G29" s="130"/>
      <c r="H29" s="130"/>
      <c r="I29" s="130"/>
      <c r="J29" s="130"/>
      <c r="K29" s="130"/>
      <c r="L29" s="130"/>
      <c r="M29" s="185"/>
      <c r="N29" s="186"/>
      <c r="O29" s="144">
        <v>46300</v>
      </c>
      <c r="P29" s="144">
        <v>8100</v>
      </c>
      <c r="Q29" s="144">
        <v>54400</v>
      </c>
      <c r="R29" s="144"/>
      <c r="S29" s="36"/>
      <c r="T29" s="36"/>
      <c r="AM29" s="144">
        <v>46300</v>
      </c>
      <c r="AN29" s="144">
        <v>8100</v>
      </c>
      <c r="AO29" s="144">
        <v>54400</v>
      </c>
      <c r="AX29" s="22"/>
      <c r="AY29" s="22"/>
      <c r="AZ29" s="22"/>
      <c r="BA29" s="22"/>
      <c r="BC29" s="22"/>
      <c r="BD29" s="22"/>
      <c r="BF29">
        <v>992</v>
      </c>
      <c r="BI29">
        <v>910</v>
      </c>
      <c r="BJ29" s="28">
        <f t="shared" si="4"/>
        <v>910</v>
      </c>
      <c r="BK29" s="32">
        <v>0</v>
      </c>
      <c r="BM29">
        <v>1477</v>
      </c>
      <c r="BP29">
        <v>1327</v>
      </c>
      <c r="BQ29" s="28">
        <f t="shared" si="1"/>
        <v>1327</v>
      </c>
      <c r="BR29">
        <v>0</v>
      </c>
      <c r="BT29">
        <v>942</v>
      </c>
      <c r="BW29">
        <v>833</v>
      </c>
      <c r="BX29" s="28">
        <f t="shared" si="5"/>
        <v>833</v>
      </c>
      <c r="BY29">
        <v>0</v>
      </c>
      <c r="CA29">
        <v>418</v>
      </c>
      <c r="CD29">
        <v>385</v>
      </c>
      <c r="CE29" s="28">
        <f t="shared" si="7"/>
        <v>385</v>
      </c>
      <c r="CF29" s="32">
        <v>0</v>
      </c>
      <c r="CH29">
        <v>813</v>
      </c>
      <c r="CK29">
        <v>813</v>
      </c>
      <c r="CL29" s="28">
        <f t="shared" si="8"/>
        <v>813</v>
      </c>
      <c r="CM29">
        <v>0</v>
      </c>
      <c r="CO29">
        <v>2682</v>
      </c>
      <c r="CR29">
        <v>2556</v>
      </c>
      <c r="CS29" s="28">
        <f t="shared" si="9"/>
        <v>2556</v>
      </c>
      <c r="CT29">
        <v>0</v>
      </c>
      <c r="CX29" s="22"/>
      <c r="DD29">
        <v>1055</v>
      </c>
      <c r="DE29" s="28">
        <f t="shared" si="6"/>
        <v>1055</v>
      </c>
      <c r="DF29">
        <v>0</v>
      </c>
      <c r="DJ29" t="s">
        <v>273</v>
      </c>
      <c r="DK29" s="32" t="s">
        <v>273</v>
      </c>
      <c r="DL29">
        <v>318</v>
      </c>
      <c r="DM29" s="32">
        <v>0</v>
      </c>
      <c r="DN29">
        <v>81</v>
      </c>
      <c r="DO29" s="32">
        <v>0</v>
      </c>
      <c r="DP29">
        <v>149</v>
      </c>
      <c r="DQ29" s="32">
        <v>0</v>
      </c>
      <c r="DR29">
        <v>107</v>
      </c>
      <c r="DS29" s="32">
        <v>0</v>
      </c>
      <c r="DT29">
        <v>469</v>
      </c>
      <c r="DU29" s="32">
        <v>0</v>
      </c>
      <c r="DV29">
        <v>287</v>
      </c>
      <c r="DW29" s="32">
        <v>0</v>
      </c>
      <c r="DX29">
        <v>1177</v>
      </c>
      <c r="DY29" s="32">
        <v>0</v>
      </c>
      <c r="DZ29">
        <v>1187</v>
      </c>
      <c r="EA29" s="32">
        <v>0</v>
      </c>
      <c r="EC29">
        <v>258</v>
      </c>
      <c r="ED29">
        <v>698</v>
      </c>
      <c r="EE29">
        <v>243</v>
      </c>
      <c r="EF29">
        <v>0</v>
      </c>
      <c r="EH29">
        <v>1738</v>
      </c>
      <c r="EI29" s="32">
        <v>0</v>
      </c>
      <c r="EJ29">
        <v>524</v>
      </c>
      <c r="EK29" s="32">
        <v>0</v>
      </c>
      <c r="EL29">
        <v>622</v>
      </c>
      <c r="EM29">
        <v>1068</v>
      </c>
      <c r="EN29" s="32">
        <v>0</v>
      </c>
      <c r="ES29">
        <v>1075</v>
      </c>
      <c r="ET29" s="32">
        <v>0</v>
      </c>
    </row>
    <row r="30" spans="1:155" ht="16.5" customHeight="1" x14ac:dyDescent="0.3">
      <c r="A30" s="33">
        <f t="shared" si="0"/>
        <v>1971</v>
      </c>
      <c r="B30" s="130"/>
      <c r="C30" s="130"/>
      <c r="D30" s="130"/>
      <c r="E30" s="130"/>
      <c r="F30" s="130"/>
      <c r="G30" s="130"/>
      <c r="H30" s="130"/>
      <c r="I30" s="130"/>
      <c r="J30" s="130"/>
      <c r="K30" s="130"/>
      <c r="L30" s="130"/>
      <c r="M30" s="185"/>
      <c r="N30" s="186"/>
      <c r="O30" s="144">
        <v>39000</v>
      </c>
      <c r="P30" s="144">
        <v>4200</v>
      </c>
      <c r="Q30" s="144">
        <v>43200</v>
      </c>
      <c r="R30" s="144"/>
      <c r="S30" s="36"/>
      <c r="T30" s="36"/>
      <c r="AM30" s="144">
        <v>39000</v>
      </c>
      <c r="AN30" s="144">
        <v>4200</v>
      </c>
      <c r="AO30" s="144">
        <v>43200</v>
      </c>
      <c r="AX30" s="22"/>
      <c r="AY30" s="22"/>
      <c r="AZ30" s="22"/>
      <c r="BA30" s="22"/>
      <c r="BC30" s="22"/>
      <c r="BD30" s="22"/>
      <c r="BF30">
        <v>2319</v>
      </c>
      <c r="BI30">
        <v>2206</v>
      </c>
      <c r="BJ30" s="28">
        <f t="shared" si="4"/>
        <v>2206</v>
      </c>
      <c r="BK30" s="32">
        <v>0</v>
      </c>
      <c r="BM30">
        <v>3071</v>
      </c>
      <c r="BP30">
        <v>2759</v>
      </c>
      <c r="BQ30" s="28">
        <f t="shared" si="1"/>
        <v>2759</v>
      </c>
      <c r="BR30">
        <v>0</v>
      </c>
      <c r="BT30">
        <v>652</v>
      </c>
      <c r="BW30">
        <v>567</v>
      </c>
      <c r="BX30" s="28">
        <f t="shared" si="5"/>
        <v>567</v>
      </c>
      <c r="BY30">
        <v>0</v>
      </c>
      <c r="CA30">
        <v>644</v>
      </c>
      <c r="CD30">
        <v>560</v>
      </c>
      <c r="CE30" s="28">
        <f t="shared" si="7"/>
        <v>560</v>
      </c>
      <c r="CF30" s="32">
        <v>0</v>
      </c>
      <c r="CH30">
        <v>797</v>
      </c>
      <c r="CK30">
        <v>655</v>
      </c>
      <c r="CL30" s="28">
        <f t="shared" si="8"/>
        <v>655</v>
      </c>
      <c r="CM30">
        <v>0</v>
      </c>
      <c r="CO30">
        <v>1576</v>
      </c>
      <c r="CR30">
        <v>1420</v>
      </c>
      <c r="CS30" s="28">
        <f t="shared" si="9"/>
        <v>1420</v>
      </c>
      <c r="CT30">
        <v>0</v>
      </c>
      <c r="CX30" s="22"/>
      <c r="DD30">
        <v>201</v>
      </c>
      <c r="DE30" s="28">
        <f t="shared" si="6"/>
        <v>201</v>
      </c>
      <c r="DF30">
        <v>0</v>
      </c>
      <c r="DJ30" t="s">
        <v>273</v>
      </c>
      <c r="DK30" s="32" t="s">
        <v>273</v>
      </c>
      <c r="DL30">
        <v>145</v>
      </c>
      <c r="DM30" s="32">
        <v>0</v>
      </c>
      <c r="DN30">
        <v>5</v>
      </c>
      <c r="DO30" s="32">
        <v>0</v>
      </c>
      <c r="DP30">
        <v>210</v>
      </c>
      <c r="DQ30" s="32">
        <v>0</v>
      </c>
      <c r="DR30">
        <v>188</v>
      </c>
      <c r="DS30" s="32">
        <v>0</v>
      </c>
      <c r="DT30">
        <v>149</v>
      </c>
      <c r="DU30" s="32">
        <v>0</v>
      </c>
      <c r="DV30">
        <v>181</v>
      </c>
      <c r="DW30" s="32">
        <v>0</v>
      </c>
      <c r="DX30">
        <v>500</v>
      </c>
      <c r="DY30" s="32">
        <v>0</v>
      </c>
      <c r="DZ30">
        <v>697</v>
      </c>
      <c r="EA30" s="32">
        <v>0</v>
      </c>
      <c r="EC30">
        <v>154</v>
      </c>
      <c r="ED30">
        <v>817</v>
      </c>
      <c r="EE30">
        <v>357</v>
      </c>
      <c r="EF30">
        <v>0</v>
      </c>
      <c r="EH30">
        <v>1565</v>
      </c>
      <c r="EI30" s="32">
        <v>0</v>
      </c>
      <c r="EJ30">
        <v>255</v>
      </c>
      <c r="EK30" s="32">
        <v>0</v>
      </c>
      <c r="EL30">
        <v>610</v>
      </c>
      <c r="EM30">
        <v>1434</v>
      </c>
      <c r="EN30" s="32">
        <v>0</v>
      </c>
      <c r="ES30">
        <v>884</v>
      </c>
      <c r="ET30" s="32">
        <v>0</v>
      </c>
    </row>
    <row r="31" spans="1:155" ht="16.5" customHeight="1" x14ac:dyDescent="0.3">
      <c r="A31" s="33">
        <f t="shared" si="0"/>
        <v>1972</v>
      </c>
      <c r="B31" s="130"/>
      <c r="C31" s="130"/>
      <c r="D31" s="130"/>
      <c r="E31" s="130"/>
      <c r="F31" s="130"/>
      <c r="G31" s="130"/>
      <c r="H31" s="130"/>
      <c r="I31" s="130"/>
      <c r="J31" s="130"/>
      <c r="K31" s="130"/>
      <c r="L31" s="130"/>
      <c r="M31" s="185"/>
      <c r="N31" s="186"/>
      <c r="O31" s="144">
        <v>41700</v>
      </c>
      <c r="P31" s="144">
        <v>15400</v>
      </c>
      <c r="Q31" s="144">
        <v>57100</v>
      </c>
      <c r="R31" s="144"/>
      <c r="S31" s="36"/>
      <c r="T31" s="36"/>
      <c r="AM31" s="144">
        <v>41700</v>
      </c>
      <c r="AN31" s="144">
        <v>15400</v>
      </c>
      <c r="AO31" s="144">
        <v>57100</v>
      </c>
      <c r="AX31" s="22"/>
      <c r="AY31" s="22"/>
      <c r="AZ31" s="22"/>
      <c r="BA31" s="22"/>
      <c r="BC31" s="22"/>
      <c r="BD31" s="22"/>
      <c r="BF31">
        <v>1106</v>
      </c>
      <c r="BI31">
        <v>1079</v>
      </c>
      <c r="BJ31" s="28">
        <f t="shared" si="4"/>
        <v>1079</v>
      </c>
      <c r="BK31" s="32">
        <v>0</v>
      </c>
      <c r="BM31">
        <v>2819</v>
      </c>
      <c r="BP31">
        <v>2533</v>
      </c>
      <c r="BQ31" s="28">
        <f t="shared" si="1"/>
        <v>2533</v>
      </c>
      <c r="BR31">
        <v>0</v>
      </c>
      <c r="BT31">
        <v>871</v>
      </c>
      <c r="BW31">
        <v>798</v>
      </c>
      <c r="BX31" s="28">
        <f t="shared" si="5"/>
        <v>798</v>
      </c>
      <c r="BY31">
        <v>0</v>
      </c>
      <c r="CA31">
        <v>612</v>
      </c>
      <c r="CD31">
        <v>581</v>
      </c>
      <c r="CE31" s="28">
        <f t="shared" si="7"/>
        <v>581</v>
      </c>
      <c r="CF31" s="32">
        <v>0</v>
      </c>
      <c r="CH31">
        <v>1169</v>
      </c>
      <c r="CK31">
        <v>1110</v>
      </c>
      <c r="CL31" s="28">
        <f t="shared" si="8"/>
        <v>1110</v>
      </c>
      <c r="CM31">
        <v>0</v>
      </c>
      <c r="CO31">
        <v>682</v>
      </c>
      <c r="CR31">
        <v>672</v>
      </c>
      <c r="CS31" s="28">
        <f t="shared" si="9"/>
        <v>672</v>
      </c>
      <c r="CT31">
        <v>0</v>
      </c>
      <c r="CX31" s="22"/>
      <c r="DD31">
        <v>385</v>
      </c>
      <c r="DE31" s="28">
        <f t="shared" si="6"/>
        <v>385</v>
      </c>
      <c r="DF31">
        <v>0</v>
      </c>
      <c r="DJ31" t="s">
        <v>273</v>
      </c>
      <c r="DK31" s="32" t="s">
        <v>273</v>
      </c>
      <c r="DL31">
        <v>289</v>
      </c>
      <c r="DM31" s="32">
        <v>0</v>
      </c>
      <c r="DN31">
        <v>66</v>
      </c>
      <c r="DO31" s="32">
        <v>0</v>
      </c>
      <c r="DP31">
        <v>381</v>
      </c>
      <c r="DQ31" s="32">
        <v>0</v>
      </c>
      <c r="DR31">
        <v>380</v>
      </c>
      <c r="DS31" s="32">
        <v>0</v>
      </c>
      <c r="DT31">
        <v>158</v>
      </c>
      <c r="DU31" s="32">
        <v>0</v>
      </c>
      <c r="DV31">
        <v>236</v>
      </c>
      <c r="DW31" s="32">
        <v>0</v>
      </c>
      <c r="DX31">
        <v>812</v>
      </c>
      <c r="DY31" s="32">
        <v>0</v>
      </c>
      <c r="DZ31">
        <v>799</v>
      </c>
      <c r="EA31" s="32">
        <v>0</v>
      </c>
      <c r="EC31">
        <v>85</v>
      </c>
      <c r="ED31">
        <v>975</v>
      </c>
      <c r="EE31">
        <v>669</v>
      </c>
      <c r="EF31">
        <v>0</v>
      </c>
      <c r="EH31">
        <v>1783</v>
      </c>
      <c r="EI31" s="32">
        <v>0</v>
      </c>
      <c r="EJ31">
        <v>615</v>
      </c>
      <c r="EK31" s="32">
        <v>0</v>
      </c>
      <c r="EL31">
        <v>585</v>
      </c>
      <c r="EM31">
        <v>2109</v>
      </c>
      <c r="EN31" s="32">
        <v>0</v>
      </c>
      <c r="ES31">
        <v>1213</v>
      </c>
      <c r="ET31" s="32">
        <v>0</v>
      </c>
    </row>
    <row r="32" spans="1:155" ht="16.5" customHeight="1" x14ac:dyDescent="0.3">
      <c r="A32" s="33">
        <f t="shared" si="0"/>
        <v>1973</v>
      </c>
      <c r="B32" s="130"/>
      <c r="C32" s="130"/>
      <c r="D32" s="130"/>
      <c r="E32" s="130"/>
      <c r="F32" s="130"/>
      <c r="G32" s="130"/>
      <c r="H32" s="130"/>
      <c r="I32" s="130"/>
      <c r="J32" s="130"/>
      <c r="K32" s="130"/>
      <c r="L32" s="130"/>
      <c r="M32" s="185"/>
      <c r="N32" s="186"/>
      <c r="O32" s="144">
        <v>42300</v>
      </c>
      <c r="P32" s="144">
        <v>21400</v>
      </c>
      <c r="Q32" s="144">
        <v>63700</v>
      </c>
      <c r="R32" s="144"/>
      <c r="S32" s="36"/>
      <c r="T32" s="36"/>
      <c r="AM32" s="144">
        <v>42300</v>
      </c>
      <c r="AN32" s="144">
        <v>21400</v>
      </c>
      <c r="AO32" s="144">
        <v>63700</v>
      </c>
      <c r="AX32" s="22"/>
      <c r="AY32" s="22"/>
      <c r="AZ32" s="22"/>
      <c r="BA32" s="22"/>
      <c r="BC32" s="22"/>
      <c r="BD32" s="22"/>
      <c r="BF32">
        <v>1855</v>
      </c>
      <c r="BI32">
        <v>1816</v>
      </c>
      <c r="BJ32" s="28">
        <f t="shared" si="4"/>
        <v>1816</v>
      </c>
      <c r="BK32" s="32">
        <v>0</v>
      </c>
      <c r="BM32">
        <v>4363</v>
      </c>
      <c r="BP32">
        <v>3920</v>
      </c>
      <c r="BQ32" s="28">
        <f t="shared" si="1"/>
        <v>3920</v>
      </c>
      <c r="BR32">
        <v>0</v>
      </c>
      <c r="BT32">
        <v>683</v>
      </c>
      <c r="BW32">
        <v>665</v>
      </c>
      <c r="BX32" s="28">
        <f t="shared" si="5"/>
        <v>665</v>
      </c>
      <c r="BY32">
        <v>0</v>
      </c>
      <c r="CA32">
        <v>252</v>
      </c>
      <c r="CD32">
        <v>246</v>
      </c>
      <c r="CE32" s="28">
        <f t="shared" si="7"/>
        <v>246</v>
      </c>
      <c r="CF32" s="32">
        <v>0</v>
      </c>
      <c r="CH32">
        <v>1263</v>
      </c>
      <c r="CK32">
        <v>1263</v>
      </c>
      <c r="CL32" s="28">
        <f t="shared" si="8"/>
        <v>1263</v>
      </c>
      <c r="CM32">
        <v>0</v>
      </c>
      <c r="CO32">
        <v>1971</v>
      </c>
      <c r="CR32">
        <v>1939</v>
      </c>
      <c r="CS32" s="28">
        <f t="shared" si="9"/>
        <v>1939</v>
      </c>
      <c r="CT32">
        <v>0</v>
      </c>
      <c r="CX32" s="22"/>
      <c r="DD32">
        <v>433</v>
      </c>
      <c r="DE32" s="28">
        <f t="shared" si="6"/>
        <v>433</v>
      </c>
      <c r="DF32">
        <v>0</v>
      </c>
      <c r="DJ32" t="s">
        <v>273</v>
      </c>
      <c r="DK32" s="32" t="s">
        <v>273</v>
      </c>
      <c r="DL32">
        <v>464</v>
      </c>
      <c r="DM32" s="32">
        <v>0</v>
      </c>
      <c r="DN32">
        <v>24</v>
      </c>
      <c r="DO32" s="32">
        <v>0</v>
      </c>
      <c r="DP32">
        <v>545</v>
      </c>
      <c r="DQ32" s="32">
        <v>0</v>
      </c>
      <c r="DR32">
        <v>198</v>
      </c>
      <c r="DS32" s="32">
        <v>0</v>
      </c>
      <c r="DT32">
        <v>131</v>
      </c>
      <c r="DU32" s="32">
        <v>0</v>
      </c>
      <c r="DV32">
        <v>261</v>
      </c>
      <c r="DW32" s="32">
        <v>0</v>
      </c>
      <c r="DX32">
        <v>1429</v>
      </c>
      <c r="DY32" s="32">
        <v>0</v>
      </c>
      <c r="DZ32">
        <v>1337</v>
      </c>
      <c r="EA32" s="32">
        <v>0</v>
      </c>
      <c r="EC32">
        <v>161</v>
      </c>
      <c r="ED32">
        <v>880</v>
      </c>
      <c r="EE32">
        <v>363</v>
      </c>
      <c r="EF32">
        <v>0</v>
      </c>
      <c r="EH32">
        <v>2333</v>
      </c>
      <c r="EI32" s="32">
        <v>0</v>
      </c>
      <c r="EJ32">
        <v>517</v>
      </c>
      <c r="EK32" s="32">
        <v>0</v>
      </c>
      <c r="EL32">
        <v>543</v>
      </c>
      <c r="EM32">
        <v>1321</v>
      </c>
      <c r="EN32" s="32">
        <v>0</v>
      </c>
      <c r="ES32">
        <v>1272</v>
      </c>
      <c r="ET32" s="32">
        <v>0</v>
      </c>
    </row>
    <row r="33" spans="1:150" ht="16.5" customHeight="1" x14ac:dyDescent="0.3">
      <c r="A33" s="33">
        <f t="shared" si="0"/>
        <v>1974</v>
      </c>
      <c r="B33" s="130"/>
      <c r="C33" s="130"/>
      <c r="D33" s="130"/>
      <c r="E33" s="130"/>
      <c r="F33" s="130"/>
      <c r="G33" s="130"/>
      <c r="H33" s="130"/>
      <c r="I33" s="130"/>
      <c r="J33" s="130"/>
      <c r="K33" s="130"/>
      <c r="L33" s="130"/>
      <c r="M33" s="185"/>
      <c r="N33" s="186"/>
      <c r="O33" s="144">
        <v>18700</v>
      </c>
      <c r="P33" s="144">
        <v>4400</v>
      </c>
      <c r="Q33" s="144">
        <v>23100</v>
      </c>
      <c r="R33" s="144"/>
      <c r="S33" s="36"/>
      <c r="T33" s="36"/>
      <c r="AM33" s="144">
        <v>18700</v>
      </c>
      <c r="AN33" s="144">
        <v>4400</v>
      </c>
      <c r="AO33" s="144">
        <v>23100</v>
      </c>
      <c r="AX33" s="22"/>
      <c r="AY33" s="22"/>
      <c r="AZ33" s="22"/>
      <c r="BA33" s="22"/>
      <c r="BC33" s="22"/>
      <c r="BD33" s="22"/>
      <c r="BF33">
        <v>753</v>
      </c>
      <c r="BI33">
        <v>738</v>
      </c>
      <c r="BJ33" s="28">
        <f t="shared" si="4"/>
        <v>738</v>
      </c>
      <c r="BK33" s="32">
        <v>0</v>
      </c>
      <c r="BM33">
        <v>2324</v>
      </c>
      <c r="BP33">
        <v>2088</v>
      </c>
      <c r="BQ33" s="28">
        <f t="shared" si="1"/>
        <v>2088</v>
      </c>
      <c r="BR33">
        <v>0</v>
      </c>
      <c r="BT33">
        <v>459</v>
      </c>
      <c r="BW33">
        <v>438</v>
      </c>
      <c r="BX33" s="28">
        <f t="shared" si="5"/>
        <v>438</v>
      </c>
      <c r="BY33">
        <v>0</v>
      </c>
      <c r="CA33">
        <v>278</v>
      </c>
      <c r="CD33">
        <v>265</v>
      </c>
      <c r="CE33" s="28">
        <f t="shared" si="7"/>
        <v>265</v>
      </c>
      <c r="CF33" s="32">
        <v>0</v>
      </c>
      <c r="CH33">
        <v>947</v>
      </c>
      <c r="CK33">
        <v>948</v>
      </c>
      <c r="CL33" s="28">
        <f t="shared" si="8"/>
        <v>948</v>
      </c>
      <c r="CM33">
        <v>0</v>
      </c>
      <c r="CO33">
        <v>471</v>
      </c>
      <c r="CR33">
        <v>450</v>
      </c>
      <c r="CS33" s="28">
        <f t="shared" si="9"/>
        <v>450</v>
      </c>
      <c r="CT33">
        <v>0</v>
      </c>
      <c r="CX33" s="22"/>
      <c r="DD33">
        <v>345</v>
      </c>
      <c r="DE33" s="28">
        <f t="shared" si="6"/>
        <v>345</v>
      </c>
      <c r="DF33">
        <v>0</v>
      </c>
      <c r="DJ33" t="s">
        <v>273</v>
      </c>
      <c r="DK33" s="32" t="s">
        <v>273</v>
      </c>
      <c r="DL33">
        <v>136</v>
      </c>
      <c r="DM33" s="32">
        <v>0</v>
      </c>
      <c r="DN33">
        <v>30</v>
      </c>
      <c r="DO33" s="32">
        <v>0</v>
      </c>
      <c r="DP33">
        <v>409</v>
      </c>
      <c r="DQ33" s="32">
        <v>0</v>
      </c>
      <c r="DR33">
        <v>118</v>
      </c>
      <c r="DS33" s="32">
        <v>0</v>
      </c>
      <c r="DT33">
        <v>171</v>
      </c>
      <c r="DU33" s="32">
        <v>0</v>
      </c>
      <c r="DV33">
        <v>100</v>
      </c>
      <c r="DW33" s="32">
        <v>0</v>
      </c>
      <c r="DX33">
        <v>444</v>
      </c>
      <c r="DY33" s="32">
        <v>0</v>
      </c>
      <c r="DZ33">
        <v>547</v>
      </c>
      <c r="EA33" s="32">
        <v>0</v>
      </c>
      <c r="EC33">
        <v>53</v>
      </c>
      <c r="ED33">
        <v>562</v>
      </c>
      <c r="EE33">
        <v>64</v>
      </c>
      <c r="EF33">
        <v>0</v>
      </c>
      <c r="EH33">
        <v>1060</v>
      </c>
      <c r="EI33" s="32">
        <v>0</v>
      </c>
      <c r="EJ33">
        <v>212</v>
      </c>
      <c r="EK33" s="32">
        <v>0</v>
      </c>
      <c r="EL33">
        <v>450</v>
      </c>
      <c r="EM33">
        <v>880</v>
      </c>
      <c r="EN33" s="32">
        <v>0</v>
      </c>
      <c r="ES33">
        <v>477</v>
      </c>
      <c r="ET33" s="32">
        <v>0</v>
      </c>
    </row>
    <row r="34" spans="1:150" ht="16.5" customHeight="1" x14ac:dyDescent="0.3">
      <c r="A34" s="33">
        <f t="shared" si="0"/>
        <v>1975</v>
      </c>
      <c r="B34" s="130"/>
      <c r="C34" s="130"/>
      <c r="D34" s="130"/>
      <c r="E34" s="130"/>
      <c r="F34" s="130"/>
      <c r="G34" s="130"/>
      <c r="H34" s="130"/>
      <c r="I34" s="130"/>
      <c r="J34" s="130"/>
      <c r="K34" s="130"/>
      <c r="L34" s="130"/>
      <c r="M34" s="185"/>
      <c r="N34" s="186"/>
      <c r="O34" s="144">
        <v>17800</v>
      </c>
      <c r="P34" s="144">
        <v>5900</v>
      </c>
      <c r="Q34" s="144">
        <v>23700</v>
      </c>
      <c r="R34" s="144"/>
      <c r="S34" s="36"/>
      <c r="T34" s="36"/>
      <c r="AM34" s="144">
        <v>17800</v>
      </c>
      <c r="AN34" s="144">
        <v>5900</v>
      </c>
      <c r="AO34" s="144">
        <v>23700</v>
      </c>
      <c r="AX34" s="22"/>
      <c r="AY34" s="22"/>
      <c r="AZ34" s="22"/>
      <c r="BA34" s="22"/>
      <c r="BC34" s="22"/>
      <c r="BD34" s="22"/>
      <c r="BF34">
        <v>399</v>
      </c>
      <c r="BI34">
        <v>359</v>
      </c>
      <c r="BJ34" s="28">
        <f t="shared" si="4"/>
        <v>359</v>
      </c>
      <c r="BK34" s="32">
        <v>0</v>
      </c>
      <c r="BM34">
        <v>1250</v>
      </c>
      <c r="BP34">
        <v>1123</v>
      </c>
      <c r="BQ34" s="28">
        <f t="shared" si="1"/>
        <v>1123</v>
      </c>
      <c r="BR34">
        <v>0</v>
      </c>
      <c r="BT34">
        <v>377</v>
      </c>
      <c r="BW34">
        <v>377</v>
      </c>
      <c r="BX34" s="28">
        <f t="shared" si="5"/>
        <v>377</v>
      </c>
      <c r="BY34">
        <v>0</v>
      </c>
      <c r="CA34">
        <v>220</v>
      </c>
      <c r="CD34">
        <v>220</v>
      </c>
      <c r="CE34" s="28">
        <f t="shared" si="7"/>
        <v>220</v>
      </c>
      <c r="CF34" s="32">
        <v>0</v>
      </c>
      <c r="CH34">
        <v>328</v>
      </c>
      <c r="CK34">
        <v>328</v>
      </c>
      <c r="CL34" s="28">
        <f t="shared" si="8"/>
        <v>328</v>
      </c>
      <c r="CM34">
        <v>0</v>
      </c>
      <c r="CO34">
        <v>288</v>
      </c>
      <c r="CR34">
        <v>288</v>
      </c>
      <c r="CS34" s="28">
        <f t="shared" si="9"/>
        <v>288</v>
      </c>
      <c r="CT34">
        <v>0</v>
      </c>
      <c r="CX34" s="22"/>
      <c r="DD34">
        <v>661</v>
      </c>
      <c r="DE34" s="28">
        <f t="shared" si="6"/>
        <v>661</v>
      </c>
      <c r="DF34">
        <v>0</v>
      </c>
      <c r="DJ34" t="s">
        <v>273</v>
      </c>
      <c r="DK34" s="32" t="s">
        <v>273</v>
      </c>
      <c r="DL34">
        <v>373</v>
      </c>
      <c r="DM34" s="32">
        <v>0</v>
      </c>
      <c r="DN34">
        <v>11</v>
      </c>
      <c r="DO34" s="32">
        <v>0</v>
      </c>
      <c r="DP34">
        <v>304</v>
      </c>
      <c r="DQ34" s="32">
        <v>0</v>
      </c>
      <c r="DR34">
        <v>81</v>
      </c>
      <c r="DS34" s="32">
        <v>0</v>
      </c>
      <c r="DT34">
        <v>79</v>
      </c>
      <c r="DU34" s="32">
        <v>0</v>
      </c>
      <c r="DV34">
        <v>167</v>
      </c>
      <c r="DW34" s="32">
        <v>0</v>
      </c>
      <c r="DX34">
        <v>726</v>
      </c>
      <c r="DY34" s="32">
        <v>0</v>
      </c>
      <c r="DZ34">
        <v>519</v>
      </c>
      <c r="EA34" s="32">
        <v>0</v>
      </c>
      <c r="EC34">
        <v>40</v>
      </c>
      <c r="ED34">
        <v>869</v>
      </c>
      <c r="EE34">
        <v>72</v>
      </c>
      <c r="EF34">
        <v>0</v>
      </c>
      <c r="EH34">
        <v>1048</v>
      </c>
      <c r="EI34" s="32">
        <v>0</v>
      </c>
      <c r="EJ34">
        <v>336</v>
      </c>
      <c r="EK34" s="32">
        <v>0</v>
      </c>
      <c r="EL34">
        <v>723</v>
      </c>
      <c r="EM34">
        <v>1450</v>
      </c>
      <c r="EN34" s="32">
        <v>0</v>
      </c>
      <c r="ES34">
        <v>512</v>
      </c>
      <c r="ET34" s="32">
        <v>0</v>
      </c>
    </row>
    <row r="35" spans="1:150" ht="16.5" customHeight="1" x14ac:dyDescent="0.3">
      <c r="A35" s="33">
        <f t="shared" si="0"/>
        <v>1976</v>
      </c>
      <c r="B35" s="130"/>
      <c r="C35" s="130"/>
      <c r="D35" s="130"/>
      <c r="E35" s="130"/>
      <c r="F35" s="130"/>
      <c r="G35" s="130"/>
      <c r="H35" s="130"/>
      <c r="I35" s="130"/>
      <c r="J35" s="130"/>
      <c r="K35" s="130"/>
      <c r="L35" s="130"/>
      <c r="M35" s="185"/>
      <c r="N35" s="186"/>
      <c r="O35" s="144">
        <v>14500</v>
      </c>
      <c r="P35" s="144">
        <v>8400</v>
      </c>
      <c r="Q35" s="144">
        <v>22900</v>
      </c>
      <c r="R35" s="144"/>
      <c r="S35" s="36"/>
      <c r="T35" s="36"/>
      <c r="AM35" s="144">
        <v>14500</v>
      </c>
      <c r="AN35" s="144">
        <v>8400</v>
      </c>
      <c r="AO35" s="144">
        <v>22900</v>
      </c>
      <c r="AX35" s="22"/>
      <c r="AY35" s="22"/>
      <c r="AZ35" s="22"/>
      <c r="BA35" s="22"/>
      <c r="BC35" s="22"/>
      <c r="BD35" s="22"/>
      <c r="BF35">
        <v>1028</v>
      </c>
      <c r="BI35">
        <v>973</v>
      </c>
      <c r="BJ35" s="28">
        <f t="shared" si="4"/>
        <v>973</v>
      </c>
      <c r="BK35" s="32">
        <v>0</v>
      </c>
      <c r="BM35">
        <v>1065</v>
      </c>
      <c r="BP35">
        <v>957</v>
      </c>
      <c r="BQ35" s="28">
        <f t="shared" si="1"/>
        <v>957</v>
      </c>
      <c r="BR35">
        <v>0</v>
      </c>
      <c r="BT35">
        <v>547</v>
      </c>
      <c r="BW35">
        <v>517</v>
      </c>
      <c r="BX35" s="28">
        <f t="shared" si="5"/>
        <v>517</v>
      </c>
      <c r="BY35">
        <v>0</v>
      </c>
      <c r="CA35">
        <v>324</v>
      </c>
      <c r="CD35">
        <v>307</v>
      </c>
      <c r="CE35" s="28">
        <f t="shared" si="7"/>
        <v>307</v>
      </c>
      <c r="CF35" s="32">
        <v>0</v>
      </c>
      <c r="CH35">
        <v>664</v>
      </c>
      <c r="CK35">
        <v>628</v>
      </c>
      <c r="CL35" s="28">
        <f t="shared" si="8"/>
        <v>628</v>
      </c>
      <c r="CM35">
        <v>0</v>
      </c>
      <c r="CO35">
        <v>192</v>
      </c>
      <c r="CR35">
        <v>182</v>
      </c>
      <c r="CS35" s="28">
        <f t="shared" si="9"/>
        <v>182</v>
      </c>
      <c r="CT35">
        <v>0</v>
      </c>
      <c r="CX35" s="22"/>
      <c r="DD35">
        <v>324</v>
      </c>
      <c r="DE35" s="28">
        <f t="shared" si="6"/>
        <v>324</v>
      </c>
      <c r="DF35">
        <v>0</v>
      </c>
      <c r="DJ35" t="s">
        <v>273</v>
      </c>
      <c r="DK35" s="32" t="s">
        <v>273</v>
      </c>
      <c r="DL35">
        <v>99</v>
      </c>
      <c r="DM35" s="32">
        <v>0</v>
      </c>
      <c r="DN35">
        <v>5</v>
      </c>
      <c r="DO35" s="32">
        <v>0</v>
      </c>
      <c r="DP35">
        <v>62</v>
      </c>
      <c r="DQ35" s="32">
        <v>0</v>
      </c>
      <c r="DR35">
        <v>76</v>
      </c>
      <c r="DS35" s="32">
        <v>0</v>
      </c>
      <c r="DT35">
        <v>38</v>
      </c>
      <c r="DU35" s="32">
        <v>0</v>
      </c>
      <c r="DV35">
        <v>43</v>
      </c>
      <c r="DW35" s="32">
        <v>0</v>
      </c>
      <c r="DX35">
        <v>249</v>
      </c>
      <c r="DY35" s="32">
        <v>0</v>
      </c>
      <c r="DZ35">
        <v>122</v>
      </c>
      <c r="EA35" s="32">
        <v>0</v>
      </c>
      <c r="EC35">
        <v>15</v>
      </c>
      <c r="ED35">
        <v>517</v>
      </c>
      <c r="EE35">
        <v>70</v>
      </c>
      <c r="EF35">
        <v>0</v>
      </c>
      <c r="EH35">
        <v>421</v>
      </c>
      <c r="EI35" s="32">
        <v>0</v>
      </c>
      <c r="EJ35">
        <v>111</v>
      </c>
      <c r="EK35" s="32">
        <v>0</v>
      </c>
      <c r="EL35">
        <v>106</v>
      </c>
      <c r="EM35">
        <v>817</v>
      </c>
      <c r="EN35" s="32">
        <v>0</v>
      </c>
      <c r="ES35">
        <v>391</v>
      </c>
      <c r="ET35" s="32">
        <v>0</v>
      </c>
    </row>
    <row r="36" spans="1:150" ht="16.5" customHeight="1" x14ac:dyDescent="0.3">
      <c r="A36" s="33">
        <f t="shared" si="0"/>
        <v>1977</v>
      </c>
      <c r="B36" s="130"/>
      <c r="C36" s="130"/>
      <c r="D36" s="130"/>
      <c r="E36" s="130"/>
      <c r="F36" s="130"/>
      <c r="G36" s="130"/>
      <c r="H36" s="130"/>
      <c r="I36" s="130"/>
      <c r="J36" s="130"/>
      <c r="K36" s="130"/>
      <c r="L36" s="130"/>
      <c r="M36" s="185"/>
      <c r="N36" s="186"/>
      <c r="O36" s="144">
        <v>30800</v>
      </c>
      <c r="P36" s="144">
        <v>13100</v>
      </c>
      <c r="Q36" s="144">
        <v>43900</v>
      </c>
      <c r="R36" s="144"/>
      <c r="S36" s="36"/>
      <c r="T36" s="36"/>
      <c r="AM36" s="144">
        <v>30800</v>
      </c>
      <c r="AN36" s="144">
        <v>13100</v>
      </c>
      <c r="AO36" s="144">
        <v>43900</v>
      </c>
      <c r="AX36" s="22"/>
      <c r="AY36" s="22"/>
      <c r="AZ36" s="22"/>
      <c r="BA36" s="22"/>
      <c r="BC36" s="22"/>
      <c r="BD36" s="22"/>
      <c r="BF36">
        <v>104</v>
      </c>
      <c r="BI36">
        <v>100</v>
      </c>
      <c r="BJ36" s="28">
        <f t="shared" si="4"/>
        <v>100</v>
      </c>
      <c r="BK36" s="32">
        <v>0</v>
      </c>
      <c r="BM36">
        <v>1200</v>
      </c>
      <c r="BP36">
        <v>1078</v>
      </c>
      <c r="BQ36" s="28">
        <f t="shared" si="1"/>
        <v>1078</v>
      </c>
      <c r="BR36">
        <v>0</v>
      </c>
      <c r="BT36">
        <v>267</v>
      </c>
      <c r="BW36">
        <v>248</v>
      </c>
      <c r="BX36" s="28">
        <f t="shared" si="5"/>
        <v>248</v>
      </c>
      <c r="BY36">
        <v>0</v>
      </c>
      <c r="CA36">
        <v>593</v>
      </c>
      <c r="CD36">
        <v>551</v>
      </c>
      <c r="CE36" s="28">
        <f t="shared" si="7"/>
        <v>551</v>
      </c>
      <c r="CF36" s="32">
        <v>0</v>
      </c>
      <c r="CH36">
        <v>221</v>
      </c>
      <c r="CK36">
        <v>208</v>
      </c>
      <c r="CL36" s="28">
        <f t="shared" si="8"/>
        <v>208</v>
      </c>
      <c r="CM36">
        <v>0</v>
      </c>
      <c r="CO36">
        <v>577</v>
      </c>
      <c r="CR36">
        <v>567</v>
      </c>
      <c r="CS36" s="28">
        <f t="shared" si="9"/>
        <v>567</v>
      </c>
      <c r="CT36">
        <v>0</v>
      </c>
      <c r="CX36" s="22"/>
      <c r="DD36">
        <v>317</v>
      </c>
      <c r="DE36" s="28">
        <f t="shared" si="6"/>
        <v>317</v>
      </c>
      <c r="DF36">
        <v>0</v>
      </c>
      <c r="DJ36" t="s">
        <v>273</v>
      </c>
      <c r="DK36" s="32" t="s">
        <v>273</v>
      </c>
      <c r="DL36">
        <v>42</v>
      </c>
      <c r="DM36" s="32">
        <v>0</v>
      </c>
      <c r="DN36">
        <v>0</v>
      </c>
      <c r="DO36" s="32">
        <v>0</v>
      </c>
      <c r="DP36">
        <v>202</v>
      </c>
      <c r="DQ36" s="32">
        <v>0</v>
      </c>
      <c r="DR36">
        <v>158</v>
      </c>
      <c r="DS36" s="32">
        <v>0</v>
      </c>
      <c r="DT36">
        <v>12</v>
      </c>
      <c r="DU36" s="32">
        <v>0</v>
      </c>
      <c r="DV36">
        <v>15</v>
      </c>
      <c r="DW36" s="32">
        <v>0</v>
      </c>
      <c r="DX36">
        <v>405</v>
      </c>
      <c r="DY36" s="32">
        <v>0</v>
      </c>
      <c r="DZ36">
        <v>254</v>
      </c>
      <c r="EA36" s="32">
        <v>0</v>
      </c>
      <c r="EC36">
        <v>87</v>
      </c>
      <c r="ED36">
        <v>930</v>
      </c>
      <c r="EE36">
        <v>152</v>
      </c>
      <c r="EF36">
        <v>0</v>
      </c>
      <c r="EH36">
        <v>793</v>
      </c>
      <c r="EI36" s="32">
        <v>0</v>
      </c>
      <c r="EJ36">
        <v>139</v>
      </c>
      <c r="EK36" s="32">
        <v>0</v>
      </c>
      <c r="EL36">
        <v>207</v>
      </c>
      <c r="EM36">
        <v>1688</v>
      </c>
      <c r="EN36" s="32">
        <v>0</v>
      </c>
      <c r="ES36">
        <v>508</v>
      </c>
      <c r="ET36" s="32">
        <v>0</v>
      </c>
    </row>
    <row r="37" spans="1:150" ht="16.5" customHeight="1" x14ac:dyDescent="0.3">
      <c r="A37" s="33">
        <f t="shared" si="0"/>
        <v>1978</v>
      </c>
      <c r="B37" s="130"/>
      <c r="C37" s="130"/>
      <c r="D37" s="130"/>
      <c r="E37" s="130"/>
      <c r="F37" s="130"/>
      <c r="G37" s="130"/>
      <c r="H37" s="130"/>
      <c r="I37" s="130"/>
      <c r="J37" s="130"/>
      <c r="K37" s="130"/>
      <c r="L37" s="130"/>
      <c r="M37" s="185"/>
      <c r="N37" s="186"/>
      <c r="O37" s="144">
        <v>42600</v>
      </c>
      <c r="P37" s="144">
        <v>9700</v>
      </c>
      <c r="Q37" s="144">
        <v>52300</v>
      </c>
      <c r="R37" s="144"/>
      <c r="S37" s="36"/>
      <c r="T37" s="36"/>
      <c r="AM37" s="144">
        <v>42600</v>
      </c>
      <c r="AN37" s="144">
        <v>9700</v>
      </c>
      <c r="AO37" s="144">
        <v>52300</v>
      </c>
      <c r="AX37" s="22"/>
      <c r="AY37" s="22"/>
      <c r="AZ37" s="22"/>
      <c r="BA37" s="22"/>
      <c r="BC37" s="22"/>
      <c r="BD37" s="22"/>
      <c r="BF37">
        <v>878</v>
      </c>
      <c r="BI37">
        <v>878</v>
      </c>
      <c r="BJ37" s="28">
        <f t="shared" si="4"/>
        <v>878</v>
      </c>
      <c r="BK37" s="32">
        <v>0</v>
      </c>
      <c r="BM37">
        <v>3482</v>
      </c>
      <c r="BP37">
        <v>3129</v>
      </c>
      <c r="BQ37" s="28">
        <f t="shared" si="1"/>
        <v>3129</v>
      </c>
      <c r="BR37">
        <v>0</v>
      </c>
      <c r="BT37">
        <v>1446</v>
      </c>
      <c r="BW37">
        <v>1446</v>
      </c>
      <c r="BX37" s="28">
        <f t="shared" si="5"/>
        <v>1446</v>
      </c>
      <c r="BY37">
        <v>0</v>
      </c>
      <c r="CA37">
        <v>217</v>
      </c>
      <c r="CD37">
        <v>217</v>
      </c>
      <c r="CE37" s="28">
        <f t="shared" si="7"/>
        <v>217</v>
      </c>
      <c r="CF37" s="32">
        <v>0</v>
      </c>
      <c r="CH37">
        <v>1097</v>
      </c>
      <c r="CK37">
        <v>1097</v>
      </c>
      <c r="CL37" s="28">
        <f t="shared" si="8"/>
        <v>1097</v>
      </c>
      <c r="CM37">
        <v>0</v>
      </c>
      <c r="CO37">
        <v>740</v>
      </c>
      <c r="CR37">
        <v>740</v>
      </c>
      <c r="CS37" s="28">
        <f t="shared" si="9"/>
        <v>740</v>
      </c>
      <c r="CT37">
        <v>0</v>
      </c>
      <c r="CX37" s="22"/>
      <c r="DD37" t="s">
        <v>273</v>
      </c>
      <c r="DE37" s="28" t="e">
        <f t="shared" si="6"/>
        <v>#VALUE!</v>
      </c>
      <c r="DF37" t="s">
        <v>273</v>
      </c>
      <c r="DJ37" t="s">
        <v>273</v>
      </c>
      <c r="DK37" s="32" t="s">
        <v>273</v>
      </c>
      <c r="DL37">
        <v>463</v>
      </c>
      <c r="DM37" s="32">
        <v>0</v>
      </c>
      <c r="DN37" t="s">
        <v>273</v>
      </c>
      <c r="DO37" s="32">
        <v>0</v>
      </c>
      <c r="DP37">
        <v>319</v>
      </c>
      <c r="DQ37" s="32">
        <v>0</v>
      </c>
      <c r="DR37">
        <v>74</v>
      </c>
      <c r="DS37" s="32">
        <v>0</v>
      </c>
      <c r="DT37" t="s">
        <v>273</v>
      </c>
      <c r="DU37" s="32" t="s">
        <v>273</v>
      </c>
      <c r="DV37">
        <v>214</v>
      </c>
      <c r="DW37" s="32">
        <v>0</v>
      </c>
      <c r="DX37">
        <v>740</v>
      </c>
      <c r="DY37" s="32">
        <v>0</v>
      </c>
      <c r="DZ37">
        <v>703</v>
      </c>
      <c r="EA37" s="32">
        <v>0</v>
      </c>
      <c r="EC37">
        <v>86</v>
      </c>
      <c r="ED37">
        <v>1730</v>
      </c>
      <c r="EE37">
        <v>583</v>
      </c>
      <c r="EF37">
        <v>0</v>
      </c>
      <c r="EH37">
        <v>2939</v>
      </c>
      <c r="EI37" s="32">
        <v>0</v>
      </c>
      <c r="EJ37">
        <v>389</v>
      </c>
      <c r="EK37" s="32">
        <v>0</v>
      </c>
      <c r="EL37">
        <v>968</v>
      </c>
      <c r="EM37">
        <v>4606</v>
      </c>
      <c r="EN37" s="32">
        <v>0</v>
      </c>
      <c r="ES37">
        <v>578</v>
      </c>
      <c r="ET37" s="32">
        <v>0</v>
      </c>
    </row>
    <row r="38" spans="1:150" ht="16.5" customHeight="1" thickBot="1" x14ac:dyDescent="0.35">
      <c r="A38" s="33">
        <f>A39-1</f>
        <v>1979</v>
      </c>
      <c r="B38" s="130"/>
      <c r="C38" s="130"/>
      <c r="D38" s="130"/>
      <c r="E38" s="130"/>
      <c r="F38" s="130"/>
      <c r="G38" s="130"/>
      <c r="H38" s="130"/>
      <c r="I38" s="130"/>
      <c r="J38" s="130"/>
      <c r="K38" s="130"/>
      <c r="L38" s="130"/>
      <c r="M38" s="185"/>
      <c r="N38" s="186"/>
      <c r="O38" s="143">
        <v>5761</v>
      </c>
      <c r="P38" s="144">
        <v>3792</v>
      </c>
      <c r="Q38" s="144">
        <v>9553</v>
      </c>
      <c r="R38" s="144"/>
      <c r="S38" s="36"/>
      <c r="T38" s="36"/>
      <c r="AM38" s="143">
        <v>5761</v>
      </c>
      <c r="AN38" s="144">
        <v>3792</v>
      </c>
      <c r="AO38" s="144">
        <v>9553</v>
      </c>
      <c r="AX38" s="22"/>
      <c r="AY38" s="22"/>
      <c r="AZ38" s="22"/>
      <c r="BA38" s="22"/>
      <c r="BC38" s="22"/>
      <c r="BD38" s="22"/>
      <c r="BF38">
        <v>579</v>
      </c>
      <c r="BI38">
        <v>557</v>
      </c>
      <c r="BJ38" s="28">
        <f t="shared" si="4"/>
        <v>557</v>
      </c>
      <c r="BK38" s="32">
        <v>0</v>
      </c>
      <c r="BM38">
        <v>436</v>
      </c>
      <c r="BP38">
        <v>392</v>
      </c>
      <c r="BQ38" s="28">
        <f t="shared" si="1"/>
        <v>392</v>
      </c>
      <c r="BR38">
        <v>0</v>
      </c>
      <c r="BT38">
        <v>92</v>
      </c>
      <c r="BW38">
        <v>85</v>
      </c>
      <c r="BX38" s="28">
        <f t="shared" si="5"/>
        <v>85</v>
      </c>
      <c r="BY38">
        <v>0</v>
      </c>
      <c r="CA38">
        <v>25</v>
      </c>
      <c r="CD38">
        <v>23</v>
      </c>
      <c r="CE38" s="28">
        <f t="shared" si="7"/>
        <v>23</v>
      </c>
      <c r="CF38" s="32">
        <v>0</v>
      </c>
      <c r="CH38">
        <v>157</v>
      </c>
      <c r="CK38">
        <v>148</v>
      </c>
      <c r="CL38" s="28">
        <f t="shared" si="8"/>
        <v>148</v>
      </c>
      <c r="CM38">
        <v>0</v>
      </c>
      <c r="CO38">
        <v>48</v>
      </c>
      <c r="CR38">
        <v>47</v>
      </c>
      <c r="CS38" s="28">
        <f t="shared" si="9"/>
        <v>47</v>
      </c>
      <c r="CT38">
        <v>0</v>
      </c>
      <c r="CX38" s="22"/>
      <c r="DD38" t="s">
        <v>273</v>
      </c>
      <c r="DE38" s="28" t="e">
        <f t="shared" si="6"/>
        <v>#VALUE!</v>
      </c>
      <c r="DF38" t="s">
        <v>273</v>
      </c>
      <c r="DJ38" t="s">
        <v>273</v>
      </c>
      <c r="DK38" s="32" t="s">
        <v>273</v>
      </c>
      <c r="DL38">
        <v>71</v>
      </c>
      <c r="DM38" s="32">
        <v>0</v>
      </c>
      <c r="DN38" t="s">
        <v>273</v>
      </c>
      <c r="DO38" s="32">
        <v>0</v>
      </c>
      <c r="DP38">
        <v>39</v>
      </c>
      <c r="DQ38" s="32">
        <v>0</v>
      </c>
      <c r="DR38" t="s">
        <v>273</v>
      </c>
      <c r="DS38" s="32">
        <v>0</v>
      </c>
      <c r="DT38" t="s">
        <v>273</v>
      </c>
      <c r="DU38" s="32" t="s">
        <v>273</v>
      </c>
      <c r="DV38">
        <v>48</v>
      </c>
      <c r="DW38" s="32">
        <v>0</v>
      </c>
      <c r="DX38">
        <v>217</v>
      </c>
      <c r="DY38" s="32">
        <v>0</v>
      </c>
      <c r="DZ38">
        <v>118</v>
      </c>
      <c r="EA38" s="32">
        <v>0</v>
      </c>
      <c r="EC38" t="s">
        <v>273</v>
      </c>
      <c r="ED38">
        <v>327</v>
      </c>
      <c r="EE38" t="s">
        <v>273</v>
      </c>
      <c r="EF38" t="s">
        <v>273</v>
      </c>
      <c r="EH38">
        <v>261</v>
      </c>
      <c r="EI38" s="32">
        <v>0</v>
      </c>
      <c r="EJ38">
        <v>57</v>
      </c>
      <c r="EK38" s="32">
        <v>0</v>
      </c>
      <c r="EL38">
        <v>100</v>
      </c>
      <c r="EM38">
        <v>497</v>
      </c>
      <c r="EN38" s="32">
        <v>0</v>
      </c>
      <c r="ES38">
        <v>214</v>
      </c>
      <c r="ET38" s="32">
        <v>0</v>
      </c>
    </row>
    <row r="39" spans="1:150" ht="15" customHeight="1" thickTop="1" x14ac:dyDescent="0.3">
      <c r="A39" s="33">
        <v>1980</v>
      </c>
      <c r="B39" s="135">
        <v>27323</v>
      </c>
      <c r="C39" s="135">
        <v>20968</v>
      </c>
      <c r="D39" s="135">
        <f t="shared" ref="D39:D76" si="10">B39-C39</f>
        <v>6355</v>
      </c>
      <c r="E39" s="136">
        <v>35</v>
      </c>
      <c r="F39" s="137">
        <v>0.2</v>
      </c>
      <c r="G39" s="136">
        <v>674</v>
      </c>
      <c r="H39" s="137">
        <v>3.2</v>
      </c>
      <c r="I39" s="136">
        <v>709</v>
      </c>
      <c r="J39" s="137">
        <v>3.4</v>
      </c>
      <c r="K39" s="138">
        <v>13604</v>
      </c>
      <c r="L39" s="137">
        <v>64.900000000000006</v>
      </c>
      <c r="M39" s="139">
        <v>6646</v>
      </c>
      <c r="N39" s="140">
        <v>31.7</v>
      </c>
      <c r="O39" s="143">
        <v>6134</v>
      </c>
      <c r="P39" s="144">
        <v>2014</v>
      </c>
      <c r="Q39" s="144">
        <v>8148</v>
      </c>
      <c r="R39" s="144"/>
      <c r="S39" s="141">
        <f t="shared" ref="S39:S53" si="11">1-(M39/B39)</f>
        <v>0.7567617025948834</v>
      </c>
      <c r="T39" s="141"/>
      <c r="U39" s="142"/>
      <c r="V39" s="142"/>
      <c r="W39" s="142"/>
      <c r="X39" s="142"/>
      <c r="Y39" s="142"/>
      <c r="Z39" s="142"/>
      <c r="AA39" s="142"/>
      <c r="AB39" s="142"/>
      <c r="AC39" s="142"/>
      <c r="AD39" s="142"/>
      <c r="AE39" s="142"/>
      <c r="AF39" s="142"/>
      <c r="AG39" s="142"/>
      <c r="AH39" s="142"/>
      <c r="AI39" s="142"/>
      <c r="AJ39" s="142"/>
      <c r="AK39" s="142"/>
      <c r="AL39" s="128"/>
      <c r="AM39" s="143">
        <v>6134</v>
      </c>
      <c r="AN39" s="144">
        <v>2014</v>
      </c>
      <c r="AO39" s="144">
        <v>8148</v>
      </c>
      <c r="AQ39" s="28">
        <v>0</v>
      </c>
      <c r="AR39" s="34">
        <f t="shared" ref="AR39:AR76" si="12">AQ39/AN39</f>
        <v>0</v>
      </c>
      <c r="AS39" s="34">
        <f t="shared" ref="AS39:AS76" si="13">AQ39/D39</f>
        <v>0</v>
      </c>
      <c r="BF39">
        <v>1034</v>
      </c>
      <c r="BI39">
        <v>994</v>
      </c>
      <c r="BJ39" s="28">
        <f t="shared" si="4"/>
        <v>994</v>
      </c>
      <c r="BK39" s="32">
        <v>0</v>
      </c>
      <c r="BM39">
        <v>336</v>
      </c>
      <c r="BP39">
        <v>302</v>
      </c>
      <c r="BQ39" s="28">
        <f t="shared" si="1"/>
        <v>302</v>
      </c>
      <c r="BR39">
        <v>0</v>
      </c>
      <c r="BT39">
        <v>102</v>
      </c>
      <c r="BW39">
        <v>95</v>
      </c>
      <c r="BX39" s="28">
        <f t="shared" si="5"/>
        <v>95</v>
      </c>
      <c r="BY39">
        <v>0</v>
      </c>
      <c r="CA39">
        <v>165</v>
      </c>
      <c r="CD39">
        <v>154</v>
      </c>
      <c r="CE39" s="28">
        <f t="shared" si="7"/>
        <v>154</v>
      </c>
      <c r="CF39" s="32">
        <v>0</v>
      </c>
      <c r="CH39">
        <v>155</v>
      </c>
      <c r="CK39">
        <v>146</v>
      </c>
      <c r="CL39" s="28">
        <f t="shared" si="8"/>
        <v>146</v>
      </c>
      <c r="CM39">
        <v>0</v>
      </c>
      <c r="CO39">
        <v>231</v>
      </c>
      <c r="CR39">
        <v>227</v>
      </c>
      <c r="CS39" s="28">
        <f t="shared" si="9"/>
        <v>227</v>
      </c>
      <c r="CT39">
        <v>0</v>
      </c>
      <c r="DD39">
        <v>624</v>
      </c>
      <c r="DE39" s="28">
        <f t="shared" si="6"/>
        <v>624</v>
      </c>
      <c r="DF39">
        <v>0</v>
      </c>
      <c r="DJ39" t="s">
        <v>273</v>
      </c>
      <c r="DK39" s="32" t="s">
        <v>273</v>
      </c>
      <c r="DL39">
        <v>17</v>
      </c>
      <c r="DM39" s="32">
        <v>0</v>
      </c>
      <c r="DN39" t="s">
        <v>273</v>
      </c>
      <c r="DO39" s="32">
        <v>0</v>
      </c>
      <c r="DP39">
        <v>32</v>
      </c>
      <c r="DQ39" s="32">
        <v>0</v>
      </c>
      <c r="DR39">
        <v>22</v>
      </c>
      <c r="DS39" s="32">
        <v>0</v>
      </c>
      <c r="DT39" t="s">
        <v>273</v>
      </c>
      <c r="DU39" s="32" t="s">
        <v>273</v>
      </c>
      <c r="DV39">
        <v>5</v>
      </c>
      <c r="DW39" s="32">
        <v>0</v>
      </c>
      <c r="DX39">
        <v>41</v>
      </c>
      <c r="DY39" s="32">
        <v>0</v>
      </c>
      <c r="DZ39">
        <v>22</v>
      </c>
      <c r="EA39" s="32">
        <v>0</v>
      </c>
      <c r="EC39" t="s">
        <v>273</v>
      </c>
      <c r="ED39">
        <v>127</v>
      </c>
      <c r="EE39">
        <v>17</v>
      </c>
      <c r="EF39">
        <v>0</v>
      </c>
      <c r="EG39">
        <v>0</v>
      </c>
      <c r="EH39">
        <v>14</v>
      </c>
      <c r="EI39" s="32">
        <v>0</v>
      </c>
      <c r="EJ39">
        <v>3</v>
      </c>
      <c r="EK39" s="32">
        <v>0</v>
      </c>
      <c r="EL39">
        <v>25</v>
      </c>
      <c r="EM39">
        <v>123</v>
      </c>
      <c r="EN39" s="32">
        <v>0</v>
      </c>
      <c r="ES39">
        <v>254</v>
      </c>
      <c r="ET39" s="32">
        <v>0</v>
      </c>
    </row>
    <row r="40" spans="1:150" x14ac:dyDescent="0.3">
      <c r="A40" s="33">
        <v>1981</v>
      </c>
      <c r="B40" s="135">
        <v>35147</v>
      </c>
      <c r="C40" s="135">
        <v>24753</v>
      </c>
      <c r="D40" s="135">
        <f t="shared" si="10"/>
        <v>10394</v>
      </c>
      <c r="E40" s="145">
        <v>336</v>
      </c>
      <c r="F40" s="142">
        <v>1.4</v>
      </c>
      <c r="G40" s="135">
        <v>1248</v>
      </c>
      <c r="H40" s="142">
        <v>5</v>
      </c>
      <c r="I40" s="135">
        <v>1583</v>
      </c>
      <c r="J40" s="142">
        <v>6.4</v>
      </c>
      <c r="K40" s="135">
        <v>11004</v>
      </c>
      <c r="L40" s="142">
        <v>44.5</v>
      </c>
      <c r="M40" s="146">
        <v>12153</v>
      </c>
      <c r="N40" s="147">
        <v>49.1</v>
      </c>
      <c r="O40" s="143">
        <v>11292</v>
      </c>
      <c r="P40" s="144">
        <v>5129</v>
      </c>
      <c r="Q40" s="144">
        <v>16421</v>
      </c>
      <c r="R40" s="144"/>
      <c r="S40" s="141">
        <f t="shared" si="11"/>
        <v>0.65422368907730388</v>
      </c>
      <c r="T40" s="141"/>
      <c r="U40" s="142"/>
      <c r="V40" s="142"/>
      <c r="W40" s="142"/>
      <c r="X40" s="142"/>
      <c r="Y40" s="142"/>
      <c r="Z40" s="142"/>
      <c r="AA40" s="142"/>
      <c r="AB40" s="142"/>
      <c r="AC40" s="142"/>
      <c r="AD40" s="142"/>
      <c r="AE40" s="142"/>
      <c r="AF40" s="142"/>
      <c r="AG40" s="142"/>
      <c r="AH40" s="142"/>
      <c r="AI40" s="142"/>
      <c r="AJ40" s="142"/>
      <c r="AK40" s="142"/>
      <c r="AL40" s="128"/>
      <c r="AM40" s="143">
        <v>11292</v>
      </c>
      <c r="AN40" s="144">
        <v>5129</v>
      </c>
      <c r="AO40" s="144">
        <v>16421</v>
      </c>
      <c r="AQ40" s="28">
        <v>0</v>
      </c>
      <c r="AR40" s="34">
        <f t="shared" si="12"/>
        <v>0</v>
      </c>
      <c r="AS40" s="34">
        <f t="shared" si="13"/>
        <v>0</v>
      </c>
      <c r="AX40" s="22">
        <v>23</v>
      </c>
      <c r="AY40" s="22">
        <v>49</v>
      </c>
      <c r="AZ40" s="22">
        <f>SUM(AX40:AY40)</f>
        <v>72</v>
      </c>
      <c r="BA40" s="22">
        <f>AZ40</f>
        <v>72</v>
      </c>
      <c r="BC40" s="112">
        <f t="shared" ref="BC40:BC76" si="14">AX40/AN40</f>
        <v>4.4843049327354259E-3</v>
      </c>
      <c r="BD40" s="112">
        <f t="shared" ref="BD40:BD76" si="15">AY40/AM40</f>
        <v>4.3393552957846264E-3</v>
      </c>
      <c r="BF40">
        <v>275</v>
      </c>
      <c r="BI40">
        <v>264</v>
      </c>
      <c r="BJ40" s="28">
        <f t="shared" si="4"/>
        <v>264</v>
      </c>
      <c r="BK40" s="32">
        <v>0</v>
      </c>
      <c r="BM40">
        <v>831</v>
      </c>
      <c r="BP40">
        <v>746</v>
      </c>
      <c r="BQ40" s="28">
        <f t="shared" si="1"/>
        <v>746</v>
      </c>
      <c r="BR40">
        <v>0</v>
      </c>
      <c r="BT40">
        <v>140</v>
      </c>
      <c r="BW40">
        <v>130</v>
      </c>
      <c r="BX40" s="28">
        <f t="shared" si="5"/>
        <v>130</v>
      </c>
      <c r="BY40">
        <v>0</v>
      </c>
      <c r="CA40">
        <v>224</v>
      </c>
      <c r="CD40">
        <v>208</v>
      </c>
      <c r="CE40" s="28">
        <f t="shared" si="7"/>
        <v>208</v>
      </c>
      <c r="CF40" s="32">
        <v>0</v>
      </c>
      <c r="CH40">
        <v>76</v>
      </c>
      <c r="CK40">
        <v>72</v>
      </c>
      <c r="CL40" s="28">
        <f t="shared" si="8"/>
        <v>72</v>
      </c>
      <c r="CM40">
        <v>0</v>
      </c>
      <c r="CO40">
        <v>192</v>
      </c>
      <c r="CR40">
        <v>188</v>
      </c>
      <c r="CS40" s="28">
        <f t="shared" si="9"/>
        <v>188</v>
      </c>
      <c r="CT40">
        <v>0</v>
      </c>
      <c r="DD40">
        <v>852</v>
      </c>
      <c r="DE40" s="28">
        <f t="shared" si="6"/>
        <v>852</v>
      </c>
      <c r="DF40">
        <v>0</v>
      </c>
      <c r="DJ40" t="s">
        <v>273</v>
      </c>
      <c r="DK40" s="32" t="s">
        <v>273</v>
      </c>
      <c r="DL40">
        <v>107</v>
      </c>
      <c r="DM40" s="32">
        <v>0</v>
      </c>
      <c r="DN40" t="s">
        <v>273</v>
      </c>
      <c r="DO40" s="32">
        <v>0</v>
      </c>
      <c r="DP40">
        <v>190</v>
      </c>
      <c r="DQ40" s="32">
        <v>0</v>
      </c>
      <c r="DR40">
        <v>76</v>
      </c>
      <c r="DS40" s="32">
        <v>0</v>
      </c>
      <c r="DT40" t="s">
        <v>273</v>
      </c>
      <c r="DU40" s="32" t="s">
        <v>273</v>
      </c>
      <c r="DV40">
        <v>23</v>
      </c>
      <c r="DW40" s="32">
        <v>0</v>
      </c>
      <c r="DX40">
        <v>157</v>
      </c>
      <c r="DY40" s="32">
        <v>0</v>
      </c>
      <c r="DZ40">
        <v>164</v>
      </c>
      <c r="EA40" s="32">
        <v>0</v>
      </c>
      <c r="EC40" t="s">
        <v>273</v>
      </c>
      <c r="ED40">
        <v>281</v>
      </c>
      <c r="EE40">
        <v>121</v>
      </c>
      <c r="EF40">
        <v>0</v>
      </c>
      <c r="EG40" t="s">
        <v>273</v>
      </c>
      <c r="EH40">
        <v>356</v>
      </c>
      <c r="EI40" s="32">
        <v>0</v>
      </c>
      <c r="EJ40">
        <v>85</v>
      </c>
      <c r="EK40" s="32">
        <v>0</v>
      </c>
      <c r="EL40">
        <v>50</v>
      </c>
      <c r="EM40">
        <v>784</v>
      </c>
      <c r="EN40" s="32">
        <v>2.00693E-4</v>
      </c>
      <c r="ES40">
        <v>272</v>
      </c>
      <c r="ET40" s="32">
        <v>0</v>
      </c>
    </row>
    <row r="41" spans="1:150" x14ac:dyDescent="0.3">
      <c r="A41" s="33">
        <v>1982</v>
      </c>
      <c r="B41" s="135">
        <v>39908</v>
      </c>
      <c r="C41" s="135">
        <v>27601</v>
      </c>
      <c r="D41" s="135">
        <f t="shared" si="10"/>
        <v>12307</v>
      </c>
      <c r="E41" s="145">
        <v>479</v>
      </c>
      <c r="F41" s="142">
        <v>1.7</v>
      </c>
      <c r="G41" s="135">
        <v>1897</v>
      </c>
      <c r="H41" s="142">
        <v>6.9</v>
      </c>
      <c r="I41" s="135">
        <v>2376</v>
      </c>
      <c r="J41" s="142">
        <v>8.6</v>
      </c>
      <c r="K41" s="135">
        <v>13400</v>
      </c>
      <c r="L41" s="142">
        <v>48.5</v>
      </c>
      <c r="M41" s="146">
        <v>11819</v>
      </c>
      <c r="N41" s="147">
        <v>42.8</v>
      </c>
      <c r="O41" s="143">
        <v>11300</v>
      </c>
      <c r="P41" s="144">
        <v>5277</v>
      </c>
      <c r="Q41" s="144">
        <v>16577</v>
      </c>
      <c r="R41" s="144"/>
      <c r="S41" s="141">
        <f t="shared" si="11"/>
        <v>0.70384384083391804</v>
      </c>
      <c r="T41" s="141"/>
      <c r="U41" s="142"/>
      <c r="V41" s="142"/>
      <c r="W41" s="142"/>
      <c r="X41" s="142"/>
      <c r="Y41" s="142"/>
      <c r="Z41" s="142"/>
      <c r="AA41" s="142"/>
      <c r="AB41" s="142"/>
      <c r="AC41" s="142"/>
      <c r="AD41" s="142"/>
      <c r="AE41" s="142"/>
      <c r="AF41" s="142"/>
      <c r="AG41" s="142"/>
      <c r="AH41" s="142"/>
      <c r="AI41" s="142"/>
      <c r="AJ41" s="142"/>
      <c r="AK41" s="142"/>
      <c r="AL41" s="128"/>
      <c r="AM41" s="143">
        <v>11300</v>
      </c>
      <c r="AN41" s="144">
        <v>5277</v>
      </c>
      <c r="AO41" s="144">
        <v>16577</v>
      </c>
      <c r="AQ41" s="28">
        <v>0</v>
      </c>
      <c r="AR41" s="34">
        <f t="shared" si="12"/>
        <v>0</v>
      </c>
      <c r="AS41" s="34">
        <f t="shared" si="13"/>
        <v>0</v>
      </c>
      <c r="AX41" s="22">
        <v>6</v>
      </c>
      <c r="AY41" s="22">
        <v>26</v>
      </c>
      <c r="AZ41" s="22">
        <f t="shared" ref="AZ41:AZ77" si="16">SUM(AX41:AY41)</f>
        <v>32</v>
      </c>
      <c r="BA41" s="22">
        <f>BA40+AZ41</f>
        <v>104</v>
      </c>
      <c r="BC41" s="112">
        <f t="shared" si="14"/>
        <v>1.1370096645821489E-3</v>
      </c>
      <c r="BD41" s="112">
        <f t="shared" si="15"/>
        <v>2.3008849557522122E-3</v>
      </c>
      <c r="BF41">
        <v>745</v>
      </c>
      <c r="BI41">
        <v>716</v>
      </c>
      <c r="BJ41" s="28">
        <f t="shared" si="4"/>
        <v>716</v>
      </c>
      <c r="BK41" s="32">
        <v>0</v>
      </c>
      <c r="BM41">
        <v>1082</v>
      </c>
      <c r="BP41">
        <v>972</v>
      </c>
      <c r="BQ41" s="28">
        <f t="shared" si="1"/>
        <v>972</v>
      </c>
      <c r="BR41">
        <v>0</v>
      </c>
      <c r="BT41">
        <v>228</v>
      </c>
      <c r="BW41">
        <v>211</v>
      </c>
      <c r="BX41" s="28">
        <f t="shared" si="5"/>
        <v>211</v>
      </c>
      <c r="BY41">
        <v>0</v>
      </c>
      <c r="CA41">
        <v>161</v>
      </c>
      <c r="CD41">
        <v>149</v>
      </c>
      <c r="CE41" s="28">
        <f t="shared" si="7"/>
        <v>149</v>
      </c>
      <c r="CF41" s="32">
        <v>0</v>
      </c>
      <c r="CH41">
        <v>520</v>
      </c>
      <c r="CK41">
        <v>490</v>
      </c>
      <c r="CL41" s="28">
        <f t="shared" si="8"/>
        <v>490</v>
      </c>
      <c r="CM41">
        <v>0</v>
      </c>
      <c r="CO41">
        <v>260</v>
      </c>
      <c r="CR41">
        <v>255</v>
      </c>
      <c r="CS41" s="28">
        <f t="shared" si="9"/>
        <v>255</v>
      </c>
      <c r="CT41">
        <v>0</v>
      </c>
      <c r="DD41">
        <v>624</v>
      </c>
      <c r="DE41" s="28">
        <f t="shared" si="6"/>
        <v>624</v>
      </c>
      <c r="DF41">
        <v>0</v>
      </c>
      <c r="DJ41" t="s">
        <v>273</v>
      </c>
      <c r="DK41" s="32" t="s">
        <v>273</v>
      </c>
      <c r="DL41">
        <v>31</v>
      </c>
      <c r="DM41" s="32">
        <v>0</v>
      </c>
      <c r="DN41" t="s">
        <v>273</v>
      </c>
      <c r="DO41" s="32">
        <v>0</v>
      </c>
      <c r="DP41">
        <v>86</v>
      </c>
      <c r="DQ41" s="32">
        <v>0</v>
      </c>
      <c r="DR41">
        <v>56</v>
      </c>
      <c r="DS41" s="32">
        <v>0</v>
      </c>
      <c r="DT41" t="s">
        <v>273</v>
      </c>
      <c r="DU41" s="32" t="s">
        <v>273</v>
      </c>
      <c r="DV41">
        <v>9</v>
      </c>
      <c r="DW41" s="32">
        <v>0</v>
      </c>
      <c r="DX41">
        <v>86</v>
      </c>
      <c r="DY41" s="32">
        <v>0</v>
      </c>
      <c r="DZ41">
        <v>101</v>
      </c>
      <c r="EA41" s="32">
        <v>0</v>
      </c>
      <c r="EC41" t="s">
        <v>273</v>
      </c>
      <c r="ED41">
        <v>363</v>
      </c>
      <c r="EE41">
        <v>63</v>
      </c>
      <c r="EF41">
        <v>0</v>
      </c>
      <c r="EG41" t="s">
        <v>273</v>
      </c>
      <c r="EH41">
        <v>121</v>
      </c>
      <c r="EI41" s="32">
        <v>0</v>
      </c>
      <c r="EJ41">
        <v>1</v>
      </c>
      <c r="EK41" s="32">
        <v>0</v>
      </c>
      <c r="EL41">
        <v>23</v>
      </c>
      <c r="EM41">
        <v>98</v>
      </c>
      <c r="EN41" s="32">
        <v>0</v>
      </c>
      <c r="ES41">
        <v>213</v>
      </c>
      <c r="ET41" s="32">
        <v>5.7067869999999996E-3</v>
      </c>
    </row>
    <row r="42" spans="1:150" x14ac:dyDescent="0.3">
      <c r="A42" s="33">
        <v>1983</v>
      </c>
      <c r="B42" s="135">
        <v>28099</v>
      </c>
      <c r="C42" s="135">
        <v>20936</v>
      </c>
      <c r="D42" s="135">
        <f t="shared" si="10"/>
        <v>7163</v>
      </c>
      <c r="E42" s="135">
        <v>1004</v>
      </c>
      <c r="F42" s="142">
        <v>4.8</v>
      </c>
      <c r="G42" s="145">
        <v>842</v>
      </c>
      <c r="H42" s="142">
        <v>4</v>
      </c>
      <c r="I42" s="135">
        <v>1846</v>
      </c>
      <c r="J42" s="142">
        <v>8.8000000000000007</v>
      </c>
      <c r="K42" s="135">
        <v>8664</v>
      </c>
      <c r="L42" s="142">
        <v>41.4</v>
      </c>
      <c r="M42" s="146">
        <v>10424</v>
      </c>
      <c r="N42" s="147">
        <v>49.8</v>
      </c>
      <c r="O42" s="143">
        <v>9838</v>
      </c>
      <c r="P42" s="144">
        <v>3574</v>
      </c>
      <c r="Q42" s="144">
        <v>13412</v>
      </c>
      <c r="R42" s="144"/>
      <c r="S42" s="141">
        <f t="shared" si="11"/>
        <v>0.62902594398377165</v>
      </c>
      <c r="T42" s="141"/>
      <c r="U42" s="142"/>
      <c r="V42" s="142"/>
      <c r="W42" s="142"/>
      <c r="X42" s="142"/>
      <c r="Y42" s="142"/>
      <c r="Z42" s="142"/>
      <c r="AA42" s="142"/>
      <c r="AB42" s="142"/>
      <c r="AC42" s="142"/>
      <c r="AD42" s="142"/>
      <c r="AE42" s="142"/>
      <c r="AF42" s="142"/>
      <c r="AG42" s="142"/>
      <c r="AH42" s="142"/>
      <c r="AI42" s="142"/>
      <c r="AJ42" s="142"/>
      <c r="AK42" s="142"/>
      <c r="AL42" s="128"/>
      <c r="AM42" s="143">
        <v>9838</v>
      </c>
      <c r="AN42" s="144">
        <v>3574</v>
      </c>
      <c r="AO42" s="144">
        <v>13412</v>
      </c>
      <c r="AQ42" s="28">
        <v>0</v>
      </c>
      <c r="AR42" s="34">
        <f t="shared" si="12"/>
        <v>0</v>
      </c>
      <c r="AS42" s="34">
        <f t="shared" si="13"/>
        <v>0</v>
      </c>
      <c r="AX42" s="22">
        <v>7</v>
      </c>
      <c r="AY42" s="22">
        <v>31</v>
      </c>
      <c r="AZ42" s="22">
        <f t="shared" si="16"/>
        <v>38</v>
      </c>
      <c r="BA42" s="22">
        <f t="shared" ref="BA42:BA74" si="17">BA41+AZ42</f>
        <v>142</v>
      </c>
      <c r="BC42" s="112">
        <f t="shared" si="14"/>
        <v>1.9585898153329602E-3</v>
      </c>
      <c r="BD42" s="112">
        <f t="shared" si="15"/>
        <v>3.1510469607643832E-3</v>
      </c>
      <c r="BF42">
        <v>733</v>
      </c>
      <c r="BI42">
        <v>733</v>
      </c>
      <c r="BJ42" s="28">
        <f t="shared" si="4"/>
        <v>733</v>
      </c>
      <c r="BK42" s="32">
        <v>0</v>
      </c>
      <c r="BM42">
        <v>797</v>
      </c>
      <c r="BP42">
        <v>716</v>
      </c>
      <c r="BQ42" s="28">
        <f t="shared" si="1"/>
        <v>716</v>
      </c>
      <c r="BR42">
        <v>0</v>
      </c>
      <c r="BT42">
        <v>216</v>
      </c>
      <c r="BW42">
        <v>216</v>
      </c>
      <c r="BX42" s="28">
        <f t="shared" si="5"/>
        <v>216</v>
      </c>
      <c r="BY42">
        <v>0</v>
      </c>
      <c r="CA42">
        <v>190</v>
      </c>
      <c r="CD42">
        <v>190</v>
      </c>
      <c r="CE42" s="28">
        <f t="shared" si="7"/>
        <v>190</v>
      </c>
      <c r="CF42" s="32">
        <v>0</v>
      </c>
      <c r="CH42">
        <v>375</v>
      </c>
      <c r="CK42">
        <v>375</v>
      </c>
      <c r="CL42" s="28">
        <f t="shared" si="8"/>
        <v>375</v>
      </c>
      <c r="CM42">
        <v>0</v>
      </c>
      <c r="CO42">
        <v>221</v>
      </c>
      <c r="CR42">
        <v>221</v>
      </c>
      <c r="CS42" s="28">
        <f t="shared" si="9"/>
        <v>221</v>
      </c>
      <c r="CT42">
        <v>0</v>
      </c>
      <c r="DD42">
        <v>563</v>
      </c>
      <c r="DE42" s="28">
        <f t="shared" si="6"/>
        <v>563</v>
      </c>
      <c r="DF42">
        <v>0</v>
      </c>
      <c r="DJ42" t="s">
        <v>273</v>
      </c>
      <c r="DK42" s="32" t="s">
        <v>273</v>
      </c>
      <c r="DL42">
        <v>121</v>
      </c>
      <c r="DM42" s="32">
        <v>0</v>
      </c>
      <c r="DN42" t="s">
        <v>273</v>
      </c>
      <c r="DO42" s="32">
        <v>0</v>
      </c>
      <c r="DP42">
        <v>77</v>
      </c>
      <c r="DQ42" s="32">
        <v>0</v>
      </c>
      <c r="DR42">
        <v>16</v>
      </c>
      <c r="DS42" s="32">
        <v>0</v>
      </c>
      <c r="DT42" t="s">
        <v>273</v>
      </c>
      <c r="DU42" s="32" t="s">
        <v>273</v>
      </c>
      <c r="DV42">
        <v>23</v>
      </c>
      <c r="DW42" s="32">
        <v>0</v>
      </c>
      <c r="DX42">
        <v>170</v>
      </c>
      <c r="DY42" s="32">
        <v>0</v>
      </c>
      <c r="DZ42">
        <v>84</v>
      </c>
      <c r="EA42" s="32">
        <v>0</v>
      </c>
      <c r="EC42" t="s">
        <v>273</v>
      </c>
      <c r="ED42">
        <v>109</v>
      </c>
      <c r="EE42">
        <v>180</v>
      </c>
      <c r="EF42">
        <v>0</v>
      </c>
      <c r="EG42" t="s">
        <v>273</v>
      </c>
      <c r="EH42">
        <v>408</v>
      </c>
      <c r="EI42" s="32">
        <v>0</v>
      </c>
      <c r="EJ42">
        <v>13</v>
      </c>
      <c r="EK42" s="32">
        <v>0</v>
      </c>
      <c r="EL42">
        <v>94</v>
      </c>
      <c r="EM42">
        <v>137</v>
      </c>
      <c r="EN42" s="32">
        <v>0</v>
      </c>
      <c r="ES42">
        <v>390</v>
      </c>
      <c r="ET42" s="32">
        <v>1.020134E-3</v>
      </c>
    </row>
    <row r="43" spans="1:150" x14ac:dyDescent="0.3">
      <c r="A43" s="33">
        <v>1984</v>
      </c>
      <c r="B43" s="135">
        <v>20971</v>
      </c>
      <c r="C43" s="135">
        <v>14119</v>
      </c>
      <c r="D43" s="135">
        <f t="shared" si="10"/>
        <v>6852</v>
      </c>
      <c r="E43" s="145">
        <v>485</v>
      </c>
      <c r="F43" s="142">
        <v>3.4</v>
      </c>
      <c r="G43" s="145">
        <v>937</v>
      </c>
      <c r="H43" s="142">
        <v>6.6</v>
      </c>
      <c r="I43" s="135">
        <v>1422</v>
      </c>
      <c r="J43" s="142">
        <v>10.1</v>
      </c>
      <c r="K43" s="135">
        <v>4427</v>
      </c>
      <c r="L43" s="142">
        <v>31.4</v>
      </c>
      <c r="M43" s="146">
        <v>8266</v>
      </c>
      <c r="N43" s="147">
        <v>58.5</v>
      </c>
      <c r="O43" s="143">
        <v>7929</v>
      </c>
      <c r="P43" s="144">
        <v>4011</v>
      </c>
      <c r="Q43" s="144">
        <v>11940</v>
      </c>
      <c r="R43" s="144"/>
      <c r="S43" s="141">
        <f t="shared" si="11"/>
        <v>0.60583663153879175</v>
      </c>
      <c r="T43" s="141"/>
      <c r="U43" s="142"/>
      <c r="V43" s="142"/>
      <c r="W43" s="142"/>
      <c r="X43" s="142"/>
      <c r="Y43" s="142"/>
      <c r="Z43" s="142"/>
      <c r="AA43" s="142"/>
      <c r="AB43" s="142"/>
      <c r="AC43" s="142"/>
      <c r="AD43" s="142"/>
      <c r="AE43" s="142"/>
      <c r="AF43" s="142"/>
      <c r="AG43" s="142"/>
      <c r="AH43" s="142"/>
      <c r="AI43" s="142"/>
      <c r="AJ43" s="142"/>
      <c r="AK43" s="142"/>
      <c r="AL43" s="128"/>
      <c r="AM43" s="143">
        <v>7929</v>
      </c>
      <c r="AN43" s="144">
        <v>4011</v>
      </c>
      <c r="AO43" s="144">
        <v>11940</v>
      </c>
      <c r="AQ43" s="28">
        <v>0</v>
      </c>
      <c r="AR43" s="34">
        <f t="shared" si="12"/>
        <v>0</v>
      </c>
      <c r="AS43" s="34">
        <f t="shared" si="13"/>
        <v>0</v>
      </c>
      <c r="AX43" s="22">
        <v>0</v>
      </c>
      <c r="AY43" s="22">
        <v>0</v>
      </c>
      <c r="AZ43" s="22">
        <f t="shared" si="16"/>
        <v>0</v>
      </c>
      <c r="BA43" s="22">
        <f t="shared" si="17"/>
        <v>142</v>
      </c>
      <c r="BC43" s="112">
        <f t="shared" si="14"/>
        <v>0</v>
      </c>
      <c r="BD43" s="112">
        <f t="shared" si="15"/>
        <v>0</v>
      </c>
      <c r="BF43">
        <v>378</v>
      </c>
      <c r="BI43">
        <v>378</v>
      </c>
      <c r="BJ43" s="28">
        <f t="shared" si="4"/>
        <v>378</v>
      </c>
      <c r="BK43" s="32">
        <v>0</v>
      </c>
      <c r="BM43">
        <v>948</v>
      </c>
      <c r="BP43">
        <v>852</v>
      </c>
      <c r="BQ43" s="28">
        <f t="shared" si="1"/>
        <v>852</v>
      </c>
      <c r="BR43">
        <v>0</v>
      </c>
      <c r="BT43">
        <v>233</v>
      </c>
      <c r="BW43">
        <v>233</v>
      </c>
      <c r="BX43" s="28">
        <f t="shared" si="5"/>
        <v>233</v>
      </c>
      <c r="BY43">
        <v>0</v>
      </c>
      <c r="CA43">
        <v>150</v>
      </c>
      <c r="CD43">
        <v>150</v>
      </c>
      <c r="CE43" s="28">
        <f t="shared" si="7"/>
        <v>150</v>
      </c>
      <c r="CF43" s="32">
        <v>0</v>
      </c>
      <c r="CH43">
        <v>492</v>
      </c>
      <c r="CK43">
        <v>492</v>
      </c>
      <c r="CL43" s="28">
        <f t="shared" si="8"/>
        <v>492</v>
      </c>
      <c r="CM43">
        <v>0</v>
      </c>
      <c r="CO43">
        <v>115</v>
      </c>
      <c r="CR43">
        <v>115</v>
      </c>
      <c r="CS43" s="28">
        <f t="shared" si="9"/>
        <v>115</v>
      </c>
      <c r="CT43">
        <v>0</v>
      </c>
      <c r="DD43">
        <v>586</v>
      </c>
      <c r="DE43" s="28">
        <f t="shared" si="6"/>
        <v>586</v>
      </c>
      <c r="DF43">
        <v>0</v>
      </c>
      <c r="DH43">
        <v>18</v>
      </c>
      <c r="DJ43" t="s">
        <v>273</v>
      </c>
      <c r="DK43" s="32" t="s">
        <v>273</v>
      </c>
      <c r="DL43">
        <v>189</v>
      </c>
      <c r="DM43" s="32">
        <v>0</v>
      </c>
      <c r="DN43" t="s">
        <v>273</v>
      </c>
      <c r="DO43" s="32">
        <v>0</v>
      </c>
      <c r="DP43">
        <v>17</v>
      </c>
      <c r="DQ43" s="32">
        <v>0</v>
      </c>
      <c r="DR43">
        <v>9</v>
      </c>
      <c r="DS43" s="32">
        <v>0</v>
      </c>
      <c r="DT43" t="s">
        <v>273</v>
      </c>
      <c r="DU43" s="32" t="s">
        <v>273</v>
      </c>
      <c r="DV43">
        <v>0</v>
      </c>
      <c r="DW43" s="32">
        <v>0</v>
      </c>
      <c r="DX43">
        <v>149</v>
      </c>
      <c r="DY43" s="32">
        <v>0</v>
      </c>
      <c r="DZ43">
        <v>152</v>
      </c>
      <c r="EA43" s="32">
        <v>0</v>
      </c>
      <c r="EC43" t="s">
        <v>273</v>
      </c>
      <c r="ED43">
        <v>69</v>
      </c>
      <c r="EE43">
        <v>82</v>
      </c>
      <c r="EF43">
        <v>0</v>
      </c>
      <c r="EG43" t="s">
        <v>273</v>
      </c>
      <c r="EH43">
        <v>104</v>
      </c>
      <c r="EI43" s="32">
        <v>0</v>
      </c>
      <c r="EJ43" t="s">
        <v>273</v>
      </c>
      <c r="EK43" s="32" t="s">
        <v>273</v>
      </c>
      <c r="EL43">
        <v>54</v>
      </c>
      <c r="EM43">
        <v>221</v>
      </c>
      <c r="EN43" s="32">
        <v>2.2473395999999999E-3</v>
      </c>
      <c r="ES43">
        <v>260</v>
      </c>
      <c r="ET43" s="32">
        <v>2.8244501000000002E-2</v>
      </c>
    </row>
    <row r="44" spans="1:150" x14ac:dyDescent="0.3">
      <c r="A44" s="33">
        <v>1985</v>
      </c>
      <c r="B44" s="135">
        <v>40694</v>
      </c>
      <c r="C44" s="135">
        <v>14865</v>
      </c>
      <c r="D44" s="135">
        <f t="shared" si="10"/>
        <v>25829</v>
      </c>
      <c r="E44" s="145">
        <v>536</v>
      </c>
      <c r="F44" s="142">
        <v>3.6</v>
      </c>
      <c r="G44" s="145">
        <v>505</v>
      </c>
      <c r="H44" s="142">
        <v>3.4</v>
      </c>
      <c r="I44" s="135">
        <v>1041</v>
      </c>
      <c r="J44" s="142">
        <v>7</v>
      </c>
      <c r="K44" s="135">
        <v>2547</v>
      </c>
      <c r="L44" s="142">
        <v>17.100000000000001</v>
      </c>
      <c r="M44" s="146">
        <v>11273</v>
      </c>
      <c r="N44" s="147">
        <v>75.8</v>
      </c>
      <c r="O44" s="143">
        <v>10182</v>
      </c>
      <c r="P44" s="144">
        <v>20087</v>
      </c>
      <c r="Q44" s="144">
        <v>30269</v>
      </c>
      <c r="R44" s="144"/>
      <c r="S44" s="141">
        <f t="shared" si="11"/>
        <v>0.72298127488081776</v>
      </c>
      <c r="T44" s="141"/>
      <c r="U44" s="142"/>
      <c r="V44" s="142"/>
      <c r="W44" s="142"/>
      <c r="X44" s="142"/>
      <c r="Y44" s="142"/>
      <c r="Z44" s="142"/>
      <c r="AA44" s="142"/>
      <c r="AB44" s="142"/>
      <c r="AC44" s="142"/>
      <c r="AD44" s="142"/>
      <c r="AE44" s="142"/>
      <c r="AF44" s="142"/>
      <c r="AG44" s="142"/>
      <c r="AH44" s="142"/>
      <c r="AI44" s="142"/>
      <c r="AJ44" s="142"/>
      <c r="AK44" s="142"/>
      <c r="AL44" s="128"/>
      <c r="AM44" s="143">
        <v>10182</v>
      </c>
      <c r="AN44" s="144">
        <v>20087</v>
      </c>
      <c r="AO44" s="144">
        <v>30269</v>
      </c>
      <c r="AQ44" s="28">
        <v>2328</v>
      </c>
      <c r="AR44" s="34">
        <f t="shared" si="12"/>
        <v>0.11589585303927914</v>
      </c>
      <c r="AS44" s="34">
        <f t="shared" si="13"/>
        <v>9.0131247822215335E-2</v>
      </c>
      <c r="AX44" s="22">
        <v>400</v>
      </c>
      <c r="AY44" s="22">
        <v>0</v>
      </c>
      <c r="AZ44" s="22">
        <f t="shared" si="16"/>
        <v>400</v>
      </c>
      <c r="BA44" s="22">
        <f t="shared" si="17"/>
        <v>542</v>
      </c>
      <c r="BC44" s="112">
        <f t="shared" si="14"/>
        <v>1.9913376810872702E-2</v>
      </c>
      <c r="BD44" s="112">
        <f t="shared" si="15"/>
        <v>0</v>
      </c>
      <c r="BF44">
        <v>386</v>
      </c>
      <c r="BI44">
        <v>371</v>
      </c>
      <c r="BJ44" s="28">
        <f t="shared" si="4"/>
        <v>371</v>
      </c>
      <c r="BK44" s="32">
        <v>0</v>
      </c>
      <c r="BM44">
        <v>1459</v>
      </c>
      <c r="BP44">
        <v>1147</v>
      </c>
      <c r="BQ44" s="28">
        <f t="shared" si="1"/>
        <v>1147</v>
      </c>
      <c r="BR44">
        <v>0</v>
      </c>
      <c r="BT44">
        <v>1209</v>
      </c>
      <c r="BW44">
        <v>1163</v>
      </c>
      <c r="BX44" s="28">
        <f t="shared" si="5"/>
        <v>1163</v>
      </c>
      <c r="BY44">
        <v>0</v>
      </c>
      <c r="CA44">
        <v>345</v>
      </c>
      <c r="CD44">
        <v>332</v>
      </c>
      <c r="CE44" s="28">
        <f t="shared" si="7"/>
        <v>332</v>
      </c>
      <c r="CF44" s="32">
        <v>0</v>
      </c>
      <c r="CH44">
        <v>675</v>
      </c>
      <c r="CK44">
        <v>649</v>
      </c>
      <c r="CL44" s="28">
        <f t="shared" si="8"/>
        <v>649</v>
      </c>
      <c r="CM44">
        <v>0</v>
      </c>
      <c r="CO44">
        <v>346</v>
      </c>
      <c r="CR44">
        <v>333</v>
      </c>
      <c r="CS44" s="28">
        <f t="shared" si="9"/>
        <v>333</v>
      </c>
      <c r="CT44">
        <v>0</v>
      </c>
      <c r="CV44" s="145">
        <v>219</v>
      </c>
      <c r="CW44" s="145">
        <v>2.6</v>
      </c>
      <c r="CX44" s="145">
        <v>569</v>
      </c>
      <c r="CY44" s="145">
        <v>22</v>
      </c>
      <c r="CZ44" s="145">
        <v>0</v>
      </c>
      <c r="DA44" s="145">
        <v>591</v>
      </c>
      <c r="DB44" s="145">
        <v>100</v>
      </c>
      <c r="DD44">
        <v>695</v>
      </c>
      <c r="DE44" s="28">
        <f t="shared" si="6"/>
        <v>695</v>
      </c>
      <c r="DF44">
        <v>0</v>
      </c>
      <c r="DH44">
        <v>2</v>
      </c>
      <c r="DJ44">
        <v>284</v>
      </c>
      <c r="DK44" s="32">
        <v>0</v>
      </c>
      <c r="DL44">
        <v>341</v>
      </c>
      <c r="DM44" s="32">
        <v>0</v>
      </c>
      <c r="DN44" t="s">
        <v>273</v>
      </c>
      <c r="DO44" s="32">
        <v>0</v>
      </c>
      <c r="DP44">
        <v>65</v>
      </c>
      <c r="DQ44" s="32">
        <v>0</v>
      </c>
      <c r="DR44">
        <v>71</v>
      </c>
      <c r="DS44" s="32">
        <v>0</v>
      </c>
      <c r="DT44" t="s">
        <v>273</v>
      </c>
      <c r="DU44" s="32" t="s">
        <v>273</v>
      </c>
      <c r="DV44">
        <v>33</v>
      </c>
      <c r="DW44" s="32">
        <v>0</v>
      </c>
      <c r="DX44">
        <v>306</v>
      </c>
      <c r="DY44" s="32">
        <v>0</v>
      </c>
      <c r="DZ44">
        <v>281</v>
      </c>
      <c r="EA44" s="32">
        <v>0</v>
      </c>
      <c r="EC44" t="s">
        <v>273</v>
      </c>
      <c r="ED44">
        <v>184</v>
      </c>
      <c r="EE44">
        <v>133</v>
      </c>
      <c r="EF44">
        <v>0</v>
      </c>
      <c r="EG44" t="s">
        <v>273</v>
      </c>
      <c r="EH44">
        <v>202</v>
      </c>
      <c r="EI44" s="32">
        <v>0</v>
      </c>
      <c r="EJ44">
        <v>10</v>
      </c>
      <c r="EK44" s="32">
        <v>0</v>
      </c>
      <c r="EL44">
        <v>4</v>
      </c>
      <c r="EM44">
        <v>402</v>
      </c>
      <c r="EN44" s="32">
        <v>2.2418259999999999E-2</v>
      </c>
      <c r="ES44">
        <v>434</v>
      </c>
      <c r="ET44" s="32">
        <v>2.7375672E-2</v>
      </c>
    </row>
    <row r="45" spans="1:150" x14ac:dyDescent="0.3">
      <c r="A45" s="33">
        <v>1986</v>
      </c>
      <c r="B45" s="135">
        <v>64510</v>
      </c>
      <c r="C45" s="135">
        <v>20085</v>
      </c>
      <c r="D45" s="135">
        <f t="shared" si="10"/>
        <v>44425</v>
      </c>
      <c r="E45" s="145">
        <v>409</v>
      </c>
      <c r="F45" s="142">
        <v>2</v>
      </c>
      <c r="G45" s="135">
        <v>1164</v>
      </c>
      <c r="H45" s="142">
        <v>5.8</v>
      </c>
      <c r="I45" s="135">
        <v>1574</v>
      </c>
      <c r="J45" s="142">
        <v>7.8</v>
      </c>
      <c r="K45" s="135">
        <v>6517</v>
      </c>
      <c r="L45" s="142">
        <v>32.4</v>
      </c>
      <c r="M45" s="146">
        <v>11989</v>
      </c>
      <c r="N45" s="147">
        <v>59.7</v>
      </c>
      <c r="O45" s="143">
        <v>10109</v>
      </c>
      <c r="P45" s="144">
        <v>27767</v>
      </c>
      <c r="Q45" s="144">
        <v>37876</v>
      </c>
      <c r="R45" s="144"/>
      <c r="S45" s="141">
        <f t="shared" si="11"/>
        <v>0.8141528445202294</v>
      </c>
      <c r="T45" s="141"/>
      <c r="U45" s="142"/>
      <c r="V45" s="142"/>
      <c r="W45" s="142"/>
      <c r="X45" s="142"/>
      <c r="Y45" s="142"/>
      <c r="Z45" s="142"/>
      <c r="AA45" s="142"/>
      <c r="AB45" s="142"/>
      <c r="AC45" s="142"/>
      <c r="AD45" s="142"/>
      <c r="AE45" s="142"/>
      <c r="AF45" s="142"/>
      <c r="AG45" s="142"/>
      <c r="AH45" s="142"/>
      <c r="AI45" s="142"/>
      <c r="AJ45" s="142"/>
      <c r="AK45" s="142"/>
      <c r="AL45" s="128"/>
      <c r="AM45" s="143">
        <v>10109</v>
      </c>
      <c r="AN45" s="144">
        <v>27767</v>
      </c>
      <c r="AO45" s="144">
        <v>37876</v>
      </c>
      <c r="AQ45" s="28">
        <v>2290</v>
      </c>
      <c r="AR45" s="34">
        <f t="shared" si="12"/>
        <v>8.2471999135664636E-2</v>
      </c>
      <c r="AS45" s="34">
        <f t="shared" si="13"/>
        <v>5.1547552054023636E-2</v>
      </c>
      <c r="AX45" s="22">
        <v>1000</v>
      </c>
      <c r="AY45" s="22">
        <v>0</v>
      </c>
      <c r="AZ45" s="22">
        <f t="shared" si="16"/>
        <v>1000</v>
      </c>
      <c r="BA45" s="22">
        <f t="shared" si="17"/>
        <v>1542</v>
      </c>
      <c r="BC45" s="112">
        <f t="shared" si="14"/>
        <v>3.6013973421687613E-2</v>
      </c>
      <c r="BD45" s="112">
        <f t="shared" si="15"/>
        <v>0</v>
      </c>
      <c r="BF45">
        <v>319</v>
      </c>
      <c r="BI45">
        <v>310</v>
      </c>
      <c r="BJ45" s="28">
        <f t="shared" si="4"/>
        <v>372.14885954381754</v>
      </c>
      <c r="BK45" s="32">
        <v>0.16700000000000001</v>
      </c>
      <c r="BM45">
        <v>721</v>
      </c>
      <c r="BP45">
        <v>671</v>
      </c>
      <c r="BQ45" s="28">
        <f t="shared" si="1"/>
        <v>702.98585646935567</v>
      </c>
      <c r="BR45">
        <v>4.5499999999999999E-2</v>
      </c>
      <c r="BT45">
        <v>328</v>
      </c>
      <c r="BW45">
        <v>322</v>
      </c>
      <c r="BX45" s="28">
        <f t="shared" si="5"/>
        <v>649.19354838709683</v>
      </c>
      <c r="BY45">
        <v>0.504</v>
      </c>
      <c r="CA45">
        <v>183</v>
      </c>
      <c r="CD45">
        <v>181</v>
      </c>
      <c r="CE45" s="28">
        <f t="shared" si="7"/>
        <v>204.0586245772266</v>
      </c>
      <c r="CF45" s="32">
        <v>0.113</v>
      </c>
      <c r="CH45">
        <v>322</v>
      </c>
      <c r="CK45">
        <v>317</v>
      </c>
      <c r="CL45" s="28">
        <f t="shared" si="8"/>
        <v>412.09998351600069</v>
      </c>
      <c r="CM45">
        <v>0.23076920000000001</v>
      </c>
      <c r="CO45">
        <v>654</v>
      </c>
      <c r="CR45">
        <v>642</v>
      </c>
      <c r="CS45" s="28">
        <f t="shared" si="9"/>
        <v>642</v>
      </c>
      <c r="CT45">
        <v>0</v>
      </c>
      <c r="CV45" s="145">
        <v>200</v>
      </c>
      <c r="CW45" s="145">
        <v>2.6</v>
      </c>
      <c r="CX45" s="145">
        <v>520</v>
      </c>
      <c r="CY45" s="145">
        <v>116</v>
      </c>
      <c r="CZ45" s="145">
        <v>0</v>
      </c>
      <c r="DA45" s="145">
        <v>636</v>
      </c>
      <c r="DB45" s="145">
        <v>100</v>
      </c>
      <c r="DD45">
        <v>440</v>
      </c>
      <c r="DE45" s="28">
        <f t="shared" si="6"/>
        <v>440</v>
      </c>
      <c r="DF45">
        <v>0</v>
      </c>
      <c r="DH45">
        <v>2</v>
      </c>
      <c r="DJ45" t="s">
        <v>273</v>
      </c>
      <c r="DK45" s="32" t="s">
        <v>273</v>
      </c>
      <c r="DL45">
        <v>325</v>
      </c>
      <c r="DM45" s="32">
        <v>0</v>
      </c>
      <c r="DN45" t="s">
        <v>273</v>
      </c>
      <c r="DO45" s="32">
        <v>0</v>
      </c>
      <c r="DP45">
        <v>32</v>
      </c>
      <c r="DQ45" s="32">
        <v>0</v>
      </c>
      <c r="DR45">
        <v>51</v>
      </c>
      <c r="DS45" s="32">
        <v>0</v>
      </c>
      <c r="DT45" t="s">
        <v>273</v>
      </c>
      <c r="DU45" s="32" t="s">
        <v>273</v>
      </c>
      <c r="DV45">
        <v>210</v>
      </c>
      <c r="DW45" s="32">
        <v>0</v>
      </c>
      <c r="DX45">
        <v>233</v>
      </c>
      <c r="DY45" s="32">
        <v>0</v>
      </c>
      <c r="DZ45">
        <v>254</v>
      </c>
      <c r="EA45" s="32">
        <v>0</v>
      </c>
      <c r="EC45" t="s">
        <v>273</v>
      </c>
      <c r="ED45">
        <v>310</v>
      </c>
      <c r="EE45">
        <v>168</v>
      </c>
      <c r="EF45">
        <v>0</v>
      </c>
      <c r="EG45" t="s">
        <v>273</v>
      </c>
      <c r="EH45">
        <v>320</v>
      </c>
      <c r="EI45" s="32">
        <v>0</v>
      </c>
      <c r="EJ45">
        <v>41</v>
      </c>
      <c r="EK45" s="32">
        <v>0</v>
      </c>
      <c r="EL45">
        <v>81</v>
      </c>
      <c r="EM45">
        <v>507</v>
      </c>
      <c r="EN45" s="32">
        <v>2.5293858999999998E-2</v>
      </c>
      <c r="ES45">
        <v>470</v>
      </c>
      <c r="ET45" s="32">
        <v>2.5590653000000001E-2</v>
      </c>
    </row>
    <row r="46" spans="1:150" x14ac:dyDescent="0.3">
      <c r="A46" s="33">
        <v>1987</v>
      </c>
      <c r="B46" s="135">
        <v>52284</v>
      </c>
      <c r="C46" s="135">
        <v>15870</v>
      </c>
      <c r="D46" s="135">
        <f t="shared" si="10"/>
        <v>36414</v>
      </c>
      <c r="E46" s="145">
        <v>244</v>
      </c>
      <c r="F46" s="142">
        <v>1.5</v>
      </c>
      <c r="G46" s="145">
        <v>958</v>
      </c>
      <c r="H46" s="142">
        <v>6</v>
      </c>
      <c r="I46" s="135">
        <v>1203</v>
      </c>
      <c r="J46" s="142">
        <v>7.6</v>
      </c>
      <c r="K46" s="135">
        <v>3948</v>
      </c>
      <c r="L46" s="142">
        <v>24.9</v>
      </c>
      <c r="M46" s="146">
        <v>10716</v>
      </c>
      <c r="N46" s="147">
        <v>67.5</v>
      </c>
      <c r="O46" s="143">
        <v>9622</v>
      </c>
      <c r="P46" s="144">
        <v>25104</v>
      </c>
      <c r="Q46" s="144">
        <v>34726</v>
      </c>
      <c r="R46" s="144"/>
      <c r="S46" s="141">
        <f t="shared" si="11"/>
        <v>0.79504246040853799</v>
      </c>
      <c r="T46" s="141"/>
      <c r="U46" s="142"/>
      <c r="V46" s="142"/>
      <c r="W46" s="142"/>
      <c r="X46" s="142"/>
      <c r="Y46" s="142"/>
      <c r="Z46" s="142"/>
      <c r="AA46" s="142"/>
      <c r="AB46" s="142"/>
      <c r="AC46" s="142"/>
      <c r="AD46" s="142"/>
      <c r="AE46" s="142"/>
      <c r="AF46" s="142"/>
      <c r="AG46" s="142"/>
      <c r="AH46" s="142"/>
      <c r="AI46" s="142"/>
      <c r="AJ46" s="142"/>
      <c r="AK46" s="142"/>
      <c r="AL46" s="128"/>
      <c r="AM46" s="143">
        <v>9622</v>
      </c>
      <c r="AN46" s="144">
        <v>25104</v>
      </c>
      <c r="AO46" s="144">
        <v>34726</v>
      </c>
      <c r="AQ46" s="28">
        <v>422</v>
      </c>
      <c r="AR46" s="34">
        <f t="shared" si="12"/>
        <v>1.6810070108349267E-2</v>
      </c>
      <c r="AS46" s="34">
        <f t="shared" si="13"/>
        <v>1.158894930521228E-2</v>
      </c>
      <c r="AV46" s="91">
        <f t="shared" ref="AV46:AV75" si="18">AR46*0.05</f>
        <v>8.4050350541746335E-4</v>
      </c>
      <c r="AX46" s="22">
        <v>448</v>
      </c>
      <c r="AY46" s="22">
        <v>11</v>
      </c>
      <c r="AZ46" s="22">
        <f t="shared" si="16"/>
        <v>459</v>
      </c>
      <c r="BA46" s="22">
        <f t="shared" si="17"/>
        <v>2001</v>
      </c>
      <c r="BC46" s="112">
        <f t="shared" si="14"/>
        <v>1.7845761631612493E-2</v>
      </c>
      <c r="BD46" s="112">
        <f t="shared" si="15"/>
        <v>1.1432134691332363E-3</v>
      </c>
      <c r="BF46">
        <v>152</v>
      </c>
      <c r="BI46">
        <v>149</v>
      </c>
      <c r="BJ46" s="28">
        <f t="shared" si="4"/>
        <v>668.16143497757855</v>
      </c>
      <c r="BK46" s="32">
        <v>0.77700000000000002</v>
      </c>
      <c r="BM46">
        <v>452</v>
      </c>
      <c r="BP46">
        <v>440</v>
      </c>
      <c r="BQ46" s="28">
        <f t="shared" si="1"/>
        <v>455.01551189245089</v>
      </c>
      <c r="BR46">
        <v>3.3000000000000002E-2</v>
      </c>
      <c r="BT46">
        <v>454</v>
      </c>
      <c r="BW46">
        <v>449</v>
      </c>
      <c r="BX46" s="28">
        <f t="shared" si="5"/>
        <v>892.64413518886681</v>
      </c>
      <c r="BY46">
        <v>0.497</v>
      </c>
      <c r="CA46">
        <v>125</v>
      </c>
      <c r="CD46">
        <v>125</v>
      </c>
      <c r="CE46" s="28">
        <f t="shared" si="7"/>
        <v>690.60773480662965</v>
      </c>
      <c r="CF46" s="32">
        <v>0.81899999999999995</v>
      </c>
      <c r="CH46">
        <v>435</v>
      </c>
      <c r="CK46">
        <v>435</v>
      </c>
      <c r="CL46" s="28">
        <f t="shared" si="8"/>
        <v>639.70588235294122</v>
      </c>
      <c r="CM46">
        <v>0.32</v>
      </c>
      <c r="CO46">
        <v>48</v>
      </c>
      <c r="CR46">
        <v>48</v>
      </c>
      <c r="CS46" s="28">
        <f t="shared" si="9"/>
        <v>539.32584269662937</v>
      </c>
      <c r="CT46">
        <v>0.91100000000000003</v>
      </c>
      <c r="CV46" s="145">
        <v>185</v>
      </c>
      <c r="CW46" s="145">
        <v>2.6</v>
      </c>
      <c r="CX46" s="145">
        <v>481</v>
      </c>
      <c r="CY46" s="145">
        <v>101</v>
      </c>
      <c r="CZ46" s="145">
        <v>0</v>
      </c>
      <c r="DA46" s="145">
        <v>582</v>
      </c>
      <c r="DB46" s="145">
        <v>100</v>
      </c>
      <c r="DD46">
        <v>407</v>
      </c>
      <c r="DE46" s="28">
        <f t="shared" si="6"/>
        <v>407</v>
      </c>
      <c r="DF46">
        <v>0</v>
      </c>
      <c r="DH46">
        <v>2</v>
      </c>
      <c r="DJ46">
        <v>272</v>
      </c>
      <c r="DK46" s="32">
        <v>0</v>
      </c>
      <c r="DL46">
        <v>174</v>
      </c>
      <c r="DM46" s="32">
        <v>0</v>
      </c>
      <c r="DN46">
        <v>3</v>
      </c>
      <c r="DO46" s="32">
        <v>0</v>
      </c>
      <c r="DP46">
        <v>99</v>
      </c>
      <c r="DQ46" s="32">
        <v>0</v>
      </c>
      <c r="DR46">
        <v>58</v>
      </c>
      <c r="DS46" s="32">
        <v>0</v>
      </c>
      <c r="DT46" t="s">
        <v>273</v>
      </c>
      <c r="DU46" s="32" t="s">
        <v>273</v>
      </c>
      <c r="DV46">
        <v>36</v>
      </c>
      <c r="DW46" s="32">
        <v>0</v>
      </c>
      <c r="DX46">
        <v>473</v>
      </c>
      <c r="DY46" s="32">
        <v>0</v>
      </c>
      <c r="DZ46">
        <v>388</v>
      </c>
      <c r="EA46" s="32">
        <v>0</v>
      </c>
      <c r="EC46" t="s">
        <v>273</v>
      </c>
      <c r="ED46">
        <v>306</v>
      </c>
      <c r="EE46">
        <v>325</v>
      </c>
      <c r="EF46">
        <v>0</v>
      </c>
      <c r="EG46" t="s">
        <v>273</v>
      </c>
      <c r="EH46">
        <v>397</v>
      </c>
      <c r="EI46" s="32">
        <v>0</v>
      </c>
      <c r="EJ46">
        <v>34</v>
      </c>
      <c r="EK46" s="32">
        <v>0</v>
      </c>
      <c r="EL46">
        <v>238</v>
      </c>
      <c r="EM46">
        <v>428</v>
      </c>
      <c r="EN46" s="32">
        <v>1.0502269999999999E-2</v>
      </c>
      <c r="ES46">
        <v>1323</v>
      </c>
      <c r="ET46" s="32">
        <v>9.7193760000000001E-3</v>
      </c>
    </row>
    <row r="47" spans="1:150" x14ac:dyDescent="0.3">
      <c r="A47" s="33">
        <v>1988</v>
      </c>
      <c r="B47" s="135">
        <v>54076</v>
      </c>
      <c r="C47" s="135">
        <v>17368</v>
      </c>
      <c r="D47" s="135">
        <f t="shared" si="10"/>
        <v>36708</v>
      </c>
      <c r="E47" s="135">
        <v>1108</v>
      </c>
      <c r="F47" s="142">
        <v>6.4</v>
      </c>
      <c r="G47" s="135">
        <v>1148</v>
      </c>
      <c r="H47" s="142">
        <v>6.6</v>
      </c>
      <c r="I47" s="135">
        <v>2256</v>
      </c>
      <c r="J47" s="142">
        <v>13</v>
      </c>
      <c r="K47" s="135">
        <v>3536</v>
      </c>
      <c r="L47" s="142">
        <v>20.399999999999999</v>
      </c>
      <c r="M47" s="146">
        <v>11573</v>
      </c>
      <c r="N47" s="147">
        <v>66.599999999999994</v>
      </c>
      <c r="O47" s="143">
        <v>10826</v>
      </c>
      <c r="P47" s="144">
        <v>24814</v>
      </c>
      <c r="Q47" s="144">
        <v>35640</v>
      </c>
      <c r="R47" s="144"/>
      <c r="S47" s="141">
        <f t="shared" si="11"/>
        <v>0.78598638952585254</v>
      </c>
      <c r="T47" s="141"/>
      <c r="U47" s="142"/>
      <c r="V47" s="142"/>
      <c r="W47" s="142"/>
      <c r="X47" s="142"/>
      <c r="Y47" s="142"/>
      <c r="Z47" s="142"/>
      <c r="AA47" s="142"/>
      <c r="AB47" s="142"/>
      <c r="AC47" s="142"/>
      <c r="AD47" s="142"/>
      <c r="AE47" s="142"/>
      <c r="AF47" s="142"/>
      <c r="AG47" s="142"/>
      <c r="AH47" s="142"/>
      <c r="AI47" s="142"/>
      <c r="AJ47" s="142"/>
      <c r="AK47" s="142"/>
      <c r="AL47" s="128"/>
      <c r="AM47" s="143">
        <v>10826</v>
      </c>
      <c r="AN47" s="144">
        <v>24814</v>
      </c>
      <c r="AO47" s="144">
        <v>35640</v>
      </c>
      <c r="AQ47" s="28">
        <v>692</v>
      </c>
      <c r="AR47" s="34">
        <f t="shared" si="12"/>
        <v>2.7887482872571936E-2</v>
      </c>
      <c r="AS47" s="34">
        <f t="shared" si="13"/>
        <v>1.8851476517380408E-2</v>
      </c>
      <c r="AV47" s="91">
        <f t="shared" si="18"/>
        <v>1.394374143628597E-3</v>
      </c>
      <c r="AX47" s="22">
        <v>365</v>
      </c>
      <c r="AY47" s="22">
        <v>20</v>
      </c>
      <c r="AZ47" s="22">
        <f t="shared" si="16"/>
        <v>385</v>
      </c>
      <c r="BA47" s="22">
        <f t="shared" si="17"/>
        <v>2386</v>
      </c>
      <c r="BC47" s="112">
        <f t="shared" si="14"/>
        <v>1.4709438220359474E-2</v>
      </c>
      <c r="BD47" s="112">
        <f t="shared" si="15"/>
        <v>1.8474043968224644E-3</v>
      </c>
      <c r="BF47">
        <v>163</v>
      </c>
      <c r="BI47">
        <v>160</v>
      </c>
      <c r="BJ47" s="28">
        <f t="shared" si="4"/>
        <v>675.10548523206751</v>
      </c>
      <c r="BK47" s="32">
        <v>0.76300000000000001</v>
      </c>
      <c r="BM47">
        <v>596</v>
      </c>
      <c r="BP47">
        <v>557</v>
      </c>
      <c r="BQ47" s="28">
        <f t="shared" si="1"/>
        <v>613.03103675985039</v>
      </c>
      <c r="BR47">
        <v>9.1399999999999995E-2</v>
      </c>
      <c r="BT47">
        <v>542</v>
      </c>
      <c r="BW47">
        <v>524</v>
      </c>
      <c r="BX47" s="28">
        <f t="shared" si="5"/>
        <v>842.44372990353702</v>
      </c>
      <c r="BY47">
        <v>0.378</v>
      </c>
      <c r="CA47">
        <v>43</v>
      </c>
      <c r="CD47">
        <v>41</v>
      </c>
      <c r="CE47" s="28">
        <f t="shared" si="7"/>
        <v>539.47368421052659</v>
      </c>
      <c r="CF47" s="32">
        <v>0.92400000000000004</v>
      </c>
      <c r="CH47">
        <v>532</v>
      </c>
      <c r="CK47">
        <v>532</v>
      </c>
      <c r="CL47" s="28">
        <f t="shared" si="8"/>
        <v>975.33341461111797</v>
      </c>
      <c r="CM47">
        <v>0.45454549999999999</v>
      </c>
      <c r="CO47">
        <v>168</v>
      </c>
      <c r="CR47">
        <v>168</v>
      </c>
      <c r="CS47" s="28">
        <f t="shared" si="9"/>
        <v>599.99999999999989</v>
      </c>
      <c r="CT47">
        <v>0.72</v>
      </c>
      <c r="CV47" s="145">
        <v>117</v>
      </c>
      <c r="CW47" s="145">
        <v>2.6</v>
      </c>
      <c r="CX47" s="145">
        <v>304</v>
      </c>
      <c r="CY47" s="145">
        <v>125</v>
      </c>
      <c r="CZ47" s="145">
        <v>0</v>
      </c>
      <c r="DA47" s="145">
        <v>429</v>
      </c>
      <c r="DB47" s="145">
        <v>96</v>
      </c>
      <c r="DD47">
        <v>257</v>
      </c>
      <c r="DE47" s="28">
        <f t="shared" si="6"/>
        <v>257</v>
      </c>
      <c r="DF47">
        <v>0</v>
      </c>
      <c r="DH47" t="s">
        <v>273</v>
      </c>
      <c r="DJ47">
        <v>295</v>
      </c>
      <c r="DK47" s="32">
        <v>0</v>
      </c>
      <c r="DL47">
        <v>490</v>
      </c>
      <c r="DM47" s="32">
        <v>0</v>
      </c>
      <c r="DN47" t="s">
        <v>273</v>
      </c>
      <c r="DO47" s="32">
        <v>0</v>
      </c>
      <c r="DP47" t="s">
        <v>273</v>
      </c>
      <c r="DQ47" s="32" t="s">
        <v>273</v>
      </c>
      <c r="DR47">
        <v>24</v>
      </c>
      <c r="DS47" s="32">
        <v>0</v>
      </c>
      <c r="DT47" t="s">
        <v>273</v>
      </c>
      <c r="DU47" s="32" t="s">
        <v>273</v>
      </c>
      <c r="DV47">
        <v>302</v>
      </c>
      <c r="DW47" s="32">
        <v>0</v>
      </c>
      <c r="DX47">
        <v>1159</v>
      </c>
      <c r="DY47" s="32">
        <v>0</v>
      </c>
      <c r="DZ47">
        <v>565</v>
      </c>
      <c r="EA47" s="32">
        <v>0</v>
      </c>
      <c r="EC47" t="s">
        <v>273</v>
      </c>
      <c r="ED47">
        <v>354</v>
      </c>
      <c r="EE47">
        <v>243</v>
      </c>
      <c r="EF47">
        <v>0</v>
      </c>
      <c r="EG47" t="s">
        <v>273</v>
      </c>
      <c r="EH47">
        <v>493</v>
      </c>
      <c r="EI47" s="32">
        <v>5.4246929999999995E-4</v>
      </c>
      <c r="EJ47">
        <v>5</v>
      </c>
      <c r="EK47" s="32">
        <v>0</v>
      </c>
      <c r="EL47">
        <v>119</v>
      </c>
      <c r="EM47">
        <v>580</v>
      </c>
      <c r="EN47" s="32">
        <v>1.0981084999999999E-3</v>
      </c>
      <c r="ES47">
        <v>1221</v>
      </c>
      <c r="ET47" s="32">
        <v>4.945863E-3</v>
      </c>
    </row>
    <row r="48" spans="1:150" x14ac:dyDescent="0.3">
      <c r="A48" s="33">
        <v>1989</v>
      </c>
      <c r="B48" s="135">
        <v>35477</v>
      </c>
      <c r="C48" s="135">
        <v>14707</v>
      </c>
      <c r="D48" s="135">
        <f t="shared" si="10"/>
        <v>20770</v>
      </c>
      <c r="E48" s="145">
        <v>348</v>
      </c>
      <c r="F48" s="142">
        <v>2.4</v>
      </c>
      <c r="G48" s="135">
        <v>1099</v>
      </c>
      <c r="H48" s="142">
        <v>7.5</v>
      </c>
      <c r="I48" s="135">
        <v>1447</v>
      </c>
      <c r="J48" s="142">
        <v>9.8000000000000007</v>
      </c>
      <c r="K48" s="135">
        <v>6424</v>
      </c>
      <c r="L48" s="142">
        <v>43.7</v>
      </c>
      <c r="M48" s="146">
        <v>6833</v>
      </c>
      <c r="N48" s="147">
        <v>46.5</v>
      </c>
      <c r="O48" s="143">
        <v>6454</v>
      </c>
      <c r="P48" s="144">
        <v>9670</v>
      </c>
      <c r="Q48" s="144">
        <v>16124</v>
      </c>
      <c r="R48" s="144"/>
      <c r="S48" s="141">
        <f t="shared" si="11"/>
        <v>0.80739634129154103</v>
      </c>
      <c r="T48" s="141"/>
      <c r="U48" s="142"/>
      <c r="V48" s="142"/>
      <c r="W48" s="142"/>
      <c r="X48" s="142"/>
      <c r="Y48" s="142"/>
      <c r="Z48" s="142"/>
      <c r="AA48" s="142"/>
      <c r="AB48" s="142"/>
      <c r="AC48" s="142"/>
      <c r="AD48" s="142"/>
      <c r="AE48" s="142"/>
      <c r="AF48" s="142"/>
      <c r="AG48" s="142"/>
      <c r="AH48" s="142"/>
      <c r="AI48" s="142"/>
      <c r="AJ48" s="142"/>
      <c r="AK48" s="142"/>
      <c r="AL48" s="128"/>
      <c r="AM48" s="143">
        <v>6454</v>
      </c>
      <c r="AN48" s="144">
        <v>9670</v>
      </c>
      <c r="AO48" s="144">
        <v>16124</v>
      </c>
      <c r="AQ48" s="28">
        <v>0</v>
      </c>
      <c r="AR48" s="34">
        <f t="shared" si="12"/>
        <v>0</v>
      </c>
      <c r="AS48" s="34">
        <f t="shared" si="13"/>
        <v>0</v>
      </c>
      <c r="AV48" s="91">
        <f t="shared" si="18"/>
        <v>0</v>
      </c>
      <c r="AX48" s="22">
        <v>41</v>
      </c>
      <c r="AY48" s="22">
        <v>10</v>
      </c>
      <c r="AZ48" s="22">
        <f t="shared" si="16"/>
        <v>51</v>
      </c>
      <c r="BA48" s="22">
        <f t="shared" si="17"/>
        <v>2437</v>
      </c>
      <c r="BC48" s="112">
        <f t="shared" si="14"/>
        <v>4.2399172699069286E-3</v>
      </c>
      <c r="BD48" s="112">
        <f t="shared" si="15"/>
        <v>1.5494267121165168E-3</v>
      </c>
      <c r="BF48">
        <v>72</v>
      </c>
      <c r="BI48">
        <v>72</v>
      </c>
      <c r="BJ48" s="28">
        <f t="shared" si="4"/>
        <v>184.14322250639387</v>
      </c>
      <c r="BK48" s="32">
        <v>0.60899999999999999</v>
      </c>
      <c r="BM48">
        <v>255</v>
      </c>
      <c r="BP48">
        <v>207</v>
      </c>
      <c r="BQ48" s="28">
        <f t="shared" si="1"/>
        <v>241.99205050268881</v>
      </c>
      <c r="BR48">
        <v>0.14460000000000001</v>
      </c>
      <c r="BT48">
        <v>319</v>
      </c>
      <c r="BW48">
        <v>307</v>
      </c>
      <c r="BX48" s="28">
        <f t="shared" si="5"/>
        <v>307</v>
      </c>
      <c r="BY48">
        <v>0</v>
      </c>
      <c r="CA48">
        <v>0</v>
      </c>
      <c r="CD48">
        <v>0</v>
      </c>
      <c r="CE48" s="28">
        <v>0</v>
      </c>
      <c r="CH48">
        <v>70</v>
      </c>
      <c r="CK48">
        <v>64</v>
      </c>
      <c r="CL48" s="28">
        <f t="shared" si="8"/>
        <v>272.00002040000157</v>
      </c>
      <c r="CM48">
        <v>0.76470590000000005</v>
      </c>
      <c r="CO48">
        <v>49</v>
      </c>
      <c r="CR48">
        <v>46</v>
      </c>
      <c r="CS48" s="28">
        <f t="shared" si="9"/>
        <v>61.007957559681699</v>
      </c>
      <c r="CT48">
        <v>0.246</v>
      </c>
      <c r="CV48" s="145">
        <v>106</v>
      </c>
      <c r="CW48" s="145">
        <v>2.6</v>
      </c>
      <c r="CX48" s="145">
        <v>276</v>
      </c>
      <c r="CY48" s="145">
        <v>169</v>
      </c>
      <c r="CZ48" s="145">
        <v>0</v>
      </c>
      <c r="DA48" s="145">
        <v>445</v>
      </c>
      <c r="DB48" s="145">
        <v>76</v>
      </c>
      <c r="DD48">
        <v>273</v>
      </c>
      <c r="DE48" s="28">
        <f t="shared" si="6"/>
        <v>275.75757575757575</v>
      </c>
      <c r="DF48">
        <v>0.01</v>
      </c>
      <c r="DH48">
        <v>4</v>
      </c>
      <c r="DJ48">
        <v>499</v>
      </c>
      <c r="DK48" s="32">
        <v>0</v>
      </c>
      <c r="DL48">
        <v>145</v>
      </c>
      <c r="DM48" s="32">
        <v>0</v>
      </c>
      <c r="DN48">
        <v>0</v>
      </c>
      <c r="DO48" s="32">
        <v>0</v>
      </c>
      <c r="DP48">
        <v>89</v>
      </c>
      <c r="DQ48" s="32">
        <v>0</v>
      </c>
      <c r="DR48">
        <v>81</v>
      </c>
      <c r="DS48" s="32">
        <v>0</v>
      </c>
      <c r="DT48" t="s">
        <v>273</v>
      </c>
      <c r="DU48" s="32" t="s">
        <v>273</v>
      </c>
      <c r="DV48">
        <v>20</v>
      </c>
      <c r="DW48" s="32">
        <v>0</v>
      </c>
      <c r="DX48">
        <v>93</v>
      </c>
      <c r="DY48" s="32">
        <v>0</v>
      </c>
      <c r="DZ48">
        <v>114</v>
      </c>
      <c r="EA48" s="32">
        <v>0</v>
      </c>
      <c r="EC48" t="s">
        <v>273</v>
      </c>
      <c r="ED48">
        <v>63</v>
      </c>
      <c r="EE48">
        <v>124</v>
      </c>
      <c r="EF48">
        <v>0</v>
      </c>
      <c r="EG48">
        <v>0</v>
      </c>
      <c r="EH48">
        <v>310</v>
      </c>
      <c r="EI48" s="32">
        <v>5.0002309999999999E-3</v>
      </c>
      <c r="EJ48">
        <v>28</v>
      </c>
      <c r="EK48" s="32">
        <v>0</v>
      </c>
      <c r="EL48">
        <v>126</v>
      </c>
      <c r="EM48">
        <v>468</v>
      </c>
      <c r="EN48" s="32">
        <v>4.02236E-3</v>
      </c>
      <c r="ES48">
        <v>388</v>
      </c>
      <c r="ET48" s="32">
        <v>1.4199147000000001E-2</v>
      </c>
    </row>
    <row r="49" spans="1:155" x14ac:dyDescent="0.3">
      <c r="A49" s="33">
        <v>1990</v>
      </c>
      <c r="B49" s="135">
        <v>41304</v>
      </c>
      <c r="C49" s="135">
        <v>17581</v>
      </c>
      <c r="D49" s="135">
        <f t="shared" si="10"/>
        <v>23723</v>
      </c>
      <c r="E49" s="145">
        <v>882</v>
      </c>
      <c r="F49" s="142">
        <v>5</v>
      </c>
      <c r="G49" s="135">
        <v>1152</v>
      </c>
      <c r="H49" s="142">
        <v>6.6</v>
      </c>
      <c r="I49" s="135">
        <v>2034</v>
      </c>
      <c r="J49" s="142">
        <v>11.6</v>
      </c>
      <c r="K49" s="135">
        <v>5689</v>
      </c>
      <c r="L49" s="142">
        <v>32.4</v>
      </c>
      <c r="M49" s="146">
        <v>9850</v>
      </c>
      <c r="N49" s="147">
        <v>56</v>
      </c>
      <c r="O49" s="143">
        <v>9342</v>
      </c>
      <c r="P49" s="144">
        <v>13066</v>
      </c>
      <c r="Q49" s="144">
        <v>22408</v>
      </c>
      <c r="R49" s="144"/>
      <c r="S49" s="141">
        <f t="shared" si="11"/>
        <v>0.7615243075731164</v>
      </c>
      <c r="T49" s="141"/>
      <c r="U49" s="142"/>
      <c r="V49" s="142"/>
      <c r="W49" s="142"/>
      <c r="X49" s="142"/>
      <c r="Y49" s="142"/>
      <c r="Z49" s="142"/>
      <c r="AA49" s="142"/>
      <c r="AB49" s="142"/>
      <c r="AC49" s="142"/>
      <c r="AD49" s="142"/>
      <c r="AE49" s="142"/>
      <c r="AF49" s="142"/>
      <c r="AG49" s="142"/>
      <c r="AH49" s="142"/>
      <c r="AI49" s="142"/>
      <c r="AJ49" s="142"/>
      <c r="AK49" s="142"/>
      <c r="AL49" s="128"/>
      <c r="AM49" s="143">
        <v>9342</v>
      </c>
      <c r="AN49" s="144">
        <v>13066</v>
      </c>
      <c r="AO49" s="144">
        <v>22408</v>
      </c>
      <c r="AQ49" s="28">
        <v>565</v>
      </c>
      <c r="AR49" s="34">
        <f t="shared" si="12"/>
        <v>4.3242002142966481E-2</v>
      </c>
      <c r="AS49" s="34">
        <f t="shared" si="13"/>
        <v>2.381654934030266E-2</v>
      </c>
      <c r="AV49" s="91">
        <f t="shared" si="18"/>
        <v>2.1621001071483242E-3</v>
      </c>
      <c r="AX49" s="22">
        <v>29</v>
      </c>
      <c r="AY49" s="22">
        <v>17</v>
      </c>
      <c r="AZ49" s="22">
        <f t="shared" si="16"/>
        <v>46</v>
      </c>
      <c r="BA49" s="22">
        <f t="shared" si="17"/>
        <v>2483</v>
      </c>
      <c r="BC49" s="112">
        <f t="shared" si="14"/>
        <v>2.2195009949487221E-3</v>
      </c>
      <c r="BD49" s="112">
        <f t="shared" si="15"/>
        <v>1.819738813958467E-3</v>
      </c>
      <c r="BF49">
        <v>0</v>
      </c>
      <c r="BI49">
        <v>0</v>
      </c>
      <c r="BJ49" s="28">
        <v>0</v>
      </c>
      <c r="BM49">
        <v>199</v>
      </c>
      <c r="BP49">
        <v>185</v>
      </c>
      <c r="BQ49" s="28">
        <f t="shared" si="1"/>
        <v>348.99075646104507</v>
      </c>
      <c r="BR49">
        <v>0.46989999999999998</v>
      </c>
      <c r="BT49">
        <v>231</v>
      </c>
      <c r="BW49">
        <v>231</v>
      </c>
      <c r="BX49" s="28">
        <f t="shared" si="5"/>
        <v>526.1958997722096</v>
      </c>
      <c r="BY49">
        <v>0.56100000000000005</v>
      </c>
      <c r="CA49">
        <v>53</v>
      </c>
      <c r="CD49">
        <v>53</v>
      </c>
      <c r="CE49" s="28">
        <f t="shared" si="7"/>
        <v>106</v>
      </c>
      <c r="CF49" s="32">
        <v>0.5</v>
      </c>
      <c r="CH49">
        <v>57</v>
      </c>
      <c r="CK49">
        <v>57</v>
      </c>
      <c r="CL49" s="28">
        <f t="shared" si="8"/>
        <v>95</v>
      </c>
      <c r="CM49">
        <v>0.4</v>
      </c>
      <c r="CO49">
        <v>67</v>
      </c>
      <c r="CR49">
        <v>67</v>
      </c>
      <c r="CS49" s="28">
        <f t="shared" si="9"/>
        <v>300.44843049327358</v>
      </c>
      <c r="CT49">
        <v>0.77700000000000002</v>
      </c>
      <c r="CV49" s="145">
        <v>180</v>
      </c>
      <c r="CW49" s="145">
        <v>3.39</v>
      </c>
      <c r="CX49" s="145">
        <v>611</v>
      </c>
      <c r="CY49" s="145">
        <v>135</v>
      </c>
      <c r="CZ49" s="145">
        <v>8</v>
      </c>
      <c r="DA49" s="145">
        <v>754</v>
      </c>
      <c r="DB49" s="145">
        <v>66</v>
      </c>
      <c r="DD49">
        <v>449</v>
      </c>
      <c r="DE49" s="28">
        <f t="shared" si="6"/>
        <v>571.97452229299358</v>
      </c>
      <c r="DF49">
        <v>0.215</v>
      </c>
      <c r="DH49" t="s">
        <v>273</v>
      </c>
      <c r="DJ49">
        <v>590</v>
      </c>
      <c r="DK49" s="32">
        <v>0</v>
      </c>
      <c r="DL49">
        <v>96</v>
      </c>
      <c r="DM49" s="32">
        <v>0</v>
      </c>
      <c r="DN49">
        <v>0</v>
      </c>
      <c r="DO49" s="32">
        <v>0</v>
      </c>
      <c r="DP49">
        <v>8</v>
      </c>
      <c r="DQ49" s="32">
        <v>0</v>
      </c>
      <c r="DR49" t="s">
        <v>273</v>
      </c>
      <c r="DS49" s="32">
        <v>0</v>
      </c>
      <c r="DT49" t="s">
        <v>273</v>
      </c>
      <c r="DU49" s="32" t="s">
        <v>273</v>
      </c>
      <c r="DV49">
        <v>85</v>
      </c>
      <c r="DW49" s="32">
        <v>0</v>
      </c>
      <c r="DX49">
        <v>195</v>
      </c>
      <c r="DY49" s="32">
        <v>0</v>
      </c>
      <c r="DZ49">
        <v>147</v>
      </c>
      <c r="EA49" s="32">
        <v>0</v>
      </c>
      <c r="EC49" t="s">
        <v>273</v>
      </c>
      <c r="ED49">
        <v>158</v>
      </c>
      <c r="EE49">
        <v>82</v>
      </c>
      <c r="EF49">
        <v>0</v>
      </c>
      <c r="EG49">
        <v>5</v>
      </c>
      <c r="EH49">
        <v>141</v>
      </c>
      <c r="EI49" s="32">
        <v>9.4729059999999997E-3</v>
      </c>
      <c r="EJ49">
        <v>40</v>
      </c>
      <c r="EK49" s="32">
        <v>0</v>
      </c>
      <c r="EL49">
        <v>30</v>
      </c>
      <c r="EM49">
        <v>403</v>
      </c>
      <c r="EN49" s="32">
        <v>2.196217E-2</v>
      </c>
      <c r="ES49">
        <v>727</v>
      </c>
      <c r="ET49" s="32">
        <v>1.5821011000000001E-3</v>
      </c>
    </row>
    <row r="50" spans="1:155" x14ac:dyDescent="0.3">
      <c r="A50" s="33">
        <v>1991</v>
      </c>
      <c r="B50" s="135">
        <v>23665</v>
      </c>
      <c r="C50" s="135">
        <v>13106</v>
      </c>
      <c r="D50" s="135">
        <f t="shared" si="10"/>
        <v>10559</v>
      </c>
      <c r="E50" s="145">
        <v>516</v>
      </c>
      <c r="F50" s="142">
        <v>3.9</v>
      </c>
      <c r="G50" s="145">
        <v>788</v>
      </c>
      <c r="H50" s="142">
        <v>6</v>
      </c>
      <c r="I50" s="135">
        <v>1303</v>
      </c>
      <c r="J50" s="142">
        <v>9.9</v>
      </c>
      <c r="K50" s="135">
        <v>5785</v>
      </c>
      <c r="L50" s="142">
        <v>44.1</v>
      </c>
      <c r="M50" s="146">
        <v>6013</v>
      </c>
      <c r="N50" s="147">
        <v>45.9</v>
      </c>
      <c r="O50" s="143">
        <v>5756</v>
      </c>
      <c r="P50" s="144">
        <v>4676</v>
      </c>
      <c r="Q50" s="144">
        <v>10432</v>
      </c>
      <c r="R50" s="144"/>
      <c r="S50" s="141">
        <f t="shared" si="11"/>
        <v>0.74591168392140283</v>
      </c>
      <c r="T50" s="141"/>
      <c r="U50" s="142"/>
      <c r="V50" s="142"/>
      <c r="W50" s="142"/>
      <c r="X50" s="142"/>
      <c r="Y50" s="142"/>
      <c r="Z50" s="142"/>
      <c r="AA50" s="142"/>
      <c r="AB50" s="142"/>
      <c r="AC50" s="142"/>
      <c r="AD50" s="142"/>
      <c r="AE50" s="142"/>
      <c r="AF50" s="142"/>
      <c r="AG50" s="142"/>
      <c r="AH50" s="142"/>
      <c r="AI50" s="142"/>
      <c r="AJ50" s="142"/>
      <c r="AK50" s="142"/>
      <c r="AL50" s="128"/>
      <c r="AM50" s="143">
        <v>5756</v>
      </c>
      <c r="AN50" s="144">
        <v>4676</v>
      </c>
      <c r="AO50" s="144">
        <v>10432</v>
      </c>
      <c r="AQ50" s="28">
        <v>0</v>
      </c>
      <c r="AR50" s="34">
        <f t="shared" si="12"/>
        <v>0</v>
      </c>
      <c r="AS50" s="34">
        <f t="shared" si="13"/>
        <v>0</v>
      </c>
      <c r="AV50" s="91">
        <f t="shared" si="18"/>
        <v>0</v>
      </c>
      <c r="AX50" s="22">
        <v>2</v>
      </c>
      <c r="AY50" s="22">
        <v>1</v>
      </c>
      <c r="AZ50" s="22">
        <f t="shared" si="16"/>
        <v>3</v>
      </c>
      <c r="BA50" s="22">
        <f t="shared" si="17"/>
        <v>2486</v>
      </c>
      <c r="BC50" s="112">
        <f t="shared" si="14"/>
        <v>4.2771599657827201E-4</v>
      </c>
      <c r="BD50" s="112">
        <f t="shared" si="15"/>
        <v>1.7373175816539263E-4</v>
      </c>
      <c r="BF50">
        <v>9</v>
      </c>
      <c r="BI50">
        <v>8</v>
      </c>
      <c r="BJ50" s="28">
        <f t="shared" si="4"/>
        <v>49.079754601226981</v>
      </c>
      <c r="BK50" s="32">
        <v>0.83699999999999997</v>
      </c>
      <c r="BM50">
        <v>235</v>
      </c>
      <c r="BP50">
        <v>209</v>
      </c>
      <c r="BQ50" s="28">
        <f t="shared" si="1"/>
        <v>415.01191421763298</v>
      </c>
      <c r="BR50">
        <v>0.49640000000000001</v>
      </c>
      <c r="BT50">
        <v>246</v>
      </c>
      <c r="BW50">
        <v>238</v>
      </c>
      <c r="BX50" s="28">
        <f t="shared" si="5"/>
        <v>352.07100591715982</v>
      </c>
      <c r="BY50">
        <v>0.32400000000000001</v>
      </c>
      <c r="CA50">
        <v>27</v>
      </c>
      <c r="CD50">
        <v>26</v>
      </c>
      <c r="CE50" s="28">
        <f t="shared" si="7"/>
        <v>38.980509745127435</v>
      </c>
      <c r="CF50" s="32">
        <v>0.33300000000000002</v>
      </c>
      <c r="CH50">
        <v>106</v>
      </c>
      <c r="CK50">
        <v>106</v>
      </c>
      <c r="CL50" s="28">
        <f t="shared" si="8"/>
        <v>163.07692307692307</v>
      </c>
      <c r="CM50">
        <v>0.35</v>
      </c>
      <c r="CO50">
        <v>91</v>
      </c>
      <c r="CR50">
        <v>88</v>
      </c>
      <c r="CS50" s="28">
        <f t="shared" si="9"/>
        <v>222.78481012658227</v>
      </c>
      <c r="CT50">
        <v>0.60499999999999998</v>
      </c>
      <c r="CV50" s="145">
        <v>90</v>
      </c>
      <c r="CW50" s="145">
        <v>4.33</v>
      </c>
      <c r="CX50" s="145">
        <v>390</v>
      </c>
      <c r="CY50" s="145">
        <v>130</v>
      </c>
      <c r="CZ50" s="145">
        <v>8</v>
      </c>
      <c r="DA50" s="145">
        <v>528</v>
      </c>
      <c r="DB50" s="145">
        <v>49</v>
      </c>
      <c r="DD50">
        <v>197</v>
      </c>
      <c r="DE50" s="28">
        <f t="shared" si="6"/>
        <v>290.98966026587885</v>
      </c>
      <c r="DF50">
        <v>0.32300000000000001</v>
      </c>
      <c r="DH50" t="s">
        <v>273</v>
      </c>
      <c r="DJ50" t="s">
        <v>273</v>
      </c>
      <c r="DK50" s="32" t="s">
        <v>273</v>
      </c>
      <c r="DL50">
        <v>61</v>
      </c>
      <c r="DM50" s="32">
        <v>0</v>
      </c>
      <c r="DN50">
        <v>0</v>
      </c>
      <c r="DO50" s="32">
        <v>0</v>
      </c>
      <c r="DP50">
        <v>33</v>
      </c>
      <c r="DQ50" s="32">
        <v>0</v>
      </c>
      <c r="DR50">
        <v>40</v>
      </c>
      <c r="DS50" s="32">
        <v>0</v>
      </c>
      <c r="DT50" t="s">
        <v>273</v>
      </c>
      <c r="DU50" s="32" t="s">
        <v>273</v>
      </c>
      <c r="DV50">
        <v>106</v>
      </c>
      <c r="DW50" s="32">
        <v>0</v>
      </c>
      <c r="DX50">
        <v>187</v>
      </c>
      <c r="DY50" s="32">
        <v>0</v>
      </c>
      <c r="DZ50">
        <v>102</v>
      </c>
      <c r="EA50" s="32">
        <v>0</v>
      </c>
      <c r="EC50">
        <v>19</v>
      </c>
      <c r="ED50">
        <v>108</v>
      </c>
      <c r="EE50">
        <v>110</v>
      </c>
      <c r="EF50">
        <v>0</v>
      </c>
      <c r="EG50">
        <v>4</v>
      </c>
      <c r="EH50">
        <v>71</v>
      </c>
      <c r="EI50" s="32">
        <v>1.2626261999999999E-2</v>
      </c>
      <c r="EJ50">
        <v>20</v>
      </c>
      <c r="EK50" s="32">
        <v>0</v>
      </c>
      <c r="EL50">
        <v>12</v>
      </c>
      <c r="EM50">
        <v>182</v>
      </c>
      <c r="EN50" s="32">
        <v>2.2095691000000001E-2</v>
      </c>
      <c r="ES50">
        <v>755</v>
      </c>
      <c r="ET50" s="32">
        <v>7.5220414000000003E-3</v>
      </c>
      <c r="EW50" s="187">
        <f>AVERAGE(ES50:ES$75)</f>
        <v>701.80769230769226</v>
      </c>
      <c r="EX50" s="187">
        <f>AVERAGE(ES50:ES$76)</f>
        <v>678.96296296296293</v>
      </c>
      <c r="EY50" s="187">
        <f>AVERAGE(ES50:ES$74)</f>
        <v>715.84</v>
      </c>
    </row>
    <row r="51" spans="1:155" x14ac:dyDescent="0.3">
      <c r="A51" s="33">
        <v>1992</v>
      </c>
      <c r="B51" s="135">
        <v>39679</v>
      </c>
      <c r="C51" s="135">
        <v>20637</v>
      </c>
      <c r="D51" s="135">
        <f t="shared" si="10"/>
        <v>19042</v>
      </c>
      <c r="E51" s="145">
        <v>334</v>
      </c>
      <c r="F51" s="142">
        <v>1.6</v>
      </c>
      <c r="G51" s="135">
        <v>1242</v>
      </c>
      <c r="H51" s="142">
        <v>6</v>
      </c>
      <c r="I51" s="135">
        <v>1575</v>
      </c>
      <c r="J51" s="142">
        <v>7.6</v>
      </c>
      <c r="K51" s="135">
        <v>5998</v>
      </c>
      <c r="L51" s="142">
        <v>29.1</v>
      </c>
      <c r="M51" s="146">
        <v>13056</v>
      </c>
      <c r="N51" s="147">
        <v>63.3</v>
      </c>
      <c r="O51" s="143">
        <v>12673</v>
      </c>
      <c r="P51" s="144">
        <v>11732</v>
      </c>
      <c r="Q51" s="144">
        <v>24405</v>
      </c>
      <c r="R51" s="144"/>
      <c r="S51" s="141">
        <f t="shared" si="11"/>
        <v>0.67095944958290277</v>
      </c>
      <c r="T51" s="141"/>
      <c r="U51" s="142"/>
      <c r="V51" s="142"/>
      <c r="W51" s="142"/>
      <c r="X51" s="142"/>
      <c r="Y51" s="142"/>
      <c r="Z51" s="142"/>
      <c r="AA51" s="142"/>
      <c r="AB51" s="142"/>
      <c r="AC51" s="142"/>
      <c r="AD51" s="142"/>
      <c r="AE51" s="142"/>
      <c r="AF51" s="142"/>
      <c r="AG51" s="142"/>
      <c r="AH51" s="142"/>
      <c r="AI51" s="142"/>
      <c r="AJ51" s="142"/>
      <c r="AK51" s="142"/>
      <c r="AL51" s="128"/>
      <c r="AM51" s="143">
        <v>12673</v>
      </c>
      <c r="AN51" s="144">
        <v>11732</v>
      </c>
      <c r="AO51" s="144">
        <v>24405</v>
      </c>
      <c r="AQ51" s="28">
        <v>499</v>
      </c>
      <c r="AR51" s="34">
        <f t="shared" si="12"/>
        <v>4.2533242413910669E-2</v>
      </c>
      <c r="AS51" s="34">
        <f t="shared" si="13"/>
        <v>2.6205230543010188E-2</v>
      </c>
      <c r="AV51" s="91">
        <f t="shared" si="18"/>
        <v>2.1266621206955335E-3</v>
      </c>
      <c r="AX51" s="22">
        <v>79</v>
      </c>
      <c r="AY51" s="22">
        <v>33</v>
      </c>
      <c r="AZ51" s="22">
        <f t="shared" si="16"/>
        <v>112</v>
      </c>
      <c r="BA51" s="22">
        <f t="shared" si="17"/>
        <v>2598</v>
      </c>
      <c r="BC51" s="112">
        <f t="shared" si="14"/>
        <v>6.7337197408796458E-3</v>
      </c>
      <c r="BD51" s="112">
        <f t="shared" si="15"/>
        <v>2.603961177306084E-3</v>
      </c>
      <c r="BF51">
        <v>40</v>
      </c>
      <c r="BI51">
        <v>40</v>
      </c>
      <c r="BJ51" s="28">
        <f t="shared" si="4"/>
        <v>161.29032258064515</v>
      </c>
      <c r="BK51" s="32">
        <v>0.752</v>
      </c>
      <c r="BM51">
        <v>164</v>
      </c>
      <c r="BP51">
        <v>151</v>
      </c>
      <c r="BQ51" s="28">
        <f t="shared" si="1"/>
        <v>604.96794871794862</v>
      </c>
      <c r="BR51">
        <v>0.75039999999999996</v>
      </c>
      <c r="BT51">
        <v>38</v>
      </c>
      <c r="BW51">
        <v>37</v>
      </c>
      <c r="BX51" s="28">
        <f t="shared" si="5"/>
        <v>389.47368421052641</v>
      </c>
      <c r="BY51">
        <v>0.90500000000000003</v>
      </c>
      <c r="CA51">
        <v>81</v>
      </c>
      <c r="CD51">
        <v>81</v>
      </c>
      <c r="CE51" s="28">
        <f t="shared" si="7"/>
        <v>389.42307692307702</v>
      </c>
      <c r="CF51" s="32">
        <v>0.79200000000000004</v>
      </c>
      <c r="CH51">
        <v>49</v>
      </c>
      <c r="CK51">
        <v>49</v>
      </c>
      <c r="CL51" s="28">
        <f t="shared" si="8"/>
        <v>196</v>
      </c>
      <c r="CM51">
        <v>0.75</v>
      </c>
      <c r="CO51">
        <v>55</v>
      </c>
      <c r="CR51">
        <v>54</v>
      </c>
      <c r="CS51" s="28">
        <f t="shared" si="9"/>
        <v>627.9069767441863</v>
      </c>
      <c r="CT51">
        <v>0.91400000000000003</v>
      </c>
      <c r="CV51" s="145">
        <v>200</v>
      </c>
      <c r="CW51" s="145">
        <v>2.82</v>
      </c>
      <c r="CX51" s="145">
        <v>564</v>
      </c>
      <c r="CY51" s="145">
        <v>97</v>
      </c>
      <c r="CZ51" s="145">
        <v>92</v>
      </c>
      <c r="DA51" s="145">
        <v>753</v>
      </c>
      <c r="DB51" s="145">
        <v>56</v>
      </c>
      <c r="DD51">
        <v>305</v>
      </c>
      <c r="DE51" s="28">
        <f t="shared" si="6"/>
        <v>476.5625</v>
      </c>
      <c r="DF51">
        <v>0.36</v>
      </c>
      <c r="DH51">
        <v>4</v>
      </c>
      <c r="DJ51">
        <v>443</v>
      </c>
      <c r="DK51" s="32">
        <v>0</v>
      </c>
      <c r="DL51">
        <v>106</v>
      </c>
      <c r="DM51" s="32">
        <v>0</v>
      </c>
      <c r="DN51">
        <v>0</v>
      </c>
      <c r="DO51" s="32">
        <v>0</v>
      </c>
      <c r="DP51">
        <v>20</v>
      </c>
      <c r="DQ51" s="32">
        <v>0</v>
      </c>
      <c r="DR51">
        <v>55</v>
      </c>
      <c r="DS51" s="32">
        <v>0</v>
      </c>
      <c r="DT51" t="s">
        <v>273</v>
      </c>
      <c r="DU51" s="32" t="s">
        <v>273</v>
      </c>
      <c r="DV51">
        <v>9</v>
      </c>
      <c r="DW51" s="32">
        <v>0</v>
      </c>
      <c r="DX51">
        <v>183</v>
      </c>
      <c r="DY51" s="32">
        <v>0</v>
      </c>
      <c r="DZ51">
        <v>163</v>
      </c>
      <c r="EA51" s="32">
        <v>0</v>
      </c>
      <c r="EC51">
        <v>30</v>
      </c>
      <c r="ED51">
        <v>29</v>
      </c>
      <c r="EE51">
        <v>42</v>
      </c>
      <c r="EF51">
        <v>0</v>
      </c>
      <c r="EG51">
        <v>46</v>
      </c>
      <c r="EH51">
        <v>35</v>
      </c>
      <c r="EI51" s="32">
        <v>1.3820638999999999E-2</v>
      </c>
      <c r="EJ51">
        <v>26</v>
      </c>
      <c r="EK51" s="32">
        <v>0</v>
      </c>
      <c r="EL51">
        <v>17</v>
      </c>
      <c r="EM51">
        <v>166</v>
      </c>
      <c r="EN51" s="32">
        <v>2.2790356999999998E-3</v>
      </c>
      <c r="ES51">
        <v>583</v>
      </c>
      <c r="ET51" s="32">
        <v>8.7113079999999992E-3</v>
      </c>
      <c r="EW51" s="187">
        <f>AVERAGE(ES51:ES$75)</f>
        <v>699.68</v>
      </c>
      <c r="EX51" s="187">
        <f>AVERAGE(ES51:ES$76)</f>
        <v>676.03846153846155</v>
      </c>
      <c r="EY51" s="187">
        <f>AVERAGE(ES51:ES$74)</f>
        <v>714.20833333333337</v>
      </c>
    </row>
    <row r="52" spans="1:155" x14ac:dyDescent="0.3">
      <c r="A52" s="33">
        <v>1993</v>
      </c>
      <c r="B52" s="135">
        <v>41148</v>
      </c>
      <c r="C52" s="135">
        <v>17900</v>
      </c>
      <c r="D52" s="135">
        <f t="shared" si="10"/>
        <v>23248</v>
      </c>
      <c r="E52" s="145">
        <v>147</v>
      </c>
      <c r="F52" s="142">
        <v>0.8</v>
      </c>
      <c r="G52" s="135">
        <v>1089</v>
      </c>
      <c r="H52" s="142">
        <v>6.1</v>
      </c>
      <c r="I52" s="135">
        <v>1236</v>
      </c>
      <c r="J52" s="142">
        <v>6.9</v>
      </c>
      <c r="K52" s="135">
        <v>3832</v>
      </c>
      <c r="L52" s="142">
        <v>21.4</v>
      </c>
      <c r="M52" s="146">
        <v>12827</v>
      </c>
      <c r="N52" s="147">
        <v>71.7</v>
      </c>
      <c r="O52" s="143">
        <v>12522</v>
      </c>
      <c r="P52" s="144">
        <v>16402</v>
      </c>
      <c r="Q52" s="144">
        <v>28924</v>
      </c>
      <c r="R52" s="144"/>
      <c r="S52" s="141">
        <f t="shared" si="11"/>
        <v>0.68827160493827155</v>
      </c>
      <c r="T52" s="141"/>
      <c r="U52" s="142"/>
      <c r="V52" s="142"/>
      <c r="W52" s="142"/>
      <c r="X52" s="142"/>
      <c r="Y52" s="142"/>
      <c r="Z52" s="142"/>
      <c r="AA52" s="142"/>
      <c r="AB52" s="142"/>
      <c r="AC52" s="142"/>
      <c r="AD52" s="142"/>
      <c r="AE52" s="142"/>
      <c r="AF52" s="142"/>
      <c r="AG52" s="142"/>
      <c r="AH52" s="142"/>
      <c r="AI52" s="142"/>
      <c r="AJ52" s="142"/>
      <c r="AK52" s="142"/>
      <c r="AL52" s="128"/>
      <c r="AM52" s="143">
        <v>12522</v>
      </c>
      <c r="AN52" s="144">
        <v>16402</v>
      </c>
      <c r="AO52" s="144">
        <v>28924</v>
      </c>
      <c r="AQ52" s="28">
        <v>423</v>
      </c>
      <c r="AR52" s="34">
        <f t="shared" si="12"/>
        <v>2.5789537861236434E-2</v>
      </c>
      <c r="AS52" s="34">
        <f t="shared" si="13"/>
        <v>1.8195113558155541E-2</v>
      </c>
      <c r="AV52" s="91">
        <f t="shared" si="18"/>
        <v>1.2894768930618219E-3</v>
      </c>
      <c r="AX52" s="22">
        <v>181</v>
      </c>
      <c r="AY52" s="22">
        <v>86</v>
      </c>
      <c r="AZ52" s="22">
        <f t="shared" si="16"/>
        <v>267</v>
      </c>
      <c r="BA52" s="22">
        <f t="shared" si="17"/>
        <v>2865</v>
      </c>
      <c r="BC52" s="112">
        <f t="shared" si="14"/>
        <v>1.1035239604926228E-2</v>
      </c>
      <c r="BD52" s="112">
        <f t="shared" si="15"/>
        <v>6.8679124740456798E-3</v>
      </c>
      <c r="BF52">
        <v>107</v>
      </c>
      <c r="BI52">
        <v>99</v>
      </c>
      <c r="BJ52" s="28">
        <f t="shared" si="4"/>
        <v>257.14285714285711</v>
      </c>
      <c r="BK52" s="32">
        <v>0.61499999999999999</v>
      </c>
      <c r="BM52">
        <v>417</v>
      </c>
      <c r="BP52">
        <v>408</v>
      </c>
      <c r="BQ52" s="28">
        <f t="shared" si="1"/>
        <v>1058.0912863070539</v>
      </c>
      <c r="BR52">
        <v>0.61439999999999995</v>
      </c>
      <c r="BT52">
        <v>232</v>
      </c>
      <c r="BW52">
        <v>232</v>
      </c>
      <c r="BX52" s="28">
        <f t="shared" si="5"/>
        <v>411.34751773049641</v>
      </c>
      <c r="BY52">
        <v>0.436</v>
      </c>
      <c r="CA52">
        <v>76</v>
      </c>
      <c r="CD52">
        <v>76</v>
      </c>
      <c r="CE52" s="28">
        <f t="shared" si="7"/>
        <v>327.58620689655174</v>
      </c>
      <c r="CF52" s="32">
        <v>0.76800000000000002</v>
      </c>
      <c r="CH52">
        <v>246</v>
      </c>
      <c r="CK52">
        <v>246</v>
      </c>
      <c r="CL52" s="28">
        <f t="shared" si="8"/>
        <v>501.84008029441287</v>
      </c>
      <c r="CM52">
        <v>0.50980400000000003</v>
      </c>
      <c r="CO52">
        <v>183</v>
      </c>
      <c r="CR52">
        <v>183</v>
      </c>
      <c r="CS52" s="28">
        <f t="shared" si="9"/>
        <v>333.94160583941601</v>
      </c>
      <c r="CT52">
        <v>0.45200000000000001</v>
      </c>
      <c r="CV52" s="145">
        <v>192</v>
      </c>
      <c r="CW52" s="145">
        <v>2.27</v>
      </c>
      <c r="CX52" s="145">
        <v>436</v>
      </c>
      <c r="CY52" s="145">
        <v>97</v>
      </c>
      <c r="CZ52" s="145">
        <v>56</v>
      </c>
      <c r="DA52" s="145">
        <v>589</v>
      </c>
      <c r="DB52" s="145">
        <v>54</v>
      </c>
      <c r="DD52">
        <v>245</v>
      </c>
      <c r="DE52" s="28">
        <f t="shared" si="6"/>
        <v>397.08265802269045</v>
      </c>
      <c r="DF52">
        <v>0.38300000000000001</v>
      </c>
      <c r="DH52" t="s">
        <v>273</v>
      </c>
      <c r="DJ52">
        <v>227</v>
      </c>
      <c r="DK52" s="32">
        <v>0</v>
      </c>
      <c r="DL52">
        <v>267</v>
      </c>
      <c r="DM52" s="32">
        <v>0</v>
      </c>
      <c r="DN52">
        <v>0</v>
      </c>
      <c r="DO52" s="32">
        <v>0</v>
      </c>
      <c r="DP52">
        <v>80</v>
      </c>
      <c r="DQ52" s="32">
        <v>0</v>
      </c>
      <c r="DR52">
        <v>78</v>
      </c>
      <c r="DS52" s="32">
        <v>0</v>
      </c>
      <c r="DT52" t="s">
        <v>273</v>
      </c>
      <c r="DU52" s="32" t="s">
        <v>273</v>
      </c>
      <c r="DV52">
        <v>131</v>
      </c>
      <c r="DW52" s="32">
        <v>0</v>
      </c>
      <c r="DX52">
        <v>737</v>
      </c>
      <c r="DY52" s="32">
        <v>0</v>
      </c>
      <c r="DZ52">
        <v>327</v>
      </c>
      <c r="EA52" s="32">
        <v>0</v>
      </c>
      <c r="EC52">
        <v>43</v>
      </c>
      <c r="ED52">
        <v>45</v>
      </c>
      <c r="EE52">
        <v>77</v>
      </c>
      <c r="EF52">
        <v>0</v>
      </c>
      <c r="EG52">
        <v>113</v>
      </c>
      <c r="EH52">
        <v>212</v>
      </c>
      <c r="EI52" s="32">
        <v>5.4274084999999996E-3</v>
      </c>
      <c r="EJ52">
        <v>18</v>
      </c>
      <c r="EK52" s="32">
        <v>0</v>
      </c>
      <c r="EL52">
        <v>60</v>
      </c>
      <c r="EM52">
        <v>483</v>
      </c>
      <c r="EN52" s="32">
        <v>2.2310668000000001E-4</v>
      </c>
      <c r="ES52">
        <v>1200</v>
      </c>
      <c r="ET52" s="32">
        <v>6.6637459999999999E-3</v>
      </c>
      <c r="EW52" s="187">
        <f>AVERAGE(ES52:ES$75)</f>
        <v>704.54166666666663</v>
      </c>
      <c r="EX52" s="187">
        <f>AVERAGE(ES52:ES$76)</f>
        <v>679.76</v>
      </c>
      <c r="EY52" s="187">
        <f>AVERAGE(ES52:ES$74)</f>
        <v>719.91304347826087</v>
      </c>
    </row>
    <row r="53" spans="1:155" x14ac:dyDescent="0.3">
      <c r="A53" s="33">
        <v>1994</v>
      </c>
      <c r="B53" s="135">
        <v>7711</v>
      </c>
      <c r="C53" s="135">
        <v>3721</v>
      </c>
      <c r="D53" s="135">
        <f t="shared" si="10"/>
        <v>3990</v>
      </c>
      <c r="E53" s="145">
        <v>146</v>
      </c>
      <c r="F53" s="142">
        <v>3.9</v>
      </c>
      <c r="G53" s="145">
        <v>179</v>
      </c>
      <c r="H53" s="142">
        <v>4.8</v>
      </c>
      <c r="I53" s="145">
        <v>325</v>
      </c>
      <c r="J53" s="142">
        <v>8.6999999999999993</v>
      </c>
      <c r="K53" s="135">
        <v>1443</v>
      </c>
      <c r="L53" s="142">
        <v>38.799999999999997</v>
      </c>
      <c r="M53" s="146">
        <v>1954</v>
      </c>
      <c r="N53" s="147">
        <v>52.5</v>
      </c>
      <c r="O53" s="143">
        <v>1856</v>
      </c>
      <c r="P53" s="144">
        <v>2059</v>
      </c>
      <c r="Q53" s="144">
        <v>3915</v>
      </c>
      <c r="R53" s="144"/>
      <c r="S53" s="141">
        <f t="shared" si="11"/>
        <v>0.7465957722733757</v>
      </c>
      <c r="T53" s="141"/>
      <c r="U53" s="142"/>
      <c r="V53" s="142"/>
      <c r="W53" s="142"/>
      <c r="X53" s="142"/>
      <c r="Y53" s="142"/>
      <c r="Z53" s="142"/>
      <c r="AA53" s="142"/>
      <c r="AB53" s="142"/>
      <c r="AC53" s="142"/>
      <c r="AD53" s="142"/>
      <c r="AE53" s="142"/>
      <c r="AF53" s="142"/>
      <c r="AG53" s="142"/>
      <c r="AH53" s="142"/>
      <c r="AI53" s="142"/>
      <c r="AJ53" s="142"/>
      <c r="AK53" s="142"/>
      <c r="AL53" s="128"/>
      <c r="AM53" s="143">
        <v>1856</v>
      </c>
      <c r="AN53" s="144">
        <v>2059</v>
      </c>
      <c r="AO53" s="144">
        <v>3915</v>
      </c>
      <c r="AQ53" s="28">
        <v>0</v>
      </c>
      <c r="AR53" s="34">
        <f t="shared" si="12"/>
        <v>0</v>
      </c>
      <c r="AS53" s="34">
        <f t="shared" si="13"/>
        <v>0</v>
      </c>
      <c r="AV53" s="91">
        <f t="shared" si="18"/>
        <v>0</v>
      </c>
      <c r="AX53" s="22">
        <v>6</v>
      </c>
      <c r="AY53" s="22">
        <v>2</v>
      </c>
      <c r="AZ53" s="22">
        <f t="shared" si="16"/>
        <v>8</v>
      </c>
      <c r="BA53" s="22">
        <f t="shared" si="17"/>
        <v>2873</v>
      </c>
      <c r="BC53" s="112">
        <f t="shared" si="14"/>
        <v>2.9140359397765905E-3</v>
      </c>
      <c r="BD53" s="112">
        <f t="shared" si="15"/>
        <v>1.0775862068965517E-3</v>
      </c>
      <c r="BF53">
        <v>14</v>
      </c>
      <c r="BI53">
        <v>14</v>
      </c>
      <c r="BJ53" s="28">
        <f t="shared" si="4"/>
        <v>28</v>
      </c>
      <c r="BK53" s="32">
        <v>0.5</v>
      </c>
      <c r="BM53">
        <v>139</v>
      </c>
      <c r="BP53">
        <v>138</v>
      </c>
      <c r="BQ53" s="28">
        <f t="shared" si="1"/>
        <v>243.00052826201792</v>
      </c>
      <c r="BR53">
        <v>0.43209999999999998</v>
      </c>
      <c r="BT53">
        <v>30</v>
      </c>
      <c r="BW53">
        <v>30</v>
      </c>
      <c r="BX53" s="28">
        <f t="shared" si="5"/>
        <v>53.003533568904587</v>
      </c>
      <c r="BY53">
        <v>0.434</v>
      </c>
      <c r="CA53">
        <v>4</v>
      </c>
      <c r="CD53">
        <v>4</v>
      </c>
      <c r="CE53" s="28">
        <f t="shared" si="7"/>
        <v>12.987012987012985</v>
      </c>
      <c r="CF53" s="32">
        <v>0.69199999999999995</v>
      </c>
      <c r="CH53">
        <v>50</v>
      </c>
      <c r="CK53">
        <v>50</v>
      </c>
      <c r="CL53" s="28">
        <f t="shared" si="8"/>
        <v>66.666666666666671</v>
      </c>
      <c r="CM53">
        <v>0.25</v>
      </c>
      <c r="CO53">
        <v>30</v>
      </c>
      <c r="CR53">
        <v>30</v>
      </c>
      <c r="CS53" s="28">
        <f t="shared" si="9"/>
        <v>146.34146341463418</v>
      </c>
      <c r="CT53">
        <v>0.79500000000000004</v>
      </c>
      <c r="CV53" s="145">
        <v>44</v>
      </c>
      <c r="CW53" s="145">
        <v>1.59</v>
      </c>
      <c r="CX53" s="145">
        <v>70</v>
      </c>
      <c r="CY53" s="145">
        <v>70</v>
      </c>
      <c r="CZ53" s="145">
        <v>0</v>
      </c>
      <c r="DA53" s="145">
        <v>140</v>
      </c>
      <c r="DB53" s="145">
        <v>70</v>
      </c>
      <c r="DD53">
        <v>97</v>
      </c>
      <c r="DE53" s="28">
        <f t="shared" si="6"/>
        <v>97</v>
      </c>
      <c r="DF53">
        <v>0</v>
      </c>
      <c r="DH53" t="s">
        <v>273</v>
      </c>
      <c r="DJ53">
        <v>113</v>
      </c>
      <c r="DK53" s="32">
        <v>0</v>
      </c>
      <c r="DL53">
        <v>13</v>
      </c>
      <c r="DM53" s="32">
        <v>0</v>
      </c>
      <c r="DN53">
        <v>0</v>
      </c>
      <c r="DO53" s="32">
        <v>0</v>
      </c>
      <c r="DP53">
        <v>5</v>
      </c>
      <c r="DQ53" s="32">
        <v>0</v>
      </c>
      <c r="DR53">
        <v>1</v>
      </c>
      <c r="DS53" s="32">
        <v>0</v>
      </c>
      <c r="DT53" t="s">
        <v>273</v>
      </c>
      <c r="DU53" s="32" t="s">
        <v>273</v>
      </c>
      <c r="DV53">
        <v>0</v>
      </c>
      <c r="DW53" s="32">
        <v>0</v>
      </c>
      <c r="DX53">
        <v>32</v>
      </c>
      <c r="DY53" s="32">
        <v>0</v>
      </c>
      <c r="DZ53">
        <v>12</v>
      </c>
      <c r="EA53" s="32">
        <v>0</v>
      </c>
      <c r="EC53">
        <v>7</v>
      </c>
      <c r="ED53">
        <v>13</v>
      </c>
      <c r="EE53">
        <v>14</v>
      </c>
      <c r="EF53">
        <v>0</v>
      </c>
      <c r="EG53">
        <v>6</v>
      </c>
      <c r="EH53">
        <v>16</v>
      </c>
      <c r="EI53" s="32">
        <v>1.2857143E-2</v>
      </c>
      <c r="EJ53">
        <v>1</v>
      </c>
      <c r="EK53" s="32">
        <v>0</v>
      </c>
      <c r="EL53">
        <v>23</v>
      </c>
      <c r="EM53">
        <v>79</v>
      </c>
      <c r="EN53" s="32">
        <v>1.5844272999999999E-3</v>
      </c>
      <c r="ES53">
        <v>364</v>
      </c>
      <c r="ET53" s="32">
        <v>3.0357330000000001E-3</v>
      </c>
      <c r="EW53" s="187">
        <f>AVERAGE(ES53:ES$75)</f>
        <v>683</v>
      </c>
      <c r="EX53" s="187">
        <f>AVERAGE(ES53:ES$76)</f>
        <v>658.08333333333337</v>
      </c>
      <c r="EY53" s="187">
        <f>AVERAGE(ES53:ES$74)</f>
        <v>698.09090909090912</v>
      </c>
    </row>
    <row r="54" spans="1:155" x14ac:dyDescent="0.3">
      <c r="A54" s="33">
        <v>1995</v>
      </c>
      <c r="B54" s="135">
        <v>5242</v>
      </c>
      <c r="C54" s="135">
        <v>3382</v>
      </c>
      <c r="D54" s="135">
        <f t="shared" si="10"/>
        <v>1860</v>
      </c>
      <c r="E54" s="145">
        <v>3</v>
      </c>
      <c r="F54" s="142">
        <v>0.1</v>
      </c>
      <c r="G54" s="145">
        <v>167</v>
      </c>
      <c r="H54" s="142">
        <v>4.9000000000000004</v>
      </c>
      <c r="I54" s="145">
        <v>170</v>
      </c>
      <c r="J54" s="142">
        <v>5</v>
      </c>
      <c r="K54" s="135">
        <v>2027</v>
      </c>
      <c r="L54" s="142">
        <v>59.9</v>
      </c>
      <c r="M54" s="146">
        <v>1186</v>
      </c>
      <c r="N54" s="147">
        <v>35</v>
      </c>
      <c r="O54" s="143">
        <v>1167</v>
      </c>
      <c r="P54" s="144">
        <v>630</v>
      </c>
      <c r="Q54" s="144">
        <v>1797</v>
      </c>
      <c r="R54" s="144"/>
      <c r="S54" s="141">
        <f t="shared" ref="S54:S75" si="19">M54/C54</f>
        <v>0.35068007096392667</v>
      </c>
      <c r="T54" s="141">
        <f t="shared" ref="T54:T75" si="20">M54/(C54-I54)</f>
        <v>0.36924034869240346</v>
      </c>
      <c r="U54" s="142"/>
      <c r="V54" s="142"/>
      <c r="W54" s="142"/>
      <c r="X54" s="142"/>
      <c r="Y54" s="142"/>
      <c r="Z54" s="142"/>
      <c r="AA54" s="142"/>
      <c r="AB54" s="142"/>
      <c r="AC54" s="142"/>
      <c r="AD54" s="142"/>
      <c r="AE54" s="142"/>
      <c r="AF54" s="142"/>
      <c r="AG54" s="142"/>
      <c r="AH54" s="142"/>
      <c r="AI54" s="142"/>
      <c r="AJ54" s="142"/>
      <c r="AK54" s="142"/>
      <c r="AL54" s="128"/>
      <c r="AM54" s="143">
        <v>1167</v>
      </c>
      <c r="AN54" s="144">
        <v>630</v>
      </c>
      <c r="AO54" s="144">
        <v>1797</v>
      </c>
      <c r="AQ54" s="28">
        <v>0</v>
      </c>
      <c r="AR54" s="34">
        <f t="shared" si="12"/>
        <v>0</v>
      </c>
      <c r="AS54" s="34">
        <f t="shared" si="13"/>
        <v>0</v>
      </c>
      <c r="AV54" s="91">
        <f t="shared" si="18"/>
        <v>0</v>
      </c>
      <c r="AX54" s="22">
        <v>0</v>
      </c>
      <c r="AY54" s="22">
        <v>2</v>
      </c>
      <c r="AZ54" s="22">
        <f t="shared" si="16"/>
        <v>2</v>
      </c>
      <c r="BA54" s="22">
        <f t="shared" si="17"/>
        <v>2875</v>
      </c>
      <c r="BC54" s="112">
        <f t="shared" si="14"/>
        <v>0</v>
      </c>
      <c r="BD54" s="112">
        <f t="shared" si="15"/>
        <v>1.7137960582690661E-3</v>
      </c>
      <c r="BF54">
        <v>38</v>
      </c>
      <c r="BI54">
        <v>34</v>
      </c>
      <c r="BJ54" s="28">
        <f t="shared" si="4"/>
        <v>34</v>
      </c>
      <c r="BK54" s="32">
        <v>0</v>
      </c>
      <c r="BM54">
        <v>268</v>
      </c>
      <c r="BP54">
        <v>185</v>
      </c>
      <c r="BQ54" s="28">
        <f t="shared" si="1"/>
        <v>265.99568655643424</v>
      </c>
      <c r="BR54">
        <v>0.30449999999999999</v>
      </c>
      <c r="BT54">
        <v>70</v>
      </c>
      <c r="BW54">
        <v>63</v>
      </c>
      <c r="BX54" s="28">
        <f t="shared" si="5"/>
        <v>63</v>
      </c>
      <c r="BY54">
        <v>0</v>
      </c>
      <c r="CA54">
        <v>22</v>
      </c>
      <c r="CD54">
        <v>20</v>
      </c>
      <c r="CE54" s="28">
        <f t="shared" si="7"/>
        <v>20</v>
      </c>
      <c r="CF54" s="32">
        <v>0</v>
      </c>
      <c r="CH54">
        <v>37</v>
      </c>
      <c r="CK54">
        <v>33</v>
      </c>
      <c r="CL54" s="28">
        <f t="shared" si="8"/>
        <v>33</v>
      </c>
      <c r="CM54">
        <v>0</v>
      </c>
      <c r="CO54">
        <v>57</v>
      </c>
      <c r="CR54">
        <v>51</v>
      </c>
      <c r="CS54" s="28">
        <f t="shared" si="9"/>
        <v>72.033898305084747</v>
      </c>
      <c r="CT54">
        <v>0.29199999999999998</v>
      </c>
      <c r="CV54" s="145">
        <v>5</v>
      </c>
      <c r="CW54" s="145">
        <v>2.2000000000000002</v>
      </c>
      <c r="CX54" s="145">
        <v>11</v>
      </c>
      <c r="CY54" s="145">
        <v>43</v>
      </c>
      <c r="CZ54" s="145">
        <v>0</v>
      </c>
      <c r="DA54" s="145">
        <v>54</v>
      </c>
      <c r="DB54" s="145">
        <v>39</v>
      </c>
      <c r="DD54">
        <v>27</v>
      </c>
      <c r="DE54" s="28">
        <f t="shared" si="6"/>
        <v>27</v>
      </c>
      <c r="DF54">
        <v>0</v>
      </c>
      <c r="DH54" t="s">
        <v>273</v>
      </c>
      <c r="DJ54">
        <v>68</v>
      </c>
      <c r="DK54" s="32">
        <v>0</v>
      </c>
      <c r="DL54">
        <v>8</v>
      </c>
      <c r="DM54" s="32">
        <v>0</v>
      </c>
      <c r="DN54">
        <v>0</v>
      </c>
      <c r="DO54" s="32">
        <v>0</v>
      </c>
      <c r="DP54">
        <v>0</v>
      </c>
      <c r="DQ54" s="32">
        <v>0</v>
      </c>
      <c r="DR54">
        <v>0</v>
      </c>
      <c r="DS54" s="32">
        <v>0</v>
      </c>
      <c r="DT54">
        <v>0</v>
      </c>
      <c r="DU54" s="32">
        <v>0</v>
      </c>
      <c r="DV54">
        <v>1</v>
      </c>
      <c r="DW54" s="32">
        <v>0</v>
      </c>
      <c r="DX54">
        <v>16</v>
      </c>
      <c r="DY54" s="32">
        <v>0</v>
      </c>
      <c r="DZ54">
        <v>0</v>
      </c>
      <c r="EA54" s="32">
        <v>0</v>
      </c>
      <c r="EC54">
        <v>1</v>
      </c>
      <c r="ED54">
        <v>9</v>
      </c>
      <c r="EE54">
        <v>9</v>
      </c>
      <c r="EF54">
        <v>0</v>
      </c>
      <c r="EG54">
        <v>11</v>
      </c>
      <c r="EH54">
        <v>6</v>
      </c>
      <c r="EI54" s="32">
        <v>0.03</v>
      </c>
      <c r="EJ54">
        <v>0</v>
      </c>
      <c r="EK54" s="32">
        <v>0</v>
      </c>
      <c r="EL54">
        <v>0</v>
      </c>
      <c r="EM54">
        <v>21</v>
      </c>
      <c r="EN54" s="32">
        <v>2.3333333000000001E-2</v>
      </c>
      <c r="ES54">
        <v>111</v>
      </c>
      <c r="ET54" s="32">
        <v>4.2271204E-2</v>
      </c>
      <c r="EW54" s="187">
        <f>AVERAGE(ES54:ES$75)</f>
        <v>697.5</v>
      </c>
      <c r="EX54" s="187">
        <f>AVERAGE(ES54:ES$76)</f>
        <v>670.86956521739125</v>
      </c>
      <c r="EY54" s="187">
        <f>AVERAGE(ES54:ES$74)</f>
        <v>714</v>
      </c>
    </row>
    <row r="55" spans="1:155" x14ac:dyDescent="0.3">
      <c r="A55" s="33">
        <v>1996</v>
      </c>
      <c r="B55" s="135">
        <v>16799</v>
      </c>
      <c r="C55" s="135">
        <v>9037</v>
      </c>
      <c r="D55" s="135">
        <f t="shared" si="10"/>
        <v>7762</v>
      </c>
      <c r="E55" s="145">
        <v>9</v>
      </c>
      <c r="F55" s="142">
        <v>0.1</v>
      </c>
      <c r="G55" s="145">
        <v>474</v>
      </c>
      <c r="H55" s="142">
        <v>5.2</v>
      </c>
      <c r="I55" s="145">
        <v>483</v>
      </c>
      <c r="J55" s="142">
        <v>5.3</v>
      </c>
      <c r="K55" s="135">
        <v>4771</v>
      </c>
      <c r="L55" s="142">
        <v>52.8</v>
      </c>
      <c r="M55" s="146">
        <v>3783</v>
      </c>
      <c r="N55" s="147">
        <v>41.9</v>
      </c>
      <c r="O55" s="143">
        <v>3643</v>
      </c>
      <c r="P55" s="144">
        <v>3179</v>
      </c>
      <c r="Q55" s="144">
        <v>6822</v>
      </c>
      <c r="R55" s="144"/>
      <c r="S55" s="141">
        <f t="shared" si="19"/>
        <v>0.41861237136217772</v>
      </c>
      <c r="T55" s="141">
        <f t="shared" si="20"/>
        <v>0.44224924012158057</v>
      </c>
      <c r="U55" s="142"/>
      <c r="V55" s="142"/>
      <c r="W55" s="142"/>
      <c r="X55" s="142"/>
      <c r="Y55" s="142"/>
      <c r="Z55" s="142"/>
      <c r="AA55" s="142"/>
      <c r="AB55" s="142"/>
      <c r="AC55" s="142"/>
      <c r="AD55" s="142"/>
      <c r="AE55" s="142"/>
      <c r="AF55" s="142"/>
      <c r="AG55" s="142"/>
      <c r="AH55" s="142"/>
      <c r="AI55" s="142"/>
      <c r="AJ55" s="142"/>
      <c r="AK55" s="142"/>
      <c r="AL55" s="128"/>
      <c r="AM55" s="143">
        <v>3643</v>
      </c>
      <c r="AN55" s="144">
        <v>3179</v>
      </c>
      <c r="AO55" s="144">
        <v>6822</v>
      </c>
      <c r="AQ55" s="28">
        <v>0</v>
      </c>
      <c r="AR55" s="34">
        <f t="shared" si="12"/>
        <v>0</v>
      </c>
      <c r="AS55" s="34">
        <f t="shared" si="13"/>
        <v>0</v>
      </c>
      <c r="AV55" s="91">
        <f t="shared" si="18"/>
        <v>0</v>
      </c>
      <c r="AX55" s="22">
        <v>12</v>
      </c>
      <c r="AY55" s="22">
        <v>0</v>
      </c>
      <c r="AZ55" s="22">
        <f t="shared" si="16"/>
        <v>12</v>
      </c>
      <c r="BA55" s="22">
        <f t="shared" si="17"/>
        <v>2887</v>
      </c>
      <c r="BC55" s="112">
        <f t="shared" si="14"/>
        <v>3.7747719408619063E-3</v>
      </c>
      <c r="BD55" s="112">
        <f t="shared" si="15"/>
        <v>0</v>
      </c>
      <c r="BF55">
        <v>35</v>
      </c>
      <c r="BI55">
        <v>34</v>
      </c>
      <c r="BJ55" s="28">
        <f t="shared" si="4"/>
        <v>34</v>
      </c>
      <c r="BK55" s="32">
        <v>0</v>
      </c>
      <c r="BM55">
        <v>293</v>
      </c>
      <c r="BP55">
        <v>278</v>
      </c>
      <c r="BQ55" s="28">
        <f t="shared" si="1"/>
        <v>347.97847039679561</v>
      </c>
      <c r="BR55">
        <v>0.2011</v>
      </c>
      <c r="BT55">
        <v>296</v>
      </c>
      <c r="BW55">
        <v>285</v>
      </c>
      <c r="BX55" s="28">
        <f t="shared" si="5"/>
        <v>299.05561385099685</v>
      </c>
      <c r="BY55">
        <v>4.7E-2</v>
      </c>
      <c r="CA55">
        <v>70</v>
      </c>
      <c r="CD55">
        <v>68</v>
      </c>
      <c r="CE55" s="28">
        <f t="shared" si="7"/>
        <v>68</v>
      </c>
      <c r="CF55" s="32">
        <v>0</v>
      </c>
      <c r="CH55">
        <v>96</v>
      </c>
      <c r="CK55">
        <v>91</v>
      </c>
      <c r="CL55" s="28">
        <f t="shared" si="8"/>
        <v>91</v>
      </c>
      <c r="CM55">
        <v>0</v>
      </c>
      <c r="CO55">
        <v>424</v>
      </c>
      <c r="CR55">
        <v>405</v>
      </c>
      <c r="CS55" s="28">
        <f t="shared" si="9"/>
        <v>412.8440366972477</v>
      </c>
      <c r="CT55">
        <v>1.9E-2</v>
      </c>
      <c r="CV55" s="145">
        <v>68</v>
      </c>
      <c r="CW55" s="145">
        <v>2</v>
      </c>
      <c r="CX55" s="145">
        <v>136</v>
      </c>
      <c r="CY55" s="145">
        <v>80</v>
      </c>
      <c r="CZ55" s="145">
        <v>16</v>
      </c>
      <c r="DA55" s="145">
        <v>232</v>
      </c>
      <c r="DB55" s="145">
        <v>63</v>
      </c>
      <c r="DD55">
        <v>117</v>
      </c>
      <c r="DE55" s="28">
        <f t="shared" si="6"/>
        <v>151.94805194805195</v>
      </c>
      <c r="DF55">
        <v>0.23</v>
      </c>
      <c r="DH55">
        <v>2</v>
      </c>
      <c r="DJ55">
        <v>79</v>
      </c>
      <c r="DK55" s="32">
        <v>0</v>
      </c>
      <c r="DL55">
        <v>3</v>
      </c>
      <c r="DM55" s="32">
        <v>0</v>
      </c>
      <c r="DN55">
        <v>0</v>
      </c>
      <c r="DO55" s="32">
        <v>0</v>
      </c>
      <c r="DP55">
        <v>2</v>
      </c>
      <c r="DQ55" s="32">
        <v>0</v>
      </c>
      <c r="DR55">
        <v>1</v>
      </c>
      <c r="DS55" s="32">
        <v>0</v>
      </c>
      <c r="DT55">
        <v>6</v>
      </c>
      <c r="DU55" s="32">
        <v>0</v>
      </c>
      <c r="DV55">
        <v>27</v>
      </c>
      <c r="DW55" s="32">
        <v>0</v>
      </c>
      <c r="DX55">
        <v>57</v>
      </c>
      <c r="DY55" s="32">
        <v>0</v>
      </c>
      <c r="DZ55">
        <v>25</v>
      </c>
      <c r="EA55" s="32">
        <v>0</v>
      </c>
      <c r="EC55">
        <v>12</v>
      </c>
      <c r="ED55">
        <v>57</v>
      </c>
      <c r="EE55">
        <v>37</v>
      </c>
      <c r="EF55">
        <v>0</v>
      </c>
      <c r="EG55">
        <v>48</v>
      </c>
      <c r="EH55">
        <v>10</v>
      </c>
      <c r="EI55" s="32">
        <v>2.1818180999999999E-2</v>
      </c>
      <c r="EJ55">
        <v>3</v>
      </c>
      <c r="EK55" s="32">
        <v>0</v>
      </c>
      <c r="EL55">
        <v>7</v>
      </c>
      <c r="EM55">
        <v>76</v>
      </c>
      <c r="EN55" s="32">
        <v>6.1860876E-3</v>
      </c>
      <c r="ES55">
        <v>258</v>
      </c>
      <c r="ET55" s="32">
        <v>1.3401243E-2</v>
      </c>
      <c r="EW55" s="187">
        <f>AVERAGE(ES55:ES$75)</f>
        <v>725.42857142857144</v>
      </c>
      <c r="EX55" s="187">
        <f>AVERAGE(ES55:ES$76)</f>
        <v>696.31818181818187</v>
      </c>
      <c r="EY55" s="187">
        <f>AVERAGE(ES55:ES$74)</f>
        <v>744.15</v>
      </c>
    </row>
    <row r="56" spans="1:155" x14ac:dyDescent="0.3">
      <c r="A56" s="33">
        <v>1997</v>
      </c>
      <c r="B56" s="135">
        <v>82853</v>
      </c>
      <c r="C56" s="135">
        <v>9172</v>
      </c>
      <c r="D56" s="135">
        <f t="shared" si="10"/>
        <v>73681</v>
      </c>
      <c r="E56" s="145">
        <v>5</v>
      </c>
      <c r="F56" s="142">
        <v>0.1</v>
      </c>
      <c r="G56" s="145">
        <v>614</v>
      </c>
      <c r="H56" s="142">
        <v>6.7</v>
      </c>
      <c r="I56" s="145">
        <v>619</v>
      </c>
      <c r="J56" s="142">
        <v>6.8</v>
      </c>
      <c r="K56" s="135">
        <v>3586</v>
      </c>
      <c r="L56" s="142">
        <v>39.1</v>
      </c>
      <c r="M56" s="146">
        <v>4968</v>
      </c>
      <c r="N56" s="147">
        <v>54.2</v>
      </c>
      <c r="O56" s="143">
        <v>4272</v>
      </c>
      <c r="P56" s="144">
        <v>40292</v>
      </c>
      <c r="Q56" s="144">
        <v>44564</v>
      </c>
      <c r="R56" s="144"/>
      <c r="S56" s="141">
        <f t="shared" si="19"/>
        <v>0.54164849542084603</v>
      </c>
      <c r="T56" s="141">
        <f t="shared" si="20"/>
        <v>0.58084882497369339</v>
      </c>
      <c r="U56" s="142"/>
      <c r="V56" s="142"/>
      <c r="W56" s="142"/>
      <c r="X56" s="142"/>
      <c r="Y56" s="142"/>
      <c r="Z56" s="142"/>
      <c r="AA56" s="142"/>
      <c r="AB56" s="142"/>
      <c r="AC56" s="142"/>
      <c r="AD56" s="142"/>
      <c r="AE56" s="142"/>
      <c r="AF56" s="142"/>
      <c r="AG56" s="142"/>
      <c r="AH56" s="142"/>
      <c r="AI56" s="142"/>
      <c r="AJ56" s="142"/>
      <c r="AK56" s="142"/>
      <c r="AL56" s="128"/>
      <c r="AM56" s="143">
        <v>4272</v>
      </c>
      <c r="AN56" s="144">
        <v>40292</v>
      </c>
      <c r="AO56" s="144">
        <v>44564</v>
      </c>
      <c r="AQ56" s="28">
        <v>3461</v>
      </c>
      <c r="AR56" s="34">
        <f t="shared" si="12"/>
        <v>8.5897945001489132E-2</v>
      </c>
      <c r="AS56" s="34">
        <f t="shared" si="13"/>
        <v>4.6972760956013083E-2</v>
      </c>
      <c r="AV56" s="91">
        <f t="shared" si="18"/>
        <v>4.2948972500744566E-3</v>
      </c>
      <c r="AX56" s="22">
        <v>268</v>
      </c>
      <c r="AY56" s="22">
        <v>8</v>
      </c>
      <c r="AZ56" s="22">
        <f t="shared" si="16"/>
        <v>276</v>
      </c>
      <c r="BA56" s="22">
        <f t="shared" si="17"/>
        <v>3163</v>
      </c>
      <c r="BC56" s="112">
        <f t="shared" si="14"/>
        <v>6.6514444554750321E-3</v>
      </c>
      <c r="BD56" s="112">
        <f t="shared" si="15"/>
        <v>1.8726591760299626E-3</v>
      </c>
      <c r="BF56">
        <v>72</v>
      </c>
      <c r="BI56">
        <v>72</v>
      </c>
      <c r="BJ56" s="28">
        <f t="shared" si="4"/>
        <v>72</v>
      </c>
      <c r="BK56" s="32">
        <v>0</v>
      </c>
      <c r="BM56">
        <v>200</v>
      </c>
      <c r="BP56">
        <v>191</v>
      </c>
      <c r="BQ56" s="28">
        <f t="shared" si="1"/>
        <v>637.94255177020705</v>
      </c>
      <c r="BR56">
        <v>0.7006</v>
      </c>
      <c r="BT56">
        <v>180</v>
      </c>
      <c r="BW56">
        <v>176</v>
      </c>
      <c r="BX56" s="28">
        <f t="shared" si="5"/>
        <v>183.90804597701151</v>
      </c>
      <c r="BY56">
        <v>4.2999999999999997E-2</v>
      </c>
      <c r="CA56">
        <v>61</v>
      </c>
      <c r="CD56">
        <v>61</v>
      </c>
      <c r="CE56" s="28">
        <f t="shared" si="7"/>
        <v>61</v>
      </c>
      <c r="CF56" s="32">
        <v>0</v>
      </c>
      <c r="CO56">
        <v>271</v>
      </c>
      <c r="CR56">
        <v>267</v>
      </c>
      <c r="CS56" s="28">
        <f t="shared" si="9"/>
        <v>276.11168562564632</v>
      </c>
      <c r="CT56">
        <v>3.3000000000000002E-2</v>
      </c>
      <c r="CV56" s="145">
        <v>73</v>
      </c>
      <c r="CW56" s="145">
        <v>2</v>
      </c>
      <c r="CX56" s="145">
        <v>146</v>
      </c>
      <c r="CY56" s="145">
        <v>97</v>
      </c>
      <c r="CZ56" s="145">
        <v>45</v>
      </c>
      <c r="DA56" s="145">
        <v>288</v>
      </c>
      <c r="DB56" s="145">
        <v>47</v>
      </c>
      <c r="DD56">
        <v>68</v>
      </c>
      <c r="DE56" s="28">
        <f t="shared" si="6"/>
        <v>104.93827160493827</v>
      </c>
      <c r="DF56">
        <v>0.35199999999999998</v>
      </c>
      <c r="DH56" t="s">
        <v>273</v>
      </c>
      <c r="DJ56">
        <v>147</v>
      </c>
      <c r="DK56" s="32">
        <v>0</v>
      </c>
      <c r="DL56">
        <v>152</v>
      </c>
      <c r="DM56" s="32">
        <v>0</v>
      </c>
      <c r="DN56">
        <v>5</v>
      </c>
      <c r="DO56" s="32">
        <v>0</v>
      </c>
      <c r="DP56">
        <v>19</v>
      </c>
      <c r="DQ56" s="32">
        <v>0</v>
      </c>
      <c r="DR56">
        <v>53</v>
      </c>
      <c r="DS56" s="32">
        <v>0</v>
      </c>
      <c r="DT56">
        <v>80</v>
      </c>
      <c r="DU56" s="32">
        <v>0</v>
      </c>
      <c r="DV56">
        <v>34</v>
      </c>
      <c r="DW56" s="32">
        <v>0</v>
      </c>
      <c r="DX56">
        <v>233</v>
      </c>
      <c r="DY56" s="32">
        <v>0</v>
      </c>
      <c r="DZ56">
        <v>153</v>
      </c>
      <c r="EA56" s="32">
        <v>0</v>
      </c>
      <c r="EC56">
        <v>25</v>
      </c>
      <c r="ED56">
        <v>99</v>
      </c>
      <c r="EE56">
        <v>77</v>
      </c>
      <c r="EF56">
        <v>0</v>
      </c>
      <c r="EG56">
        <v>51</v>
      </c>
      <c r="EH56">
        <v>44</v>
      </c>
      <c r="EI56" s="32">
        <v>6.2956432999999997E-3</v>
      </c>
      <c r="EJ56">
        <v>7</v>
      </c>
      <c r="EK56" s="32">
        <v>0</v>
      </c>
      <c r="EL56">
        <v>30</v>
      </c>
      <c r="EM56">
        <v>110</v>
      </c>
      <c r="EN56" s="32">
        <v>9.5902820000000003E-3</v>
      </c>
      <c r="ES56">
        <v>431</v>
      </c>
      <c r="ET56" s="32">
        <v>5.2233355000000001E-4</v>
      </c>
      <c r="EW56" s="187">
        <f>AVERAGE(ES56:ES$75)</f>
        <v>748.8</v>
      </c>
      <c r="EX56" s="187">
        <f>AVERAGE(ES56:ES$76)</f>
        <v>717.19047619047615</v>
      </c>
      <c r="EY56" s="187">
        <f>AVERAGE(ES56:ES$74)</f>
        <v>769.73684210526312</v>
      </c>
    </row>
    <row r="57" spans="1:155" x14ac:dyDescent="0.3">
      <c r="A57" s="33">
        <v>1998</v>
      </c>
      <c r="B57" s="135">
        <v>26835</v>
      </c>
      <c r="C57" s="135">
        <v>13785</v>
      </c>
      <c r="D57" s="135">
        <f t="shared" si="10"/>
        <v>13050</v>
      </c>
      <c r="E57" s="145">
        <v>13</v>
      </c>
      <c r="F57" s="142">
        <v>0.1</v>
      </c>
      <c r="G57" s="145">
        <v>692</v>
      </c>
      <c r="H57" s="142">
        <v>5</v>
      </c>
      <c r="I57" s="145">
        <v>705</v>
      </c>
      <c r="J57" s="142">
        <v>5.0999999999999996</v>
      </c>
      <c r="K57" s="135">
        <v>5712</v>
      </c>
      <c r="L57" s="142">
        <v>41.4</v>
      </c>
      <c r="M57" s="146">
        <v>7365</v>
      </c>
      <c r="N57" s="147">
        <v>53.4</v>
      </c>
      <c r="O57" s="143">
        <v>7306</v>
      </c>
      <c r="P57" s="144">
        <v>6903</v>
      </c>
      <c r="Q57" s="144">
        <v>14209</v>
      </c>
      <c r="R57" s="144"/>
      <c r="S57" s="141">
        <f t="shared" si="19"/>
        <v>0.53427638737758432</v>
      </c>
      <c r="T57" s="141">
        <f t="shared" si="20"/>
        <v>0.56307339449541283</v>
      </c>
      <c r="U57" s="142"/>
      <c r="V57" s="142"/>
      <c r="W57" s="142"/>
      <c r="X57" s="142"/>
      <c r="Y57" s="142"/>
      <c r="Z57" s="142"/>
      <c r="AA57" s="142"/>
      <c r="AB57" s="142"/>
      <c r="AC57" s="142"/>
      <c r="AD57" s="142"/>
      <c r="AE57" s="142"/>
      <c r="AF57" s="142"/>
      <c r="AG57" s="142"/>
      <c r="AH57" s="142"/>
      <c r="AI57" s="142"/>
      <c r="AJ57" s="142"/>
      <c r="AK57" s="142"/>
      <c r="AL57" s="128"/>
      <c r="AM57" s="143">
        <v>7306</v>
      </c>
      <c r="AN57" s="144">
        <v>6903</v>
      </c>
      <c r="AO57" s="144">
        <v>14209</v>
      </c>
      <c r="AQ57" s="28">
        <v>271</v>
      </c>
      <c r="AR57" s="34">
        <f t="shared" si="12"/>
        <v>3.9258293495581631E-2</v>
      </c>
      <c r="AS57" s="34">
        <f t="shared" si="13"/>
        <v>2.0766283524904214E-2</v>
      </c>
      <c r="AV57" s="91">
        <f t="shared" si="18"/>
        <v>1.9629146747790816E-3</v>
      </c>
      <c r="AX57" s="22">
        <v>68</v>
      </c>
      <c r="AY57" s="22">
        <v>52</v>
      </c>
      <c r="AZ57" s="22">
        <f t="shared" si="16"/>
        <v>120</v>
      </c>
      <c r="BA57" s="22">
        <f t="shared" si="17"/>
        <v>3283</v>
      </c>
      <c r="BC57" s="112">
        <f t="shared" si="14"/>
        <v>9.8507895118064605E-3</v>
      </c>
      <c r="BD57" s="112">
        <f t="shared" si="15"/>
        <v>7.1174377224199285E-3</v>
      </c>
      <c r="BF57">
        <v>91</v>
      </c>
      <c r="BI57">
        <v>91</v>
      </c>
      <c r="BJ57" s="28">
        <f t="shared" si="4"/>
        <v>91</v>
      </c>
      <c r="BK57" s="32">
        <v>0</v>
      </c>
      <c r="BM57">
        <v>205</v>
      </c>
      <c r="BP57">
        <v>197</v>
      </c>
      <c r="BQ57" s="28">
        <f t="shared" si="1"/>
        <v>385.97178683385584</v>
      </c>
      <c r="BR57">
        <v>0.48959999999999998</v>
      </c>
      <c r="BT57">
        <v>209</v>
      </c>
      <c r="BW57">
        <v>209</v>
      </c>
      <c r="BX57" s="28">
        <f t="shared" si="5"/>
        <v>209</v>
      </c>
      <c r="BY57">
        <v>0</v>
      </c>
      <c r="CA57">
        <v>84</v>
      </c>
      <c r="CD57">
        <v>83</v>
      </c>
      <c r="CE57" s="28">
        <f t="shared" si="7"/>
        <v>83</v>
      </c>
      <c r="CF57" s="32">
        <v>0</v>
      </c>
      <c r="CO57">
        <v>253</v>
      </c>
      <c r="CR57">
        <v>248</v>
      </c>
      <c r="CS57" s="28">
        <f t="shared" si="9"/>
        <v>251.01214574898785</v>
      </c>
      <c r="CT57">
        <v>1.2E-2</v>
      </c>
      <c r="CV57" s="145">
        <v>26</v>
      </c>
      <c r="CW57" s="145">
        <v>1.94</v>
      </c>
      <c r="CX57" s="145">
        <v>51</v>
      </c>
      <c r="CY57" s="145">
        <v>89</v>
      </c>
      <c r="CZ57" s="145">
        <v>4</v>
      </c>
      <c r="DA57" s="145">
        <v>144</v>
      </c>
      <c r="DB57" s="145">
        <v>59</v>
      </c>
      <c r="DD57">
        <v>44</v>
      </c>
      <c r="DE57" s="28">
        <f t="shared" si="6"/>
        <v>59.45945945945946</v>
      </c>
      <c r="DF57">
        <v>0.26</v>
      </c>
      <c r="DH57" t="s">
        <v>273</v>
      </c>
      <c r="DJ57">
        <v>22</v>
      </c>
      <c r="DK57" s="32">
        <v>0</v>
      </c>
      <c r="DL57">
        <v>73</v>
      </c>
      <c r="DM57" s="32">
        <v>0</v>
      </c>
      <c r="DN57">
        <v>0</v>
      </c>
      <c r="DO57" s="32">
        <v>0</v>
      </c>
      <c r="DP57">
        <v>50</v>
      </c>
      <c r="DQ57" s="32">
        <v>0</v>
      </c>
      <c r="DR57">
        <v>107</v>
      </c>
      <c r="DS57" s="32">
        <v>0</v>
      </c>
      <c r="DT57">
        <v>62</v>
      </c>
      <c r="DU57" s="32">
        <v>0</v>
      </c>
      <c r="DV57">
        <v>101</v>
      </c>
      <c r="DW57" s="32">
        <v>0</v>
      </c>
      <c r="DX57">
        <v>391</v>
      </c>
      <c r="DY57" s="32">
        <v>0</v>
      </c>
      <c r="DZ57">
        <v>229</v>
      </c>
      <c r="EA57" s="32">
        <v>0</v>
      </c>
      <c r="EC57">
        <v>7</v>
      </c>
      <c r="ED57">
        <v>83</v>
      </c>
      <c r="EE57">
        <v>49</v>
      </c>
      <c r="EF57">
        <v>0</v>
      </c>
      <c r="EG57">
        <v>56</v>
      </c>
      <c r="EH57">
        <v>126</v>
      </c>
      <c r="EI57" s="32">
        <v>2.0152260000000002E-3</v>
      </c>
      <c r="EJ57">
        <v>19</v>
      </c>
      <c r="EK57" s="32">
        <v>0</v>
      </c>
      <c r="EL57">
        <v>95</v>
      </c>
      <c r="EM57">
        <v>61</v>
      </c>
      <c r="EN57" s="32">
        <v>1.3717421E-2</v>
      </c>
      <c r="ES57">
        <v>665</v>
      </c>
      <c r="ET57" s="32">
        <v>1.8200999999999998E-2</v>
      </c>
      <c r="EW57" s="187">
        <f>AVERAGE(ES57:ES$75)</f>
        <v>765.52631578947364</v>
      </c>
      <c r="EX57" s="187">
        <f>AVERAGE(ES57:ES$76)</f>
        <v>731.5</v>
      </c>
      <c r="EY57" s="187">
        <f>AVERAGE(ES57:ES$74)</f>
        <v>788.55555555555554</v>
      </c>
    </row>
    <row r="58" spans="1:155" x14ac:dyDescent="0.3">
      <c r="A58" s="33">
        <v>1999</v>
      </c>
      <c r="B58" s="135">
        <v>13806</v>
      </c>
      <c r="C58" s="135">
        <v>5852</v>
      </c>
      <c r="D58" s="135">
        <f t="shared" si="10"/>
        <v>7954</v>
      </c>
      <c r="E58" s="145">
        <v>6</v>
      </c>
      <c r="F58" s="142">
        <v>0.1</v>
      </c>
      <c r="G58" s="145">
        <v>267</v>
      </c>
      <c r="H58" s="142">
        <v>4.5999999999999996</v>
      </c>
      <c r="I58" s="145">
        <v>273</v>
      </c>
      <c r="J58" s="142">
        <v>4.7</v>
      </c>
      <c r="K58" s="135">
        <v>2664</v>
      </c>
      <c r="L58" s="142">
        <v>46</v>
      </c>
      <c r="M58" s="146">
        <v>2856</v>
      </c>
      <c r="N58" s="147">
        <v>49.3</v>
      </c>
      <c r="O58" s="143">
        <v>2953</v>
      </c>
      <c r="P58" s="144">
        <v>3787</v>
      </c>
      <c r="Q58" s="144">
        <v>6740</v>
      </c>
      <c r="R58" s="144"/>
      <c r="S58" s="141">
        <f t="shared" si="19"/>
        <v>0.48803827751196172</v>
      </c>
      <c r="T58" s="141">
        <f t="shared" si="20"/>
        <v>0.51191969887076538</v>
      </c>
      <c r="U58" s="142"/>
      <c r="V58" s="142"/>
      <c r="W58" s="142"/>
      <c r="X58" s="142"/>
      <c r="Y58" s="142"/>
      <c r="Z58" s="142"/>
      <c r="AA58" s="142"/>
      <c r="AB58" s="142"/>
      <c r="AC58" s="142"/>
      <c r="AD58" s="142"/>
      <c r="AE58" s="142"/>
      <c r="AF58" s="142"/>
      <c r="AG58" s="142"/>
      <c r="AH58" s="142"/>
      <c r="AI58" s="142"/>
      <c r="AJ58" s="142"/>
      <c r="AK58" s="142"/>
      <c r="AL58" s="128"/>
      <c r="AM58" s="143">
        <v>2953</v>
      </c>
      <c r="AN58" s="144">
        <v>3787</v>
      </c>
      <c r="AO58" s="144">
        <v>6740</v>
      </c>
      <c r="AQ58" s="28">
        <v>0</v>
      </c>
      <c r="AR58" s="34">
        <f t="shared" si="12"/>
        <v>0</v>
      </c>
      <c r="AS58" s="34">
        <f t="shared" si="13"/>
        <v>0</v>
      </c>
      <c r="AV58" s="91">
        <f t="shared" si="18"/>
        <v>0</v>
      </c>
      <c r="AX58" s="22">
        <v>58</v>
      </c>
      <c r="AY58" s="22">
        <v>22</v>
      </c>
      <c r="AZ58" s="22">
        <f t="shared" si="16"/>
        <v>80</v>
      </c>
      <c r="BA58" s="22">
        <f t="shared" si="17"/>
        <v>3363</v>
      </c>
      <c r="BC58" s="112">
        <f t="shared" si="14"/>
        <v>1.5315553208344336E-2</v>
      </c>
      <c r="BD58" s="112">
        <f t="shared" si="15"/>
        <v>7.4500507958008806E-3</v>
      </c>
      <c r="BF58">
        <v>81</v>
      </c>
      <c r="BI58">
        <v>80</v>
      </c>
      <c r="BJ58" s="28">
        <f t="shared" si="4"/>
        <v>80</v>
      </c>
      <c r="BK58" s="32">
        <v>0</v>
      </c>
      <c r="BM58">
        <v>440</v>
      </c>
      <c r="BP58">
        <v>400</v>
      </c>
      <c r="BQ58" s="28">
        <f t="shared" si="1"/>
        <v>746.96545284780586</v>
      </c>
      <c r="BR58">
        <v>0.46450000000000002</v>
      </c>
      <c r="BT58">
        <v>142</v>
      </c>
      <c r="BW58">
        <v>142</v>
      </c>
      <c r="BX58" s="28">
        <f t="shared" si="5"/>
        <v>148.07090719499479</v>
      </c>
      <c r="BY58">
        <v>4.1000000000000002E-2</v>
      </c>
      <c r="CA58">
        <v>4</v>
      </c>
      <c r="CD58">
        <v>4</v>
      </c>
      <c r="CE58" s="28">
        <f t="shared" si="7"/>
        <v>4</v>
      </c>
      <c r="CF58" s="32">
        <v>0</v>
      </c>
      <c r="CO58">
        <v>71</v>
      </c>
      <c r="CR58">
        <v>70</v>
      </c>
      <c r="CS58" s="28">
        <f t="shared" si="9"/>
        <v>81.018518518518519</v>
      </c>
      <c r="CT58">
        <v>0.13600000000000001</v>
      </c>
      <c r="CV58" s="145">
        <v>41</v>
      </c>
      <c r="CW58" s="145">
        <v>2.6</v>
      </c>
      <c r="CX58" s="145">
        <v>107</v>
      </c>
      <c r="CY58" s="145">
        <v>136</v>
      </c>
      <c r="CZ58" s="145">
        <v>2</v>
      </c>
      <c r="DA58" s="145">
        <v>245</v>
      </c>
      <c r="DB58" s="145">
        <v>1</v>
      </c>
      <c r="DD58">
        <v>4</v>
      </c>
      <c r="DE58" s="28">
        <f t="shared" si="6"/>
        <v>159.99999999999986</v>
      </c>
      <c r="DF58">
        <v>0.97499999999999998</v>
      </c>
      <c r="DH58">
        <v>2</v>
      </c>
      <c r="DJ58">
        <v>249</v>
      </c>
      <c r="DK58" s="32">
        <v>0</v>
      </c>
      <c r="DL58">
        <v>42</v>
      </c>
      <c r="DM58" s="32">
        <v>0</v>
      </c>
      <c r="DN58">
        <v>0</v>
      </c>
      <c r="DO58" s="32">
        <v>0</v>
      </c>
      <c r="DP58">
        <v>7</v>
      </c>
      <c r="DQ58" s="32">
        <v>0</v>
      </c>
      <c r="DR58">
        <v>13</v>
      </c>
      <c r="DS58" s="32">
        <v>0</v>
      </c>
      <c r="DT58">
        <v>9</v>
      </c>
      <c r="DU58" s="32">
        <v>0</v>
      </c>
      <c r="DV58">
        <v>0</v>
      </c>
      <c r="DW58" s="32">
        <v>0</v>
      </c>
      <c r="DX58">
        <v>71</v>
      </c>
      <c r="DY58" s="32">
        <v>0</v>
      </c>
      <c r="DZ58">
        <v>0</v>
      </c>
      <c r="EA58" s="32">
        <v>0</v>
      </c>
      <c r="EC58">
        <v>3</v>
      </c>
      <c r="ED58">
        <v>69</v>
      </c>
      <c r="EE58">
        <v>37</v>
      </c>
      <c r="EF58">
        <v>0</v>
      </c>
      <c r="EG58">
        <v>63</v>
      </c>
      <c r="EH58">
        <v>66</v>
      </c>
      <c r="EI58" s="32">
        <v>0</v>
      </c>
      <c r="EJ58">
        <v>1</v>
      </c>
      <c r="EK58" s="32">
        <v>0</v>
      </c>
      <c r="EL58">
        <v>17</v>
      </c>
      <c r="EM58">
        <v>78</v>
      </c>
      <c r="EN58" s="32">
        <v>8.2365649999999999E-2</v>
      </c>
      <c r="ES58">
        <v>469</v>
      </c>
      <c r="ET58" s="32">
        <v>7.9202390000000008E-3</v>
      </c>
      <c r="EW58" s="187">
        <f>AVERAGE(ES58:ES$75)</f>
        <v>771.11111111111109</v>
      </c>
      <c r="EX58" s="187">
        <f>AVERAGE(ES58:ES$76)</f>
        <v>735</v>
      </c>
      <c r="EY58" s="187">
        <f>AVERAGE(ES58:ES$74)</f>
        <v>795.82352941176475</v>
      </c>
    </row>
    <row r="59" spans="1:155" x14ac:dyDescent="0.3">
      <c r="A59" s="33">
        <v>2000</v>
      </c>
      <c r="B59" s="135">
        <v>64371</v>
      </c>
      <c r="C59" s="135">
        <v>13961</v>
      </c>
      <c r="D59" s="135">
        <f t="shared" si="10"/>
        <v>50410</v>
      </c>
      <c r="E59" s="145">
        <v>27</v>
      </c>
      <c r="F59" s="142">
        <v>0.2</v>
      </c>
      <c r="G59" s="145">
        <v>849</v>
      </c>
      <c r="H59" s="142">
        <v>6.1</v>
      </c>
      <c r="I59" s="145">
        <v>876</v>
      </c>
      <c r="J59" s="142">
        <v>6.3</v>
      </c>
      <c r="K59" s="135">
        <v>4825</v>
      </c>
      <c r="L59" s="142">
        <v>34.6</v>
      </c>
      <c r="M59" s="146">
        <v>8255</v>
      </c>
      <c r="N59" s="147">
        <v>59.1</v>
      </c>
      <c r="O59" s="143">
        <v>8491</v>
      </c>
      <c r="P59" s="144">
        <v>30177</v>
      </c>
      <c r="Q59" s="144">
        <v>38668</v>
      </c>
      <c r="R59" s="144"/>
      <c r="S59" s="141">
        <f t="shared" si="19"/>
        <v>0.59129002220471316</v>
      </c>
      <c r="T59" s="141">
        <f t="shared" si="20"/>
        <v>0.630875047764616</v>
      </c>
      <c r="U59" s="142"/>
      <c r="V59" s="142"/>
      <c r="W59" s="142"/>
      <c r="X59" s="142"/>
      <c r="Y59" s="142"/>
      <c r="Z59" s="142"/>
      <c r="AA59" s="142"/>
      <c r="AB59" s="142"/>
      <c r="AC59" s="142"/>
      <c r="AD59" s="142"/>
      <c r="AE59" s="142"/>
      <c r="AF59" s="142"/>
      <c r="AG59" s="142"/>
      <c r="AH59" s="142"/>
      <c r="AI59" s="142"/>
      <c r="AJ59" s="142"/>
      <c r="AK59" s="142"/>
      <c r="AL59" s="128"/>
      <c r="AM59" s="143">
        <v>8491</v>
      </c>
      <c r="AN59" s="144">
        <v>30177</v>
      </c>
      <c r="AO59" s="144">
        <v>38668</v>
      </c>
      <c r="AQ59" s="28">
        <v>6989</v>
      </c>
      <c r="AR59" s="34">
        <f t="shared" si="12"/>
        <v>0.23160022533717731</v>
      </c>
      <c r="AS59" s="34">
        <f t="shared" si="13"/>
        <v>0.1386431263638167</v>
      </c>
      <c r="AV59" s="91">
        <f t="shared" si="18"/>
        <v>1.1580011266858866E-2</v>
      </c>
      <c r="AX59" s="22">
        <v>359</v>
      </c>
      <c r="AY59" s="22">
        <v>21</v>
      </c>
      <c r="AZ59" s="22">
        <f t="shared" si="16"/>
        <v>380</v>
      </c>
      <c r="BA59" s="22">
        <f t="shared" si="17"/>
        <v>3743</v>
      </c>
      <c r="BC59" s="112">
        <f t="shared" si="14"/>
        <v>1.1896477449713358E-2</v>
      </c>
      <c r="BD59" s="112">
        <f t="shared" si="15"/>
        <v>2.4732069249793899E-3</v>
      </c>
      <c r="BF59">
        <v>54</v>
      </c>
      <c r="BI59">
        <v>49</v>
      </c>
      <c r="BJ59" s="28">
        <f t="shared" si="4"/>
        <v>49</v>
      </c>
      <c r="BK59" s="32">
        <v>0</v>
      </c>
      <c r="BM59">
        <v>636</v>
      </c>
      <c r="BP59">
        <v>410</v>
      </c>
      <c r="BQ59" s="28">
        <f t="shared" si="1"/>
        <v>753.95365943361526</v>
      </c>
      <c r="BR59">
        <v>0.45619999999999999</v>
      </c>
      <c r="BT59">
        <v>449</v>
      </c>
      <c r="BW59">
        <v>432</v>
      </c>
      <c r="BX59" s="28">
        <f t="shared" si="5"/>
        <v>442.16990788126918</v>
      </c>
      <c r="BY59">
        <v>2.3E-2</v>
      </c>
      <c r="CA59">
        <v>46</v>
      </c>
      <c r="CD59">
        <v>46</v>
      </c>
      <c r="CE59" s="28">
        <f t="shared" si="7"/>
        <v>46</v>
      </c>
      <c r="CF59" s="32">
        <v>0</v>
      </c>
      <c r="CO59">
        <v>458</v>
      </c>
      <c r="CR59">
        <v>445</v>
      </c>
      <c r="CS59" s="28">
        <f t="shared" si="9"/>
        <v>455.94262295081967</v>
      </c>
      <c r="CT59">
        <v>2.4E-2</v>
      </c>
      <c r="CV59" s="145">
        <v>92</v>
      </c>
      <c r="CW59" s="145">
        <v>2.6</v>
      </c>
      <c r="CX59" s="145">
        <v>239</v>
      </c>
      <c r="CY59" s="145">
        <v>81</v>
      </c>
      <c r="CZ59" s="145">
        <v>19</v>
      </c>
      <c r="DA59" s="145">
        <v>339</v>
      </c>
      <c r="DB59" s="145">
        <v>24</v>
      </c>
      <c r="DD59">
        <v>62</v>
      </c>
      <c r="DE59" s="28">
        <f t="shared" si="6"/>
        <v>199.99999999999997</v>
      </c>
      <c r="DF59">
        <v>0.69</v>
      </c>
      <c r="DH59">
        <v>9</v>
      </c>
      <c r="DJ59" t="s">
        <v>273</v>
      </c>
      <c r="DK59" s="32" t="s">
        <v>273</v>
      </c>
      <c r="DL59">
        <v>58</v>
      </c>
      <c r="DM59" s="32">
        <v>0</v>
      </c>
      <c r="DN59">
        <v>40</v>
      </c>
      <c r="DO59" s="32">
        <v>0</v>
      </c>
      <c r="DP59">
        <v>13</v>
      </c>
      <c r="DQ59" s="32">
        <v>0</v>
      </c>
      <c r="DR59">
        <v>23</v>
      </c>
      <c r="DS59" s="32">
        <v>0</v>
      </c>
      <c r="DT59">
        <v>20</v>
      </c>
      <c r="DU59" s="32">
        <v>0</v>
      </c>
      <c r="DV59">
        <v>9</v>
      </c>
      <c r="DW59" s="32">
        <v>0</v>
      </c>
      <c r="DX59">
        <v>325</v>
      </c>
      <c r="DY59" s="32">
        <v>0</v>
      </c>
      <c r="DZ59">
        <v>87</v>
      </c>
      <c r="EA59" s="32">
        <v>0</v>
      </c>
      <c r="EC59">
        <v>24</v>
      </c>
      <c r="ED59">
        <v>170</v>
      </c>
      <c r="EE59">
        <v>129</v>
      </c>
      <c r="EF59">
        <v>0</v>
      </c>
      <c r="EG59">
        <v>57</v>
      </c>
      <c r="EH59">
        <v>151</v>
      </c>
      <c r="EI59" s="32">
        <v>0</v>
      </c>
      <c r="EJ59">
        <v>19</v>
      </c>
      <c r="EK59" s="32">
        <v>0</v>
      </c>
      <c r="EL59">
        <v>12</v>
      </c>
      <c r="EM59">
        <v>505</v>
      </c>
      <c r="EN59" s="32">
        <v>5.0167082999999996E-3</v>
      </c>
      <c r="ES59">
        <v>535</v>
      </c>
      <c r="ET59" s="32">
        <v>6.4151070000000004E-2</v>
      </c>
      <c r="EW59" s="187">
        <f>AVERAGE(ES59:ES$75)</f>
        <v>788.88235294117646</v>
      </c>
      <c r="EX59" s="187">
        <f>AVERAGE(ES59:ES$76)</f>
        <v>749.77777777777783</v>
      </c>
      <c r="EY59" s="187">
        <f>AVERAGE(ES59:ES$74)</f>
        <v>816.25</v>
      </c>
    </row>
    <row r="60" spans="1:155" x14ac:dyDescent="0.3">
      <c r="A60" s="33">
        <v>2001</v>
      </c>
      <c r="B60" s="135">
        <v>261776</v>
      </c>
      <c r="C60" s="135">
        <v>63520</v>
      </c>
      <c r="D60" s="135">
        <f t="shared" si="10"/>
        <v>198256</v>
      </c>
      <c r="E60" s="145">
        <v>874</v>
      </c>
      <c r="F60" s="142">
        <v>1.4</v>
      </c>
      <c r="G60" s="135">
        <v>8295</v>
      </c>
      <c r="H60" s="142">
        <v>13.1</v>
      </c>
      <c r="I60" s="135">
        <v>9169</v>
      </c>
      <c r="J60" s="142">
        <v>14.4</v>
      </c>
      <c r="K60" s="135">
        <v>9209</v>
      </c>
      <c r="L60" s="142">
        <v>14.5</v>
      </c>
      <c r="M60" s="146">
        <v>45273</v>
      </c>
      <c r="N60" s="147">
        <v>71.3</v>
      </c>
      <c r="O60" s="143">
        <v>45381</v>
      </c>
      <c r="P60" s="144">
        <v>140653</v>
      </c>
      <c r="Q60" s="144">
        <v>186034</v>
      </c>
      <c r="R60" s="144"/>
      <c r="S60" s="141">
        <f t="shared" si="19"/>
        <v>0.71273614609571789</v>
      </c>
      <c r="T60" s="141">
        <f t="shared" si="20"/>
        <v>0.83297455428602973</v>
      </c>
      <c r="U60" s="142"/>
      <c r="V60" s="142"/>
      <c r="W60" s="142"/>
      <c r="X60" s="142"/>
      <c r="Y60" s="142"/>
      <c r="Z60" s="142"/>
      <c r="AA60" s="142"/>
      <c r="AB60" s="142"/>
      <c r="AC60" s="142"/>
      <c r="AD60" s="142"/>
      <c r="AE60" s="142"/>
      <c r="AF60" s="142"/>
      <c r="AG60" s="142"/>
      <c r="AH60" s="142"/>
      <c r="AI60" s="142"/>
      <c r="AJ60" s="142"/>
      <c r="AK60" s="142"/>
      <c r="AL60" s="128"/>
      <c r="AM60" s="143">
        <v>45381</v>
      </c>
      <c r="AN60" s="144">
        <v>140653</v>
      </c>
      <c r="AO60" s="144">
        <v>186034</v>
      </c>
      <c r="AQ60" s="28">
        <v>6003</v>
      </c>
      <c r="AR60" s="34">
        <f t="shared" si="12"/>
        <v>4.2679502036927761E-2</v>
      </c>
      <c r="AS60" s="34">
        <f t="shared" si="13"/>
        <v>3.0279033169235737E-2</v>
      </c>
      <c r="AV60" s="91">
        <f t="shared" si="18"/>
        <v>2.1339751018463883E-3</v>
      </c>
      <c r="AX60" s="22">
        <v>1362</v>
      </c>
      <c r="AY60" s="22">
        <v>316</v>
      </c>
      <c r="AZ60" s="22">
        <f t="shared" si="16"/>
        <v>1678</v>
      </c>
      <c r="BA60" s="22">
        <f t="shared" si="17"/>
        <v>5421</v>
      </c>
      <c r="BC60" s="112">
        <f t="shared" si="14"/>
        <v>9.6834052597527254E-3</v>
      </c>
      <c r="BD60" s="112">
        <f t="shared" si="15"/>
        <v>6.9632665653026598E-3</v>
      </c>
      <c r="BF60">
        <v>397</v>
      </c>
      <c r="BI60">
        <v>356</v>
      </c>
      <c r="BJ60" s="28">
        <f t="shared" si="4"/>
        <v>356</v>
      </c>
      <c r="BK60" s="32">
        <v>0</v>
      </c>
      <c r="BM60">
        <v>1273</v>
      </c>
      <c r="BP60">
        <v>1219</v>
      </c>
      <c r="BQ60" s="28">
        <f t="shared" si="1"/>
        <v>2278.9306412413539</v>
      </c>
      <c r="BR60">
        <v>0.46510000000000001</v>
      </c>
      <c r="BT60">
        <v>572</v>
      </c>
      <c r="BW60">
        <v>547</v>
      </c>
      <c r="BX60" s="28">
        <f t="shared" si="5"/>
        <v>573.97691500524661</v>
      </c>
      <c r="BY60">
        <v>4.7E-2</v>
      </c>
      <c r="CA60">
        <v>51</v>
      </c>
      <c r="CD60">
        <v>50</v>
      </c>
      <c r="CE60" s="28">
        <f t="shared" si="7"/>
        <v>50</v>
      </c>
      <c r="CF60" s="32">
        <v>0</v>
      </c>
      <c r="CO60">
        <v>767</v>
      </c>
      <c r="CR60">
        <v>734</v>
      </c>
      <c r="CS60" s="28">
        <f t="shared" si="9"/>
        <v>832.19954648526073</v>
      </c>
      <c r="CT60">
        <v>0.11799999999999999</v>
      </c>
      <c r="CV60" s="145">
        <v>298</v>
      </c>
      <c r="CW60" s="145">
        <v>3</v>
      </c>
      <c r="CX60" s="145">
        <v>894</v>
      </c>
      <c r="CY60" s="145">
        <v>106</v>
      </c>
      <c r="CZ60" s="145">
        <v>12</v>
      </c>
      <c r="DA60" s="135">
        <v>1012</v>
      </c>
      <c r="DB60" s="145">
        <v>71</v>
      </c>
      <c r="DD60">
        <v>616</v>
      </c>
      <c r="DE60" s="28">
        <f t="shared" si="6"/>
        <v>769.0387016229713</v>
      </c>
      <c r="DF60">
        <v>0.19900000000000001</v>
      </c>
      <c r="DH60">
        <v>9</v>
      </c>
      <c r="DJ60">
        <v>1318</v>
      </c>
      <c r="DK60" s="32">
        <v>0</v>
      </c>
      <c r="DL60">
        <v>668</v>
      </c>
      <c r="DM60" s="32">
        <v>0</v>
      </c>
      <c r="DN60">
        <v>62</v>
      </c>
      <c r="DO60" s="32">
        <v>0</v>
      </c>
      <c r="DP60">
        <v>294</v>
      </c>
      <c r="DQ60" s="32">
        <v>0</v>
      </c>
      <c r="DR60">
        <v>650</v>
      </c>
      <c r="DS60" s="32">
        <v>0</v>
      </c>
      <c r="DT60">
        <v>320</v>
      </c>
      <c r="DU60" s="32">
        <v>0</v>
      </c>
      <c r="DV60">
        <v>86</v>
      </c>
      <c r="DW60" s="32">
        <v>0</v>
      </c>
      <c r="DX60">
        <v>740</v>
      </c>
      <c r="DY60" s="32">
        <v>0</v>
      </c>
      <c r="DZ60">
        <v>508</v>
      </c>
      <c r="EA60" s="32">
        <v>0</v>
      </c>
      <c r="EC60">
        <v>316</v>
      </c>
      <c r="ED60">
        <v>691</v>
      </c>
      <c r="EE60">
        <v>226</v>
      </c>
      <c r="EF60">
        <v>0</v>
      </c>
      <c r="EG60">
        <v>168</v>
      </c>
      <c r="EH60">
        <v>394</v>
      </c>
      <c r="EI60" s="32">
        <v>0</v>
      </c>
      <c r="EJ60">
        <v>92</v>
      </c>
      <c r="EK60" s="32">
        <v>0</v>
      </c>
      <c r="EL60">
        <v>170</v>
      </c>
      <c r="EM60">
        <v>671</v>
      </c>
      <c r="EN60" s="32">
        <v>2.0361051000000002E-2</v>
      </c>
      <c r="ES60">
        <v>984</v>
      </c>
      <c r="ET60" s="32">
        <v>0</v>
      </c>
      <c r="EW60" s="187">
        <f>AVERAGE(ES60:ES$75)</f>
        <v>804.75</v>
      </c>
      <c r="EX60" s="187">
        <f>AVERAGE(ES60:ES$76)</f>
        <v>762.41176470588232</v>
      </c>
      <c r="EY60" s="187">
        <f>AVERAGE(ES60:ES$74)</f>
        <v>835</v>
      </c>
    </row>
    <row r="61" spans="1:155" x14ac:dyDescent="0.3">
      <c r="A61" s="33">
        <v>2002</v>
      </c>
      <c r="B61" s="135">
        <v>173426</v>
      </c>
      <c r="C61" s="135">
        <v>52950</v>
      </c>
      <c r="D61" s="135">
        <f t="shared" si="10"/>
        <v>120476</v>
      </c>
      <c r="E61" s="145">
        <v>957</v>
      </c>
      <c r="F61" s="142">
        <v>1.8</v>
      </c>
      <c r="G61" s="135">
        <v>5607</v>
      </c>
      <c r="H61" s="142">
        <v>10.7</v>
      </c>
      <c r="I61" s="135">
        <v>6564</v>
      </c>
      <c r="J61" s="142">
        <v>12.5</v>
      </c>
      <c r="K61" s="135">
        <v>15593</v>
      </c>
      <c r="L61" s="142">
        <v>29.6</v>
      </c>
      <c r="M61" s="146">
        <v>30213</v>
      </c>
      <c r="N61" s="147">
        <v>57.4</v>
      </c>
      <c r="O61" s="143">
        <v>31008</v>
      </c>
      <c r="P61" s="144">
        <v>66950</v>
      </c>
      <c r="Q61" s="144">
        <v>97958</v>
      </c>
      <c r="R61" s="144"/>
      <c r="S61" s="141">
        <f t="shared" si="19"/>
        <v>0.57059490084985831</v>
      </c>
      <c r="T61" s="141">
        <f t="shared" si="20"/>
        <v>0.65133876600698482</v>
      </c>
      <c r="U61" s="142"/>
      <c r="V61" s="142"/>
      <c r="W61" s="142"/>
      <c r="X61" s="142"/>
      <c r="Y61" s="142"/>
      <c r="Z61" s="142"/>
      <c r="AA61" s="142"/>
      <c r="AB61" s="142"/>
      <c r="AC61" s="142"/>
      <c r="AD61" s="142"/>
      <c r="AE61" s="142"/>
      <c r="AF61" s="142"/>
      <c r="AG61" s="142"/>
      <c r="AH61" s="142"/>
      <c r="AI61" s="142"/>
      <c r="AJ61" s="142"/>
      <c r="AK61" s="142"/>
      <c r="AL61" s="128"/>
      <c r="AM61" s="143">
        <v>31008</v>
      </c>
      <c r="AN61" s="144">
        <v>66950</v>
      </c>
      <c r="AO61" s="144">
        <v>97958</v>
      </c>
      <c r="AQ61" s="28">
        <v>11461</v>
      </c>
      <c r="AR61" s="34">
        <f t="shared" si="12"/>
        <v>0.17118745332337565</v>
      </c>
      <c r="AS61" s="34">
        <f t="shared" si="13"/>
        <v>9.5130980444237859E-2</v>
      </c>
      <c r="AV61" s="91">
        <f t="shared" si="18"/>
        <v>8.5593726661687825E-3</v>
      </c>
      <c r="AX61" s="22">
        <v>937</v>
      </c>
      <c r="AY61" s="22">
        <v>160</v>
      </c>
      <c r="AZ61" s="22">
        <f t="shared" si="16"/>
        <v>1097</v>
      </c>
      <c r="BA61" s="22">
        <f t="shared" si="17"/>
        <v>6518</v>
      </c>
      <c r="BC61" s="112">
        <f t="shared" si="14"/>
        <v>1.3995519044062734E-2</v>
      </c>
      <c r="BD61" s="112">
        <f t="shared" si="15"/>
        <v>5.1599587203302374E-3</v>
      </c>
      <c r="BF61">
        <v>217</v>
      </c>
      <c r="BI61">
        <v>204</v>
      </c>
      <c r="BJ61" s="28">
        <f t="shared" si="4"/>
        <v>398.98298454918836</v>
      </c>
      <c r="BK61" s="32">
        <v>0.48870000000000002</v>
      </c>
      <c r="BM61">
        <v>1168</v>
      </c>
      <c r="BP61">
        <v>1132</v>
      </c>
      <c r="BQ61" s="28">
        <f t="shared" si="1"/>
        <v>2968.7909782323632</v>
      </c>
      <c r="BR61">
        <v>0.61870000000000003</v>
      </c>
      <c r="BT61">
        <v>664</v>
      </c>
      <c r="BW61">
        <v>658</v>
      </c>
      <c r="BX61" s="28">
        <f t="shared" si="5"/>
        <v>658</v>
      </c>
      <c r="BY61">
        <v>0</v>
      </c>
      <c r="CA61">
        <v>49</v>
      </c>
      <c r="CD61">
        <v>50</v>
      </c>
      <c r="CE61" s="28">
        <f t="shared" si="7"/>
        <v>52.999788000847992</v>
      </c>
      <c r="CF61" s="32">
        <v>5.6599999999999998E-2</v>
      </c>
      <c r="CO61">
        <v>685</v>
      </c>
      <c r="CR61">
        <v>685</v>
      </c>
      <c r="CS61" s="28">
        <f t="shared" si="9"/>
        <v>685</v>
      </c>
      <c r="CT61">
        <v>0</v>
      </c>
      <c r="CV61" s="145">
        <v>299</v>
      </c>
      <c r="CW61" s="145">
        <v>3</v>
      </c>
      <c r="CX61" s="145">
        <v>897</v>
      </c>
      <c r="CY61" s="145">
        <v>107</v>
      </c>
      <c r="CZ61" s="145">
        <v>1</v>
      </c>
      <c r="DA61" s="135">
        <v>1005</v>
      </c>
      <c r="DB61" s="145">
        <v>35</v>
      </c>
      <c r="DD61">
        <v>224</v>
      </c>
      <c r="DE61" s="28">
        <f t="shared" si="6"/>
        <v>568.52791878172582</v>
      </c>
      <c r="DF61">
        <v>0.60599999999999998</v>
      </c>
      <c r="DH61">
        <v>2</v>
      </c>
      <c r="DJ61">
        <v>1249</v>
      </c>
      <c r="DK61" s="32">
        <v>0</v>
      </c>
      <c r="DL61">
        <v>551</v>
      </c>
      <c r="DM61" s="32">
        <v>0</v>
      </c>
      <c r="DN61">
        <v>8</v>
      </c>
      <c r="DO61" s="32">
        <v>0</v>
      </c>
      <c r="DP61">
        <v>262</v>
      </c>
      <c r="DQ61" s="32">
        <v>0</v>
      </c>
      <c r="DR61">
        <v>534</v>
      </c>
      <c r="DS61" s="32">
        <v>0</v>
      </c>
      <c r="DT61">
        <v>228</v>
      </c>
      <c r="DU61" s="32">
        <v>0</v>
      </c>
      <c r="DV61">
        <v>201</v>
      </c>
      <c r="DW61" s="32">
        <v>0</v>
      </c>
      <c r="DX61">
        <v>1160</v>
      </c>
      <c r="DY61" s="32">
        <v>0</v>
      </c>
      <c r="DZ61">
        <v>484</v>
      </c>
      <c r="EA61" s="32">
        <v>0</v>
      </c>
      <c r="EC61">
        <v>175</v>
      </c>
      <c r="ED61">
        <v>281</v>
      </c>
      <c r="EE61">
        <v>408</v>
      </c>
      <c r="EF61">
        <v>0</v>
      </c>
      <c r="EG61">
        <v>160</v>
      </c>
      <c r="EH61">
        <v>866</v>
      </c>
      <c r="EI61" s="32">
        <v>0</v>
      </c>
      <c r="EJ61">
        <v>87</v>
      </c>
      <c r="EK61" s="32">
        <v>0</v>
      </c>
      <c r="EL61">
        <v>263</v>
      </c>
      <c r="EM61">
        <v>991</v>
      </c>
      <c r="EN61" s="334">
        <v>0</v>
      </c>
      <c r="ES61">
        <v>885</v>
      </c>
      <c r="ET61" s="334">
        <v>0</v>
      </c>
      <c r="EW61" s="187">
        <f>AVERAGE(ES61:ES$75)</f>
        <v>792.8</v>
      </c>
      <c r="EX61" s="187">
        <f>AVERAGE(ES61:ES$76)</f>
        <v>748.5625</v>
      </c>
      <c r="EY61" s="187">
        <f>AVERAGE(ES61:ES$74)</f>
        <v>824.35714285714289</v>
      </c>
    </row>
    <row r="62" spans="1:155" x14ac:dyDescent="0.3">
      <c r="A62" s="33">
        <v>2003</v>
      </c>
      <c r="B62" s="135">
        <v>140053</v>
      </c>
      <c r="C62" s="135">
        <v>51508</v>
      </c>
      <c r="D62" s="135">
        <f t="shared" si="10"/>
        <v>88545</v>
      </c>
      <c r="E62" s="145">
        <v>821</v>
      </c>
      <c r="F62" s="142">
        <v>1.6</v>
      </c>
      <c r="G62" s="135">
        <v>4039</v>
      </c>
      <c r="H62" s="142">
        <v>7.9</v>
      </c>
      <c r="I62" s="135">
        <v>4861</v>
      </c>
      <c r="J62" s="142">
        <v>9.4</v>
      </c>
      <c r="K62" s="135">
        <v>13857</v>
      </c>
      <c r="L62" s="142">
        <v>26.9</v>
      </c>
      <c r="M62" s="146">
        <v>32324</v>
      </c>
      <c r="N62" s="147">
        <v>62.8</v>
      </c>
      <c r="O62" s="143">
        <v>33121</v>
      </c>
      <c r="P62" s="144">
        <v>54086</v>
      </c>
      <c r="Q62" s="144">
        <v>87207</v>
      </c>
      <c r="R62" s="144"/>
      <c r="S62" s="141">
        <f t="shared" si="19"/>
        <v>0.62755300147549897</v>
      </c>
      <c r="T62" s="141">
        <f t="shared" si="20"/>
        <v>0.69294917143653401</v>
      </c>
      <c r="U62" s="142"/>
      <c r="V62" s="142"/>
      <c r="W62" s="142"/>
      <c r="X62" s="142"/>
      <c r="Y62" s="142"/>
      <c r="Z62" s="142"/>
      <c r="AA62" s="142"/>
      <c r="AB62" s="142"/>
      <c r="AC62" s="142"/>
      <c r="AD62" s="142"/>
      <c r="AE62" s="142"/>
      <c r="AF62" s="142"/>
      <c r="AG62" s="142"/>
      <c r="AH62" s="142"/>
      <c r="AI62" s="142"/>
      <c r="AJ62" s="142"/>
      <c r="AK62" s="142"/>
      <c r="AL62" s="128"/>
      <c r="AM62" s="143">
        <v>33121</v>
      </c>
      <c r="AN62" s="144">
        <v>54086</v>
      </c>
      <c r="AO62" s="144">
        <v>87207</v>
      </c>
      <c r="AQ62" s="28">
        <v>8150</v>
      </c>
      <c r="AR62" s="34">
        <f t="shared" si="12"/>
        <v>0.15068594460673743</v>
      </c>
      <c r="AS62" s="34">
        <f t="shared" si="13"/>
        <v>9.204359365294483E-2</v>
      </c>
      <c r="AV62" s="91">
        <f t="shared" si="18"/>
        <v>7.5342972303368717E-3</v>
      </c>
      <c r="AX62" s="22">
        <v>628</v>
      </c>
      <c r="AY62" s="22">
        <v>298</v>
      </c>
      <c r="AZ62" s="22">
        <f t="shared" si="16"/>
        <v>926</v>
      </c>
      <c r="BA62" s="22">
        <f t="shared" si="17"/>
        <v>7444</v>
      </c>
      <c r="BC62" s="112">
        <f t="shared" si="14"/>
        <v>1.1611137817549829E-2</v>
      </c>
      <c r="BD62" s="112">
        <f t="shared" si="15"/>
        <v>8.9973128830651249E-3</v>
      </c>
      <c r="BF62">
        <v>175</v>
      </c>
      <c r="BI62">
        <v>175</v>
      </c>
      <c r="BJ62" s="28">
        <f t="shared" si="4"/>
        <v>400</v>
      </c>
      <c r="BK62" s="32">
        <v>0.5625</v>
      </c>
      <c r="BM62">
        <v>1465</v>
      </c>
      <c r="BP62">
        <v>1374</v>
      </c>
      <c r="BQ62" s="28">
        <f t="shared" si="1"/>
        <v>2582.2213869573388</v>
      </c>
      <c r="BR62">
        <v>0.46789999999999998</v>
      </c>
      <c r="BT62">
        <v>551</v>
      </c>
      <c r="BW62">
        <v>543</v>
      </c>
      <c r="BX62" s="28">
        <f t="shared" si="5"/>
        <v>546.8277945619335</v>
      </c>
      <c r="BY62">
        <v>7.0000000000000001E-3</v>
      </c>
      <c r="CA62">
        <v>135</v>
      </c>
      <c r="CD62">
        <v>134</v>
      </c>
      <c r="CE62" s="28">
        <f t="shared" si="7"/>
        <v>141.9942778425347</v>
      </c>
      <c r="CF62" s="32">
        <v>5.6300000000000003E-2</v>
      </c>
      <c r="CO62">
        <v>541</v>
      </c>
      <c r="CR62">
        <v>541</v>
      </c>
      <c r="CS62" s="28">
        <f t="shared" si="9"/>
        <v>541</v>
      </c>
      <c r="CT62">
        <v>0</v>
      </c>
      <c r="DD62">
        <v>244</v>
      </c>
      <c r="DE62" s="28">
        <f t="shared" si="6"/>
        <v>328.84097035040429</v>
      </c>
      <c r="DF62">
        <v>0.25800000000000001</v>
      </c>
      <c r="DH62">
        <v>29</v>
      </c>
      <c r="DJ62">
        <v>1238</v>
      </c>
      <c r="DK62" s="32">
        <v>0</v>
      </c>
      <c r="DL62">
        <v>428</v>
      </c>
      <c r="DM62" s="32">
        <v>0</v>
      </c>
      <c r="DN62">
        <v>34</v>
      </c>
      <c r="DO62" s="32">
        <v>0</v>
      </c>
      <c r="DP62">
        <v>281</v>
      </c>
      <c r="DQ62" s="32">
        <v>0</v>
      </c>
      <c r="DR62">
        <v>443</v>
      </c>
      <c r="DS62" s="32">
        <v>0</v>
      </c>
      <c r="DT62">
        <v>270</v>
      </c>
      <c r="DU62" s="32">
        <v>0</v>
      </c>
      <c r="DV62">
        <v>190</v>
      </c>
      <c r="DW62" s="32">
        <v>0</v>
      </c>
      <c r="DX62">
        <v>1315</v>
      </c>
      <c r="DY62" s="32">
        <v>0</v>
      </c>
      <c r="DZ62">
        <v>872</v>
      </c>
      <c r="EA62" s="32">
        <v>0</v>
      </c>
      <c r="EC62">
        <v>93</v>
      </c>
      <c r="ED62">
        <v>120</v>
      </c>
      <c r="EE62">
        <v>217</v>
      </c>
      <c r="EF62">
        <v>0</v>
      </c>
      <c r="EG62">
        <v>337</v>
      </c>
      <c r="EH62">
        <v>758</v>
      </c>
      <c r="EI62" s="32">
        <v>0</v>
      </c>
      <c r="EJ62">
        <v>161</v>
      </c>
      <c r="EK62" s="32">
        <v>0</v>
      </c>
      <c r="EL62">
        <v>288</v>
      </c>
      <c r="EM62">
        <v>655</v>
      </c>
      <c r="EN62" s="334">
        <v>1.1129533E-2</v>
      </c>
      <c r="ES62">
        <v>1797</v>
      </c>
      <c r="ET62" s="334">
        <v>0</v>
      </c>
      <c r="EW62" s="187">
        <f>AVERAGE(ES62:ES$75)</f>
        <v>786.21428571428567</v>
      </c>
      <c r="EX62" s="187">
        <f>AVERAGE(ES62:ES$76)</f>
        <v>739.4666666666667</v>
      </c>
      <c r="EY62" s="187">
        <f>AVERAGE(ES62:ES$74)</f>
        <v>819.69230769230774</v>
      </c>
    </row>
    <row r="63" spans="1:155" x14ac:dyDescent="0.3">
      <c r="A63" s="33">
        <v>2004</v>
      </c>
      <c r="B63" s="135">
        <v>128556</v>
      </c>
      <c r="C63" s="135">
        <v>33797</v>
      </c>
      <c r="D63" s="135">
        <f t="shared" si="10"/>
        <v>94759</v>
      </c>
      <c r="E63" s="145">
        <v>732</v>
      </c>
      <c r="F63" s="142">
        <v>2.2000000000000002</v>
      </c>
      <c r="G63" s="135">
        <v>2918</v>
      </c>
      <c r="H63" s="142">
        <v>8.6</v>
      </c>
      <c r="I63" s="135">
        <v>3650</v>
      </c>
      <c r="J63" s="142">
        <v>10.8</v>
      </c>
      <c r="K63" s="135">
        <v>8510</v>
      </c>
      <c r="L63" s="142">
        <v>25.2</v>
      </c>
      <c r="M63" s="146">
        <v>21367</v>
      </c>
      <c r="N63" s="147">
        <v>63.3</v>
      </c>
      <c r="O63" s="143">
        <v>21305</v>
      </c>
      <c r="P63" s="144">
        <v>57923</v>
      </c>
      <c r="Q63" s="144">
        <v>79228</v>
      </c>
      <c r="R63" s="144"/>
      <c r="S63" s="141">
        <f t="shared" si="19"/>
        <v>0.63221587714885941</v>
      </c>
      <c r="T63" s="141">
        <f t="shared" si="20"/>
        <v>0.70876040733738022</v>
      </c>
      <c r="U63" s="142"/>
      <c r="V63" s="142"/>
      <c r="W63" s="142"/>
      <c r="X63" s="142"/>
      <c r="Y63" s="142"/>
      <c r="Z63" s="142"/>
      <c r="AA63" s="142"/>
      <c r="AB63" s="142"/>
      <c r="AC63" s="142"/>
      <c r="AD63" s="142"/>
      <c r="AE63" s="142"/>
      <c r="AF63" s="142"/>
      <c r="AG63" s="142"/>
      <c r="AH63" s="142"/>
      <c r="AI63" s="142"/>
      <c r="AJ63" s="142"/>
      <c r="AK63" s="142"/>
      <c r="AL63" s="128"/>
      <c r="AM63" s="143">
        <v>21305</v>
      </c>
      <c r="AN63" s="144">
        <v>57923</v>
      </c>
      <c r="AO63" s="144">
        <v>79228</v>
      </c>
      <c r="AQ63" s="28">
        <v>15147</v>
      </c>
      <c r="AR63" s="34">
        <f t="shared" si="12"/>
        <v>0.26150233931253558</v>
      </c>
      <c r="AS63" s="34">
        <f t="shared" si="13"/>
        <v>0.15984761341930581</v>
      </c>
      <c r="AV63" s="91">
        <f t="shared" si="18"/>
        <v>1.3075116965626779E-2</v>
      </c>
      <c r="AX63" s="22">
        <v>714</v>
      </c>
      <c r="AY63" s="22">
        <v>135</v>
      </c>
      <c r="AZ63" s="22">
        <f t="shared" si="16"/>
        <v>849</v>
      </c>
      <c r="BA63" s="22">
        <f t="shared" si="17"/>
        <v>8293</v>
      </c>
      <c r="BC63" s="112">
        <f t="shared" si="14"/>
        <v>1.23267095972239E-2</v>
      </c>
      <c r="BD63" s="112">
        <f t="shared" si="15"/>
        <v>6.3365407181412816E-3</v>
      </c>
      <c r="BF63">
        <v>37</v>
      </c>
      <c r="BI63">
        <v>36</v>
      </c>
      <c r="BJ63" s="28">
        <f t="shared" si="4"/>
        <v>205.94965675057213</v>
      </c>
      <c r="BK63" s="32">
        <v>0.82520000000000004</v>
      </c>
      <c r="BM63">
        <v>518</v>
      </c>
      <c r="BP63">
        <v>446</v>
      </c>
      <c r="BQ63" s="28">
        <f t="shared" si="1"/>
        <v>1122.860020140987</v>
      </c>
      <c r="BR63">
        <v>0.6028</v>
      </c>
      <c r="BT63">
        <v>493</v>
      </c>
      <c r="BW63">
        <v>493</v>
      </c>
      <c r="BX63" s="28">
        <f t="shared" si="5"/>
        <v>493</v>
      </c>
      <c r="BY63">
        <v>0</v>
      </c>
      <c r="CA63">
        <v>30</v>
      </c>
      <c r="CD63">
        <v>26</v>
      </c>
      <c r="CE63" s="28">
        <f t="shared" si="7"/>
        <v>529.53156822810558</v>
      </c>
      <c r="CF63" s="32">
        <v>0.95089999999999997</v>
      </c>
      <c r="CO63">
        <v>665</v>
      </c>
      <c r="CR63">
        <v>631</v>
      </c>
      <c r="CS63" s="28">
        <f t="shared" si="9"/>
        <v>638.01820020222442</v>
      </c>
      <c r="CT63">
        <v>1.0999999999999999E-2</v>
      </c>
      <c r="DD63">
        <v>286</v>
      </c>
      <c r="DE63" s="28">
        <f t="shared" si="6"/>
        <v>345.82829504232166</v>
      </c>
      <c r="DF63">
        <v>0.17299999999999999</v>
      </c>
      <c r="DH63">
        <v>4</v>
      </c>
      <c r="DJ63">
        <v>738</v>
      </c>
      <c r="DK63" s="32">
        <v>0</v>
      </c>
      <c r="DL63">
        <v>243</v>
      </c>
      <c r="DM63" s="32">
        <v>0</v>
      </c>
      <c r="DN63">
        <v>18</v>
      </c>
      <c r="DO63" s="32">
        <v>0</v>
      </c>
      <c r="DP63">
        <v>58</v>
      </c>
      <c r="DQ63" s="32">
        <v>0</v>
      </c>
      <c r="DR63">
        <v>131</v>
      </c>
      <c r="DS63" s="32">
        <v>0</v>
      </c>
      <c r="DT63">
        <v>118</v>
      </c>
      <c r="DU63" s="32">
        <v>0</v>
      </c>
      <c r="DV63">
        <v>14</v>
      </c>
      <c r="DW63" s="32">
        <v>0</v>
      </c>
      <c r="DX63">
        <v>331</v>
      </c>
      <c r="DY63" s="32">
        <v>0</v>
      </c>
      <c r="DZ63">
        <v>92</v>
      </c>
      <c r="EA63" s="32">
        <v>0</v>
      </c>
      <c r="EC63">
        <v>111</v>
      </c>
      <c r="ED63">
        <v>65</v>
      </c>
      <c r="EE63">
        <v>221</v>
      </c>
      <c r="EF63">
        <v>0</v>
      </c>
      <c r="EG63">
        <v>207</v>
      </c>
      <c r="EH63">
        <v>389</v>
      </c>
      <c r="EI63" s="32">
        <v>0</v>
      </c>
      <c r="EJ63">
        <v>26</v>
      </c>
      <c r="EK63" s="32">
        <v>0</v>
      </c>
      <c r="EL63">
        <v>77</v>
      </c>
      <c r="EM63">
        <v>522</v>
      </c>
      <c r="EN63" s="334">
        <v>2.8617377999999999E-2</v>
      </c>
      <c r="ES63">
        <v>852</v>
      </c>
      <c r="ET63" s="334">
        <v>5.9556764999999998E-3</v>
      </c>
      <c r="EW63" s="187">
        <f>AVERAGE(ES63:ES$75)</f>
        <v>708.46153846153845</v>
      </c>
      <c r="EX63" s="187">
        <f>AVERAGE(ES63:ES$76)</f>
        <v>663.92857142857144</v>
      </c>
      <c r="EY63" s="187">
        <f>AVERAGE(ES63:ES$74)</f>
        <v>738.25</v>
      </c>
    </row>
    <row r="64" spans="1:155" x14ac:dyDescent="0.3">
      <c r="A64" s="33">
        <v>2005</v>
      </c>
      <c r="B64" s="135">
        <v>50114</v>
      </c>
      <c r="C64" s="135">
        <v>15273</v>
      </c>
      <c r="D64" s="135">
        <f t="shared" si="10"/>
        <v>34841</v>
      </c>
      <c r="E64" s="145">
        <v>267</v>
      </c>
      <c r="F64" s="142">
        <v>1.7</v>
      </c>
      <c r="G64" s="145">
        <v>978</v>
      </c>
      <c r="H64" s="142">
        <v>6.2</v>
      </c>
      <c r="I64" s="135">
        <v>1245</v>
      </c>
      <c r="J64" s="142">
        <v>7.9</v>
      </c>
      <c r="K64" s="135">
        <v>4256</v>
      </c>
      <c r="L64" s="142">
        <v>27.1</v>
      </c>
      <c r="M64" s="146">
        <v>10131</v>
      </c>
      <c r="N64" s="147">
        <v>64.599999999999994</v>
      </c>
      <c r="O64" s="143">
        <v>8691</v>
      </c>
      <c r="P64" s="144">
        <v>25118</v>
      </c>
      <c r="Q64" s="144">
        <v>33809</v>
      </c>
      <c r="R64" s="144"/>
      <c r="S64" s="141">
        <f t="shared" si="19"/>
        <v>0.66332744058141824</v>
      </c>
      <c r="T64" s="141">
        <f t="shared" si="20"/>
        <v>0.7221984602224123</v>
      </c>
      <c r="U64" s="142"/>
      <c r="V64" s="142"/>
      <c r="W64" s="142"/>
      <c r="X64" s="142"/>
      <c r="Y64" s="142"/>
      <c r="Z64" s="142"/>
      <c r="AA64" s="142"/>
      <c r="AB64" s="142"/>
      <c r="AC64" s="142"/>
      <c r="AD64" s="142"/>
      <c r="AE64" s="142"/>
      <c r="AF64" s="142"/>
      <c r="AG64" s="142"/>
      <c r="AH64" s="142"/>
      <c r="AI64" s="142"/>
      <c r="AJ64" s="142"/>
      <c r="AK64" s="142"/>
      <c r="AL64" s="128"/>
      <c r="AM64" s="143">
        <v>8691</v>
      </c>
      <c r="AN64" s="144">
        <v>25118</v>
      </c>
      <c r="AO64" s="144">
        <v>33809</v>
      </c>
      <c r="AQ64" s="28">
        <v>3584</v>
      </c>
      <c r="AR64" s="34">
        <f t="shared" si="12"/>
        <v>0.14268651962735887</v>
      </c>
      <c r="AS64" s="34">
        <f t="shared" si="13"/>
        <v>0.102867311500818</v>
      </c>
      <c r="AV64" s="91">
        <f t="shared" si="18"/>
        <v>7.1343259813679439E-3</v>
      </c>
      <c r="AX64" s="22">
        <v>395</v>
      </c>
      <c r="AY64" s="22">
        <v>61</v>
      </c>
      <c r="AZ64" s="22">
        <f t="shared" si="16"/>
        <v>456</v>
      </c>
      <c r="BA64" s="22">
        <f t="shared" si="17"/>
        <v>8749</v>
      </c>
      <c r="BC64" s="112">
        <f t="shared" si="14"/>
        <v>1.5725774345091169E-2</v>
      </c>
      <c r="BD64" s="112">
        <f t="shared" si="15"/>
        <v>7.0187550339431597E-3</v>
      </c>
      <c r="BF64">
        <v>38</v>
      </c>
      <c r="BI64">
        <v>35</v>
      </c>
      <c r="BJ64" s="28">
        <f t="shared" si="4"/>
        <v>133.99693721286371</v>
      </c>
      <c r="BK64" s="32">
        <v>0.73880000000000001</v>
      </c>
      <c r="BM64">
        <v>265</v>
      </c>
      <c r="BP64">
        <v>239</v>
      </c>
      <c r="BQ64" s="28">
        <f t="shared" si="1"/>
        <v>673.04984511405246</v>
      </c>
      <c r="BR64">
        <v>0.64490000000000003</v>
      </c>
      <c r="BT64">
        <v>348</v>
      </c>
      <c r="BW64">
        <v>300</v>
      </c>
      <c r="BX64" s="28">
        <f t="shared" si="5"/>
        <v>300</v>
      </c>
      <c r="BY64">
        <v>0</v>
      </c>
      <c r="CA64">
        <v>13</v>
      </c>
      <c r="CD64">
        <v>12</v>
      </c>
      <c r="CE64" s="28">
        <f t="shared" si="7"/>
        <v>311.68831168831184</v>
      </c>
      <c r="CF64" s="32">
        <v>0.96150000000000002</v>
      </c>
      <c r="CO64">
        <v>462</v>
      </c>
      <c r="CR64">
        <v>442</v>
      </c>
      <c r="CS64" s="28">
        <f t="shared" si="9"/>
        <v>456.14035087719299</v>
      </c>
      <c r="CT64">
        <v>3.1E-2</v>
      </c>
      <c r="DD64">
        <v>203</v>
      </c>
      <c r="DE64" s="28">
        <f t="shared" si="6"/>
        <v>251.8610421836228</v>
      </c>
      <c r="DF64">
        <v>0.19400000000000001</v>
      </c>
      <c r="DH64">
        <v>24</v>
      </c>
      <c r="DJ64">
        <v>443</v>
      </c>
      <c r="DK64" s="32">
        <v>0</v>
      </c>
      <c r="DL64">
        <v>65</v>
      </c>
      <c r="DM64" s="32">
        <v>0</v>
      </c>
      <c r="DN64">
        <v>0</v>
      </c>
      <c r="DO64" s="32">
        <v>0</v>
      </c>
      <c r="DP64">
        <v>57</v>
      </c>
      <c r="DQ64" s="32">
        <v>0</v>
      </c>
      <c r="DR64">
        <v>76</v>
      </c>
      <c r="DS64" s="32">
        <v>0</v>
      </c>
      <c r="DT64">
        <v>104</v>
      </c>
      <c r="DU64" s="32">
        <v>0</v>
      </c>
      <c r="DV64">
        <v>27</v>
      </c>
      <c r="DW64" s="32">
        <v>0</v>
      </c>
      <c r="DX64">
        <v>306</v>
      </c>
      <c r="DY64" s="32">
        <v>0</v>
      </c>
      <c r="DZ64">
        <v>65</v>
      </c>
      <c r="EA64" s="32">
        <v>0</v>
      </c>
      <c r="EC64">
        <v>52</v>
      </c>
      <c r="ED64">
        <v>93</v>
      </c>
      <c r="EE64">
        <v>99</v>
      </c>
      <c r="EF64">
        <v>0</v>
      </c>
      <c r="EG64">
        <v>343</v>
      </c>
      <c r="EH64">
        <v>217</v>
      </c>
      <c r="EI64" s="32">
        <v>0</v>
      </c>
      <c r="EJ64">
        <v>10</v>
      </c>
      <c r="EK64" s="32">
        <v>0</v>
      </c>
      <c r="EL64">
        <v>51</v>
      </c>
      <c r="EM64">
        <v>299</v>
      </c>
      <c r="EN64" s="334">
        <v>1.8486349999999999E-2</v>
      </c>
      <c r="ES64">
        <v>495</v>
      </c>
      <c r="ET64" s="334">
        <v>3.8777776E-2</v>
      </c>
      <c r="EW64" s="187">
        <f>AVERAGE(ES64:ES$75)</f>
        <v>696.5</v>
      </c>
      <c r="EX64" s="187">
        <f>AVERAGE(ES64:ES$76)</f>
        <v>649.46153846153845</v>
      </c>
      <c r="EY64" s="187">
        <f>AVERAGE(ES64:ES$74)</f>
        <v>727.90909090909088</v>
      </c>
    </row>
    <row r="65" spans="1:157" x14ac:dyDescent="0.3">
      <c r="A65" s="33">
        <v>2006</v>
      </c>
      <c r="B65" s="135">
        <v>53305</v>
      </c>
      <c r="C65" s="135">
        <v>16846</v>
      </c>
      <c r="D65" s="135">
        <f t="shared" si="10"/>
        <v>36459</v>
      </c>
      <c r="E65" s="145">
        <v>259</v>
      </c>
      <c r="F65" s="142">
        <v>1.5</v>
      </c>
      <c r="G65" s="135">
        <v>1107</v>
      </c>
      <c r="H65" s="142">
        <v>6.6</v>
      </c>
      <c r="I65" s="135">
        <v>1366</v>
      </c>
      <c r="J65" s="142">
        <v>8.1</v>
      </c>
      <c r="K65" s="135">
        <v>5843</v>
      </c>
      <c r="L65" s="142">
        <v>34.700000000000003</v>
      </c>
      <c r="M65" s="146">
        <v>9485</v>
      </c>
      <c r="N65" s="147">
        <v>56.3</v>
      </c>
      <c r="O65" s="143">
        <v>8775</v>
      </c>
      <c r="P65" s="144">
        <v>21312</v>
      </c>
      <c r="Q65" s="144">
        <v>30087</v>
      </c>
      <c r="R65" s="144"/>
      <c r="S65" s="141">
        <f t="shared" si="19"/>
        <v>0.56304167161343943</v>
      </c>
      <c r="T65" s="141">
        <f t="shared" si="20"/>
        <v>0.61272609819121449</v>
      </c>
      <c r="U65" s="142"/>
      <c r="V65" s="142"/>
      <c r="W65" s="142"/>
      <c r="X65" s="142"/>
      <c r="Y65" s="142"/>
      <c r="Z65" s="142"/>
      <c r="AA65" s="142"/>
      <c r="AB65" s="142"/>
      <c r="AC65" s="142"/>
      <c r="AD65" s="142"/>
      <c r="AE65" s="142"/>
      <c r="AF65" s="142"/>
      <c r="AG65" s="142"/>
      <c r="AH65" s="142"/>
      <c r="AI65" s="142"/>
      <c r="AJ65" s="142"/>
      <c r="AK65" s="142"/>
      <c r="AL65" s="128"/>
      <c r="AM65" s="143">
        <v>8775</v>
      </c>
      <c r="AN65" s="144">
        <v>21312</v>
      </c>
      <c r="AO65" s="144">
        <v>30087</v>
      </c>
      <c r="AQ65" s="28">
        <v>2121</v>
      </c>
      <c r="AR65" s="34">
        <f t="shared" si="12"/>
        <v>9.95213963963964E-2</v>
      </c>
      <c r="AS65" s="34">
        <f t="shared" si="13"/>
        <v>5.817493622973751E-2</v>
      </c>
      <c r="AV65" s="91">
        <f t="shared" si="18"/>
        <v>4.9760698198198202E-3</v>
      </c>
      <c r="AX65" s="22">
        <v>280</v>
      </c>
      <c r="AY65" s="22">
        <v>122</v>
      </c>
      <c r="AZ65" s="22">
        <f t="shared" si="16"/>
        <v>402</v>
      </c>
      <c r="BA65" s="22">
        <f t="shared" si="17"/>
        <v>9151</v>
      </c>
      <c r="BC65" s="112">
        <f t="shared" si="14"/>
        <v>1.3138138138138139E-2</v>
      </c>
      <c r="BD65" s="112">
        <f t="shared" si="15"/>
        <v>1.3903133903133903E-2</v>
      </c>
      <c r="BF65">
        <v>93</v>
      </c>
      <c r="BI65">
        <v>84</v>
      </c>
      <c r="BJ65" s="28">
        <f t="shared" si="4"/>
        <v>240.00000000000003</v>
      </c>
      <c r="BK65" s="32">
        <v>0.65</v>
      </c>
      <c r="BM65">
        <v>239</v>
      </c>
      <c r="BP65">
        <v>228</v>
      </c>
      <c r="BQ65" s="28">
        <f t="shared" si="1"/>
        <v>731.0035267714012</v>
      </c>
      <c r="BR65">
        <v>0.68810000000000004</v>
      </c>
      <c r="BT65">
        <v>448</v>
      </c>
      <c r="BW65">
        <v>434</v>
      </c>
      <c r="BX65" s="28">
        <f t="shared" si="5"/>
        <v>434</v>
      </c>
      <c r="BY65">
        <v>0</v>
      </c>
      <c r="CA65">
        <v>28</v>
      </c>
      <c r="CD65">
        <v>25</v>
      </c>
      <c r="CE65" s="28">
        <f t="shared" si="7"/>
        <v>52.999788000847992</v>
      </c>
      <c r="CF65" s="32">
        <v>0.52829999999999999</v>
      </c>
      <c r="CO65">
        <v>359</v>
      </c>
      <c r="CR65">
        <v>350</v>
      </c>
      <c r="CS65" s="28">
        <f t="shared" si="9"/>
        <v>350</v>
      </c>
      <c r="CT65">
        <v>0</v>
      </c>
      <c r="DD65">
        <v>153</v>
      </c>
      <c r="DE65" s="28">
        <f t="shared" si="6"/>
        <v>202.11360634081902</v>
      </c>
      <c r="DF65">
        <v>0.24299999999999999</v>
      </c>
      <c r="DH65">
        <v>7</v>
      </c>
      <c r="DJ65">
        <v>397</v>
      </c>
      <c r="DK65" s="32">
        <v>0</v>
      </c>
      <c r="DL65">
        <v>43</v>
      </c>
      <c r="DM65" s="32">
        <v>0</v>
      </c>
      <c r="DN65">
        <v>3</v>
      </c>
      <c r="DO65" s="32">
        <v>0</v>
      </c>
      <c r="DP65">
        <v>40</v>
      </c>
      <c r="DQ65" s="32">
        <v>0</v>
      </c>
      <c r="DR65">
        <v>35</v>
      </c>
      <c r="DS65" s="32">
        <v>0</v>
      </c>
      <c r="DT65">
        <v>30</v>
      </c>
      <c r="DU65" s="32">
        <v>0</v>
      </c>
      <c r="DV65">
        <v>54</v>
      </c>
      <c r="DW65" s="32">
        <v>0</v>
      </c>
      <c r="DX65">
        <v>158</v>
      </c>
      <c r="DY65" s="32">
        <v>0</v>
      </c>
      <c r="DZ65">
        <v>125</v>
      </c>
      <c r="EA65" s="32">
        <v>0</v>
      </c>
      <c r="EC65">
        <v>53</v>
      </c>
      <c r="ED65">
        <v>64</v>
      </c>
      <c r="EE65">
        <v>97</v>
      </c>
      <c r="EF65">
        <v>0</v>
      </c>
      <c r="EG65">
        <v>102</v>
      </c>
      <c r="EH65">
        <v>101</v>
      </c>
      <c r="EI65" s="32">
        <v>0</v>
      </c>
      <c r="EJ65">
        <v>5</v>
      </c>
      <c r="EK65" s="32">
        <v>0</v>
      </c>
      <c r="EL65">
        <v>59</v>
      </c>
      <c r="EM65">
        <v>284</v>
      </c>
      <c r="EN65" s="334">
        <v>5.4820742999999996E-3</v>
      </c>
      <c r="ES65">
        <v>628</v>
      </c>
      <c r="ET65" s="334">
        <v>0</v>
      </c>
      <c r="EW65" s="187">
        <f>AVERAGE(ES65:ES$75)</f>
        <v>714.81818181818187</v>
      </c>
      <c r="EX65" s="187">
        <f>AVERAGE(ES65:ES$76)</f>
        <v>662.33333333333337</v>
      </c>
      <c r="EY65" s="187">
        <f>AVERAGE(ES65:ES$74)</f>
        <v>751.2</v>
      </c>
    </row>
    <row r="66" spans="1:157" x14ac:dyDescent="0.3">
      <c r="A66" s="33">
        <v>2007</v>
      </c>
      <c r="B66" s="294">
        <v>45563</v>
      </c>
      <c r="C66" s="294">
        <v>10501</v>
      </c>
      <c r="D66" s="294">
        <f t="shared" si="10"/>
        <v>35062</v>
      </c>
      <c r="E66" s="295">
        <v>146</v>
      </c>
      <c r="F66" s="296">
        <v>1.4</v>
      </c>
      <c r="G66" s="295">
        <v>721</v>
      </c>
      <c r="H66" s="296">
        <v>6.9</v>
      </c>
      <c r="I66" s="295">
        <v>867</v>
      </c>
      <c r="J66" s="296">
        <v>8.3000000000000007</v>
      </c>
      <c r="K66" s="294">
        <v>2351</v>
      </c>
      <c r="L66" s="296">
        <v>22.4</v>
      </c>
      <c r="M66" s="297">
        <v>7093</v>
      </c>
      <c r="N66" s="298">
        <v>67.7</v>
      </c>
      <c r="O66" s="299">
        <v>7694</v>
      </c>
      <c r="P66" s="300">
        <v>21034</v>
      </c>
      <c r="Q66" s="300">
        <v>28728</v>
      </c>
      <c r="R66" s="144"/>
      <c r="S66" s="141">
        <f t="shared" si="19"/>
        <v>0.67545948004951906</v>
      </c>
      <c r="T66" s="141">
        <f t="shared" si="20"/>
        <v>0.7362466265310359</v>
      </c>
      <c r="U66" s="148">
        <v>1.7275963221909166E-2</v>
      </c>
      <c r="V66" s="148">
        <v>6.2286224448386614E-2</v>
      </c>
      <c r="W66" s="148">
        <v>6.5242849026632813E-2</v>
      </c>
      <c r="X66" s="148">
        <v>0.14481663130311778</v>
      </c>
      <c r="Y66" s="148"/>
      <c r="Z66" s="149">
        <f t="shared" ref="Z66:AC76" si="21">U66*$B66</f>
        <v>787.14471227984734</v>
      </c>
      <c r="AA66" s="149">
        <f t="shared" si="21"/>
        <v>2837.9472445418392</v>
      </c>
      <c r="AB66" s="149">
        <f t="shared" si="21"/>
        <v>2972.6599302004706</v>
      </c>
      <c r="AC66" s="149">
        <f t="shared" si="21"/>
        <v>6598.2801720639554</v>
      </c>
      <c r="AD66" s="149"/>
      <c r="AE66" s="150">
        <f t="shared" ref="AE66:AE76" si="22">Z66+AA66-E66</f>
        <v>3479.0919568216864</v>
      </c>
      <c r="AF66" s="150">
        <f t="shared" ref="AF66:AF76" si="23">AB66-G66</f>
        <v>2251.6599302004706</v>
      </c>
      <c r="AG66" s="150">
        <f t="shared" ref="AG66:AG76" si="24">AE66+AF66</f>
        <v>5730.7518870221575</v>
      </c>
      <c r="AH66" s="150"/>
      <c r="AI66" s="151">
        <f t="shared" ref="AI66:AK76" si="25">AE66/$D66</f>
        <v>9.9226854053439228E-2</v>
      </c>
      <c r="AJ66" s="151">
        <f t="shared" si="25"/>
        <v>6.4219380816852162E-2</v>
      </c>
      <c r="AK66" s="152">
        <f t="shared" si="25"/>
        <v>0.16344623487029142</v>
      </c>
      <c r="AL66" s="37"/>
      <c r="AM66" s="143">
        <v>7694</v>
      </c>
      <c r="AN66" s="144">
        <v>21034</v>
      </c>
      <c r="AO66" s="144">
        <v>28728</v>
      </c>
      <c r="AQ66" s="28">
        <v>1935</v>
      </c>
      <c r="AR66" s="34">
        <f t="shared" si="12"/>
        <v>9.1993914614433778E-2</v>
      </c>
      <c r="AS66" s="34">
        <f t="shared" si="13"/>
        <v>5.5187952769379954E-2</v>
      </c>
      <c r="AV66" s="91">
        <f t="shared" si="18"/>
        <v>4.5996957307216889E-3</v>
      </c>
      <c r="AX66" s="22">
        <v>338</v>
      </c>
      <c r="AY66" s="22">
        <v>148</v>
      </c>
      <c r="AZ66" s="22">
        <f t="shared" si="16"/>
        <v>486</v>
      </c>
      <c r="BA66" s="22">
        <f t="shared" si="17"/>
        <v>9637</v>
      </c>
      <c r="BC66" s="112">
        <f t="shared" si="14"/>
        <v>1.6069221260815822E-2</v>
      </c>
      <c r="BD66" s="112">
        <f t="shared" si="15"/>
        <v>1.9235768131011178E-2</v>
      </c>
      <c r="BF66" s="153">
        <v>51</v>
      </c>
      <c r="BG66" s="153">
        <v>174</v>
      </c>
      <c r="BH66" s="154">
        <f>(BG66-BF66)/BG66</f>
        <v>0.7068965517241379</v>
      </c>
      <c r="BI66">
        <v>46</v>
      </c>
      <c r="BJ66" s="28">
        <f t="shared" si="4"/>
        <v>161.97183098591549</v>
      </c>
      <c r="BK66" s="32">
        <v>0.71599999999999997</v>
      </c>
      <c r="BM66" s="153">
        <v>178</v>
      </c>
      <c r="BN66" s="153">
        <v>976</v>
      </c>
      <c r="BO66" s="154">
        <f>(BN66-BM66)/BN66</f>
        <v>0.81762295081967218</v>
      </c>
      <c r="BP66">
        <v>136</v>
      </c>
      <c r="BQ66" s="28">
        <f t="shared" si="1"/>
        <v>685.13853904282109</v>
      </c>
      <c r="BR66">
        <v>0.80149999999999999</v>
      </c>
      <c r="BT66" s="153">
        <v>313</v>
      </c>
      <c r="BU66" s="153">
        <v>313.2</v>
      </c>
      <c r="BV66" s="154">
        <f>(BU66-BT66)/BU66</f>
        <v>6.3856960408680918E-4</v>
      </c>
      <c r="BW66" s="195">
        <v>302</v>
      </c>
      <c r="BX66" s="28">
        <f t="shared" si="5"/>
        <v>302</v>
      </c>
      <c r="BY66" s="154">
        <v>0</v>
      </c>
      <c r="BZ66" s="154"/>
      <c r="CA66" s="153">
        <v>15</v>
      </c>
      <c r="CB66" s="153">
        <v>18</v>
      </c>
      <c r="CC66" s="154">
        <f>(CB66-CA66)/CB66</f>
        <v>0.16666666666666666</v>
      </c>
      <c r="CD66">
        <v>14</v>
      </c>
      <c r="CE66" s="28">
        <f t="shared" si="7"/>
        <v>14</v>
      </c>
      <c r="CF66" s="32">
        <v>0</v>
      </c>
      <c r="CH66" s="153">
        <v>181</v>
      </c>
      <c r="CI66" s="153">
        <v>464.33690000000001</v>
      </c>
      <c r="CJ66" s="154">
        <f>(CI66-CH66)/CI66</f>
        <v>0.610196820455148</v>
      </c>
      <c r="CK66" s="154"/>
      <c r="CL66" s="154"/>
      <c r="CM66" s="154"/>
      <c r="CN66" s="154"/>
      <c r="CO66" s="153">
        <v>279</v>
      </c>
      <c r="CP66" s="153">
        <v>293</v>
      </c>
      <c r="CQ66" s="154">
        <f>(CP66-CO66)/CP66</f>
        <v>4.778156996587031E-2</v>
      </c>
      <c r="CR66">
        <v>279</v>
      </c>
      <c r="CS66" s="28">
        <f t="shared" si="9"/>
        <v>290.92805005213768</v>
      </c>
      <c r="CT66">
        <v>4.1000000000000002E-2</v>
      </c>
      <c r="DD66">
        <v>164</v>
      </c>
      <c r="DE66" s="28">
        <f t="shared" si="6"/>
        <v>211.06821106821107</v>
      </c>
      <c r="DF66">
        <v>0.223</v>
      </c>
      <c r="DH66">
        <v>13</v>
      </c>
      <c r="DJ66">
        <v>340</v>
      </c>
      <c r="DK66" s="32">
        <v>0</v>
      </c>
      <c r="DL66">
        <v>93</v>
      </c>
      <c r="DM66" s="32">
        <v>0</v>
      </c>
      <c r="DN66">
        <v>0</v>
      </c>
      <c r="DO66" s="32">
        <v>0</v>
      </c>
      <c r="DP66">
        <v>32</v>
      </c>
      <c r="DQ66" s="32">
        <v>0</v>
      </c>
      <c r="DR66">
        <v>50</v>
      </c>
      <c r="DS66" s="32">
        <v>0</v>
      </c>
      <c r="DT66">
        <v>48</v>
      </c>
      <c r="DU66" s="32">
        <v>0</v>
      </c>
      <c r="DV66">
        <v>53</v>
      </c>
      <c r="DW66" s="32">
        <v>0</v>
      </c>
      <c r="DX66">
        <v>306</v>
      </c>
      <c r="DY66" s="32">
        <v>0</v>
      </c>
      <c r="DZ66">
        <v>130</v>
      </c>
      <c r="EA66" s="32">
        <v>0</v>
      </c>
      <c r="EC66">
        <v>37</v>
      </c>
      <c r="ED66">
        <v>63</v>
      </c>
      <c r="EE66">
        <v>89</v>
      </c>
      <c r="EF66">
        <v>0</v>
      </c>
      <c r="EG66">
        <v>148</v>
      </c>
      <c r="EH66">
        <v>208</v>
      </c>
      <c r="EI66" s="32">
        <v>0</v>
      </c>
      <c r="EJ66">
        <v>0</v>
      </c>
      <c r="EK66" s="32">
        <v>0</v>
      </c>
      <c r="EL66">
        <v>70</v>
      </c>
      <c r="EM66">
        <v>179</v>
      </c>
      <c r="EN66" s="334">
        <v>4.3020040000000002E-2</v>
      </c>
      <c r="ES66">
        <v>603</v>
      </c>
      <c r="ET66" s="334">
        <v>3.4625444999999998E-2</v>
      </c>
      <c r="EW66" s="187">
        <f>AVERAGE(ES66:ES$75)</f>
        <v>723.5</v>
      </c>
      <c r="EX66" s="187">
        <f>AVERAGE(ES66:ES$76)</f>
        <v>665.4545454545455</v>
      </c>
      <c r="EY66" s="187">
        <f>AVERAGE(ES66:ES$74)</f>
        <v>764.88888888888891</v>
      </c>
    </row>
    <row r="67" spans="1:157" x14ac:dyDescent="0.3">
      <c r="A67" s="33">
        <v>2008</v>
      </c>
      <c r="B67" s="135">
        <v>100986</v>
      </c>
      <c r="C67" s="135">
        <v>24041</v>
      </c>
      <c r="D67" s="135">
        <f t="shared" si="10"/>
        <v>76945</v>
      </c>
      <c r="E67" s="145">
        <v>523</v>
      </c>
      <c r="F67" s="142">
        <v>2.2000000000000002</v>
      </c>
      <c r="G67" s="135">
        <v>3283</v>
      </c>
      <c r="H67" s="142">
        <v>13.7</v>
      </c>
      <c r="I67" s="135">
        <v>3806</v>
      </c>
      <c r="J67" s="142">
        <v>15.8</v>
      </c>
      <c r="K67" s="135">
        <v>2349</v>
      </c>
      <c r="L67" s="142">
        <v>9.8000000000000007</v>
      </c>
      <c r="M67" s="146">
        <v>17574</v>
      </c>
      <c r="N67" s="147">
        <v>73.099999999999994</v>
      </c>
      <c r="O67" s="143">
        <v>14019</v>
      </c>
      <c r="P67" s="144">
        <v>53027</v>
      </c>
      <c r="Q67" s="144">
        <v>67046</v>
      </c>
      <c r="R67" s="144"/>
      <c r="S67" s="141">
        <f t="shared" si="19"/>
        <v>0.73100120627261767</v>
      </c>
      <c r="T67" s="141">
        <f t="shared" si="20"/>
        <v>0.86849518161601191</v>
      </c>
      <c r="U67" s="148">
        <v>3.5223843832748319E-2</v>
      </c>
      <c r="V67" s="148">
        <v>0.12136887067609403</v>
      </c>
      <c r="W67" s="148">
        <v>0.1197509922800889</v>
      </c>
      <c r="X67" s="148">
        <v>0.27634370678893128</v>
      </c>
      <c r="Y67" s="148"/>
      <c r="Z67" s="149">
        <f t="shared" si="21"/>
        <v>3557.1150932939217</v>
      </c>
      <c r="AA67" s="149">
        <f t="shared" si="21"/>
        <v>12256.556774096032</v>
      </c>
      <c r="AB67" s="149">
        <f t="shared" si="21"/>
        <v>12093.173706397058</v>
      </c>
      <c r="AC67" s="149">
        <f t="shared" si="21"/>
        <v>27906.845573787014</v>
      </c>
      <c r="AD67" s="149"/>
      <c r="AE67" s="150">
        <f t="shared" si="22"/>
        <v>15290.671867389954</v>
      </c>
      <c r="AF67" s="150">
        <f t="shared" si="23"/>
        <v>8810.1737063970577</v>
      </c>
      <c r="AG67" s="150">
        <f t="shared" si="24"/>
        <v>24100.84557378701</v>
      </c>
      <c r="AH67" s="150"/>
      <c r="AI67" s="151">
        <f t="shared" si="25"/>
        <v>0.19872209847800318</v>
      </c>
      <c r="AJ67" s="151">
        <f t="shared" si="25"/>
        <v>0.11449962578981165</v>
      </c>
      <c r="AK67" s="152">
        <f t="shared" si="25"/>
        <v>0.31322172426781481</v>
      </c>
      <c r="AL67" s="37"/>
      <c r="AM67" s="143">
        <v>14019</v>
      </c>
      <c r="AN67" s="144">
        <v>53027</v>
      </c>
      <c r="AO67" s="144">
        <v>67046</v>
      </c>
      <c r="AQ67" s="28">
        <v>10795</v>
      </c>
      <c r="AR67" s="34">
        <f t="shared" si="12"/>
        <v>0.20357553699058969</v>
      </c>
      <c r="AS67" s="34">
        <f t="shared" si="13"/>
        <v>0.14029501592046267</v>
      </c>
      <c r="AV67" s="91">
        <f t="shared" si="18"/>
        <v>1.0178776849529485E-2</v>
      </c>
      <c r="AX67" s="22">
        <v>636</v>
      </c>
      <c r="AY67" s="22">
        <v>110</v>
      </c>
      <c r="AZ67" s="22">
        <f t="shared" si="16"/>
        <v>746</v>
      </c>
      <c r="BA67" s="22">
        <f t="shared" si="17"/>
        <v>10383</v>
      </c>
      <c r="BC67" s="112">
        <f t="shared" si="14"/>
        <v>1.1993889905142663E-2</v>
      </c>
      <c r="BD67" s="112">
        <f t="shared" si="15"/>
        <v>7.8464940437977023E-3</v>
      </c>
      <c r="BF67" s="155">
        <v>79</v>
      </c>
      <c r="BG67" s="155">
        <v>219</v>
      </c>
      <c r="BH67" s="154">
        <f t="shared" ref="BH67:BH76" si="26">(BG67-BF67)/BG67</f>
        <v>0.63926940639269403</v>
      </c>
      <c r="BI67">
        <v>74</v>
      </c>
      <c r="BJ67" s="28">
        <f t="shared" si="4"/>
        <v>202.02020202020205</v>
      </c>
      <c r="BK67" s="32">
        <v>0.63370000000000004</v>
      </c>
      <c r="BM67" s="155">
        <v>313</v>
      </c>
      <c r="BN67" s="155">
        <v>2259</v>
      </c>
      <c r="BO67" s="154">
        <f t="shared" ref="BO67:BO76" si="27">(BN67-BM67)/BN67</f>
        <v>0.86144311642319615</v>
      </c>
      <c r="BP67">
        <v>180</v>
      </c>
      <c r="BQ67" s="28">
        <f t="shared" si="1"/>
        <v>1604.2780748663106</v>
      </c>
      <c r="BR67">
        <v>0.88780000000000003</v>
      </c>
      <c r="BT67" s="155">
        <v>485</v>
      </c>
      <c r="BU67" s="155">
        <v>552.6857</v>
      </c>
      <c r="BV67" s="154">
        <f t="shared" ref="BV67:BV76" si="28">(BU67-BT67)/BU67</f>
        <v>0.1224668921233171</v>
      </c>
      <c r="BW67" s="195">
        <v>485</v>
      </c>
      <c r="BX67" s="28">
        <f t="shared" si="5"/>
        <v>527.17391304347825</v>
      </c>
      <c r="BY67" s="154">
        <v>0.08</v>
      </c>
      <c r="BZ67" s="154"/>
      <c r="CA67" s="155">
        <v>56</v>
      </c>
      <c r="CB67" s="155">
        <v>367</v>
      </c>
      <c r="CC67" s="154">
        <f t="shared" ref="CC67:CC76" si="29">(CB67-CA67)/CB67</f>
        <v>0.84741144414168934</v>
      </c>
      <c r="CD67">
        <v>44</v>
      </c>
      <c r="CE67" s="28">
        <f t="shared" si="7"/>
        <v>78.994614003590669</v>
      </c>
      <c r="CF67" s="32">
        <v>0.443</v>
      </c>
      <c r="CH67" s="155">
        <v>598</v>
      </c>
      <c r="CI67" s="155">
        <v>1946.1410000000001</v>
      </c>
      <c r="CJ67" s="154">
        <f t="shared" ref="CJ67:CJ76" si="30">(CI67-CH67)/CI67</f>
        <v>0.69272524447098127</v>
      </c>
      <c r="CK67" s="154"/>
      <c r="CL67" s="154"/>
      <c r="CM67" s="154"/>
      <c r="CN67" s="154"/>
      <c r="CO67" s="155">
        <v>342</v>
      </c>
      <c r="CP67" s="155">
        <v>365</v>
      </c>
      <c r="CQ67" s="154">
        <f t="shared" ref="CQ67:CQ76" si="31">(CP67-CO67)/CP67</f>
        <v>6.3013698630136991E-2</v>
      </c>
      <c r="CR67">
        <v>317</v>
      </c>
      <c r="CS67" s="28">
        <f t="shared" si="9"/>
        <v>329.86472424557752</v>
      </c>
      <c r="CT67">
        <v>3.9E-2</v>
      </c>
      <c r="DD67">
        <v>486</v>
      </c>
      <c r="DE67" s="28">
        <f t="shared" si="6"/>
        <v>796.72131147540983</v>
      </c>
      <c r="DF67">
        <v>0.39</v>
      </c>
      <c r="DH67">
        <v>13</v>
      </c>
      <c r="DJ67">
        <v>579</v>
      </c>
      <c r="DK67" s="32">
        <v>0</v>
      </c>
      <c r="DL67">
        <v>196</v>
      </c>
      <c r="DM67" s="32">
        <v>0</v>
      </c>
      <c r="DN67">
        <v>5</v>
      </c>
      <c r="DO67" s="32">
        <v>0</v>
      </c>
      <c r="DP67">
        <v>44</v>
      </c>
      <c r="DQ67" s="32">
        <v>0</v>
      </c>
      <c r="DR67">
        <v>44</v>
      </c>
      <c r="DS67" s="32">
        <v>0</v>
      </c>
      <c r="DT67">
        <v>54</v>
      </c>
      <c r="DU67" s="32">
        <v>0</v>
      </c>
      <c r="DV67">
        <v>68</v>
      </c>
      <c r="DW67" s="32">
        <v>0</v>
      </c>
      <c r="DX67">
        <v>425</v>
      </c>
      <c r="DY67" s="32">
        <v>0</v>
      </c>
      <c r="DZ67">
        <v>164</v>
      </c>
      <c r="EA67" s="32">
        <v>0</v>
      </c>
      <c r="EC67">
        <v>52</v>
      </c>
      <c r="ED67">
        <v>61</v>
      </c>
      <c r="EE67">
        <v>103</v>
      </c>
      <c r="EF67">
        <v>0</v>
      </c>
      <c r="EG67">
        <v>208</v>
      </c>
      <c r="EH67">
        <v>429</v>
      </c>
      <c r="EI67" s="32">
        <v>0</v>
      </c>
      <c r="EJ67">
        <v>81</v>
      </c>
      <c r="EK67" s="32">
        <v>6.1231606000000001E-2</v>
      </c>
      <c r="EL67">
        <v>154</v>
      </c>
      <c r="EM67">
        <v>438</v>
      </c>
      <c r="EN67" s="334">
        <v>3.5615010000000002E-2</v>
      </c>
      <c r="ES67">
        <v>643</v>
      </c>
      <c r="ET67" s="334">
        <v>3.3608770000000003E-2</v>
      </c>
      <c r="EW67" s="187">
        <f>AVERAGE(ES67:ES$75)</f>
        <v>736.88888888888891</v>
      </c>
      <c r="EX67" s="187">
        <f>AVERAGE(ES67:ES$76)</f>
        <v>671.7</v>
      </c>
      <c r="EY67" s="187">
        <f>AVERAGE(ES67:ES$74)</f>
        <v>785.125</v>
      </c>
    </row>
    <row r="68" spans="1:157" x14ac:dyDescent="0.3">
      <c r="A68" s="33">
        <v>2009</v>
      </c>
      <c r="B68" s="135">
        <v>90116</v>
      </c>
      <c r="C68" s="135">
        <v>20453</v>
      </c>
      <c r="D68" s="135">
        <f t="shared" si="10"/>
        <v>69663</v>
      </c>
      <c r="E68" s="145">
        <v>339</v>
      </c>
      <c r="F68" s="142">
        <v>1.7</v>
      </c>
      <c r="G68" s="135">
        <v>1756</v>
      </c>
      <c r="H68" s="142">
        <v>8.6</v>
      </c>
      <c r="I68" s="135">
        <v>2095</v>
      </c>
      <c r="J68" s="142">
        <v>10.199999999999999</v>
      </c>
      <c r="K68" s="135">
        <v>3353</v>
      </c>
      <c r="L68" s="142">
        <v>16.399999999999999</v>
      </c>
      <c r="M68" s="146">
        <v>14947</v>
      </c>
      <c r="N68" s="147">
        <v>72.900000000000006</v>
      </c>
      <c r="O68" s="212">
        <v>12963</v>
      </c>
      <c r="P68" s="212">
        <v>45477</v>
      </c>
      <c r="Q68" s="212">
        <v>58440</v>
      </c>
      <c r="R68" s="212"/>
      <c r="S68" s="141">
        <f t="shared" si="19"/>
        <v>0.73079743802865105</v>
      </c>
      <c r="T68" s="141">
        <f t="shared" si="20"/>
        <v>0.8141954461270291</v>
      </c>
      <c r="U68" s="148">
        <v>2.6834656459691901E-2</v>
      </c>
      <c r="V68" s="148">
        <v>9.3859276060863819E-2</v>
      </c>
      <c r="W68" s="148">
        <v>7.7385171533881483E-2</v>
      </c>
      <c r="X68" s="148">
        <v>0.19807910405443721</v>
      </c>
      <c r="Y68" s="148"/>
      <c r="Z68" s="149">
        <f t="shared" si="21"/>
        <v>2418.2319015215953</v>
      </c>
      <c r="AA68" s="149">
        <f t="shared" si="21"/>
        <v>8458.2225215008039</v>
      </c>
      <c r="AB68" s="149">
        <f t="shared" si="21"/>
        <v>6973.6421179472636</v>
      </c>
      <c r="AC68" s="149">
        <f t="shared" si="21"/>
        <v>17850.096540969662</v>
      </c>
      <c r="AD68" s="149"/>
      <c r="AE68" s="150">
        <f t="shared" si="22"/>
        <v>10537.454423022398</v>
      </c>
      <c r="AF68" s="150">
        <f t="shared" si="23"/>
        <v>5217.6421179472636</v>
      </c>
      <c r="AG68" s="150">
        <f t="shared" si="24"/>
        <v>15755.096540969662</v>
      </c>
      <c r="AH68" s="150"/>
      <c r="AI68" s="151">
        <f t="shared" si="25"/>
        <v>0.151263287871932</v>
      </c>
      <c r="AJ68" s="151">
        <f t="shared" si="25"/>
        <v>7.4898326485325975E-2</v>
      </c>
      <c r="AK68" s="152">
        <f t="shared" si="25"/>
        <v>0.22616161435725796</v>
      </c>
      <c r="AL68" s="37"/>
      <c r="AM68" s="144">
        <v>12963</v>
      </c>
      <c r="AN68" s="144">
        <v>45477</v>
      </c>
      <c r="AO68" s="144">
        <v>58440</v>
      </c>
      <c r="AQ68" s="28">
        <v>11253</v>
      </c>
      <c r="AR68" s="34">
        <f t="shared" si="12"/>
        <v>0.2474437627811861</v>
      </c>
      <c r="AS68" s="34">
        <f t="shared" si="13"/>
        <v>0.1615348176219801</v>
      </c>
      <c r="AV68" s="91">
        <f t="shared" si="18"/>
        <v>1.2372188139059305E-2</v>
      </c>
      <c r="AX68" s="22">
        <v>638</v>
      </c>
      <c r="AY68" s="22">
        <v>181</v>
      </c>
      <c r="AZ68" s="22">
        <f t="shared" si="16"/>
        <v>819</v>
      </c>
      <c r="BA68" s="22">
        <f t="shared" si="17"/>
        <v>11202</v>
      </c>
      <c r="BC68" s="112">
        <f t="shared" si="14"/>
        <v>1.4029069639598039E-2</v>
      </c>
      <c r="BD68" s="112">
        <f t="shared" si="15"/>
        <v>1.3962817249093575E-2</v>
      </c>
      <c r="BF68" s="155">
        <v>130</v>
      </c>
      <c r="BG68" s="155">
        <v>281</v>
      </c>
      <c r="BH68" s="154">
        <f t="shared" si="26"/>
        <v>0.53736654804270467</v>
      </c>
      <c r="BI68">
        <v>92</v>
      </c>
      <c r="BJ68" s="28">
        <f t="shared" si="4"/>
        <v>191.98664440734558</v>
      </c>
      <c r="BK68" s="32">
        <v>0.52080000000000004</v>
      </c>
      <c r="BM68" s="155">
        <v>542</v>
      </c>
      <c r="BN68" s="155">
        <v>2726</v>
      </c>
      <c r="BO68" s="154">
        <f t="shared" si="27"/>
        <v>0.80117388114453414</v>
      </c>
      <c r="BP68">
        <v>331</v>
      </c>
      <c r="BQ68" s="28">
        <f t="shared" si="1"/>
        <v>1069.1214470284237</v>
      </c>
      <c r="BR68">
        <v>0.69040000000000001</v>
      </c>
      <c r="BT68" s="155">
        <v>765</v>
      </c>
      <c r="BU68" s="155">
        <v>765.25710000000004</v>
      </c>
      <c r="BV68" s="154">
        <f t="shared" si="28"/>
        <v>3.3596552060743604E-4</v>
      </c>
      <c r="BW68" s="195">
        <v>697</v>
      </c>
      <c r="BX68" s="28">
        <f t="shared" si="5"/>
        <v>697</v>
      </c>
      <c r="BY68" s="154">
        <v>0</v>
      </c>
      <c r="BZ68" s="154"/>
      <c r="CA68" s="155">
        <v>19</v>
      </c>
      <c r="CB68" s="155">
        <v>127</v>
      </c>
      <c r="CC68" s="154">
        <f t="shared" si="29"/>
        <v>0.85039370078740162</v>
      </c>
      <c r="CD68">
        <v>16</v>
      </c>
      <c r="CE68" s="28">
        <f t="shared" si="7"/>
        <v>95.011876484560574</v>
      </c>
      <c r="CF68" s="32">
        <v>0.83160000000000001</v>
      </c>
      <c r="CH68" s="155">
        <v>690</v>
      </c>
      <c r="CI68" s="155">
        <v>1438</v>
      </c>
      <c r="CJ68" s="154">
        <f t="shared" si="30"/>
        <v>0.52016689847009734</v>
      </c>
      <c r="CK68" s="154"/>
      <c r="CL68" s="154"/>
      <c r="CM68" s="154"/>
      <c r="CN68" s="154"/>
      <c r="CO68" s="155">
        <v>348</v>
      </c>
      <c r="CP68" s="155">
        <v>348</v>
      </c>
      <c r="CQ68" s="154">
        <f t="shared" si="31"/>
        <v>0</v>
      </c>
      <c r="CR68">
        <v>294</v>
      </c>
      <c r="CS68" s="28">
        <f t="shared" si="9"/>
        <v>294</v>
      </c>
      <c r="CT68">
        <v>0</v>
      </c>
      <c r="DD68">
        <v>604</v>
      </c>
      <c r="DE68" s="28">
        <f t="shared" si="6"/>
        <v>1191.3214990138067</v>
      </c>
      <c r="DF68">
        <v>0.49299999999999999</v>
      </c>
      <c r="DH68">
        <v>11</v>
      </c>
      <c r="DJ68">
        <v>659</v>
      </c>
      <c r="DK68" s="32">
        <v>0</v>
      </c>
      <c r="DL68">
        <v>407</v>
      </c>
      <c r="DM68" s="32">
        <v>0</v>
      </c>
      <c r="DN68">
        <v>2</v>
      </c>
      <c r="DO68" s="32">
        <v>0</v>
      </c>
      <c r="DP68">
        <v>33</v>
      </c>
      <c r="DQ68" s="32">
        <v>0</v>
      </c>
      <c r="DR68">
        <v>64</v>
      </c>
      <c r="DS68" s="32">
        <v>0</v>
      </c>
      <c r="DT68">
        <v>37</v>
      </c>
      <c r="DU68" s="32">
        <v>0</v>
      </c>
      <c r="DV68">
        <v>44</v>
      </c>
      <c r="DW68" s="32">
        <v>0</v>
      </c>
      <c r="DX68">
        <v>462</v>
      </c>
      <c r="DY68" s="32">
        <v>0</v>
      </c>
      <c r="DZ68">
        <v>148</v>
      </c>
      <c r="EA68" s="32">
        <v>0</v>
      </c>
      <c r="EC68">
        <v>97</v>
      </c>
      <c r="ED68">
        <v>153</v>
      </c>
      <c r="EE68">
        <v>82</v>
      </c>
      <c r="EF68">
        <v>0</v>
      </c>
      <c r="EG68">
        <v>324</v>
      </c>
      <c r="EH68">
        <v>225</v>
      </c>
      <c r="EI68" s="32">
        <v>0</v>
      </c>
      <c r="EJ68">
        <v>52</v>
      </c>
      <c r="EK68" s="32">
        <v>9.4754500000000005E-2</v>
      </c>
      <c r="EL68">
        <v>112</v>
      </c>
      <c r="EM68">
        <v>379</v>
      </c>
      <c r="EN68" s="334">
        <v>4.6868809999999997E-2</v>
      </c>
      <c r="ES68">
        <v>581</v>
      </c>
      <c r="ET68" s="334">
        <v>1.8142577E-2</v>
      </c>
      <c r="EW68" s="187">
        <f>AVERAGE(ES68:ES$75)</f>
        <v>748.625</v>
      </c>
      <c r="EX68" s="187">
        <f>AVERAGE(ES68:ES$76)</f>
        <v>674.88888888888891</v>
      </c>
      <c r="EY68" s="187">
        <f>AVERAGE(ES68:ES$74)</f>
        <v>805.42857142857144</v>
      </c>
    </row>
    <row r="69" spans="1:157" x14ac:dyDescent="0.3">
      <c r="A69" s="33">
        <v>2010</v>
      </c>
      <c r="B69" s="135">
        <v>166343</v>
      </c>
      <c r="C69" s="135">
        <v>34889</v>
      </c>
      <c r="D69" s="135">
        <f t="shared" si="10"/>
        <v>131454</v>
      </c>
      <c r="E69" s="145">
        <v>659</v>
      </c>
      <c r="F69" s="142">
        <v>1.9</v>
      </c>
      <c r="G69" s="135">
        <v>5168</v>
      </c>
      <c r="H69" s="142">
        <v>14.8</v>
      </c>
      <c r="I69" s="135">
        <v>5826</v>
      </c>
      <c r="J69" s="142">
        <v>16.7</v>
      </c>
      <c r="K69" s="135">
        <v>2000</v>
      </c>
      <c r="L69" s="142">
        <v>5.7</v>
      </c>
      <c r="M69" s="146">
        <v>26622</v>
      </c>
      <c r="N69" s="147">
        <v>76.3</v>
      </c>
      <c r="O69" s="212">
        <v>26282</v>
      </c>
      <c r="P69" s="212">
        <v>97273</v>
      </c>
      <c r="Q69" s="212">
        <v>123555</v>
      </c>
      <c r="R69" s="212"/>
      <c r="S69" s="141">
        <f t="shared" si="19"/>
        <v>0.7630485253231678</v>
      </c>
      <c r="T69" s="141">
        <f t="shared" si="20"/>
        <v>0.91601004713897394</v>
      </c>
      <c r="U69" s="148">
        <v>2.9434428958759452E-2</v>
      </c>
      <c r="V69" s="148">
        <v>8.6340357386354621E-2</v>
      </c>
      <c r="W69" s="148">
        <v>0.13621271940255911</v>
      </c>
      <c r="X69" s="148">
        <v>0.2519875057476732</v>
      </c>
      <c r="Y69" s="148"/>
      <c r="Z69" s="149">
        <f t="shared" si="21"/>
        <v>4896.2112162869234</v>
      </c>
      <c r="AA69" s="149">
        <f t="shared" si="21"/>
        <v>14362.114068718387</v>
      </c>
      <c r="AB69" s="149">
        <f t="shared" si="21"/>
        <v>22658.032383579888</v>
      </c>
      <c r="AC69" s="149">
        <f t="shared" si="21"/>
        <v>41916.357668585202</v>
      </c>
      <c r="AD69" s="149"/>
      <c r="AE69" s="150">
        <f t="shared" si="22"/>
        <v>18599.32528500531</v>
      </c>
      <c r="AF69" s="150">
        <f t="shared" si="23"/>
        <v>17490.032383579888</v>
      </c>
      <c r="AG69" s="150">
        <f t="shared" si="24"/>
        <v>36089.357668585202</v>
      </c>
      <c r="AH69" s="150"/>
      <c r="AI69" s="151">
        <f t="shared" si="25"/>
        <v>0.14148923033917044</v>
      </c>
      <c r="AJ69" s="151">
        <f t="shared" si="25"/>
        <v>0.13305059095637933</v>
      </c>
      <c r="AK69" s="152">
        <f t="shared" si="25"/>
        <v>0.27453982129554977</v>
      </c>
      <c r="AL69" s="37"/>
      <c r="AM69" s="144">
        <v>26282</v>
      </c>
      <c r="AN69" s="144">
        <v>97273</v>
      </c>
      <c r="AO69" s="144">
        <v>123555</v>
      </c>
      <c r="AQ69" s="28">
        <v>18453</v>
      </c>
      <c r="AR69" s="34">
        <f t="shared" si="12"/>
        <v>0.18970320643960811</v>
      </c>
      <c r="AS69" s="34">
        <f t="shared" si="13"/>
        <v>0.14037610114564791</v>
      </c>
      <c r="AV69" s="91">
        <f t="shared" si="18"/>
        <v>9.485160321980407E-3</v>
      </c>
      <c r="AX69" s="22">
        <v>389</v>
      </c>
      <c r="AY69" s="22">
        <v>605</v>
      </c>
      <c r="AZ69" s="22">
        <f t="shared" si="16"/>
        <v>994</v>
      </c>
      <c r="BA69" s="22">
        <f t="shared" si="17"/>
        <v>12196</v>
      </c>
      <c r="BC69" s="112">
        <f t="shared" si="14"/>
        <v>3.9990542082592295E-3</v>
      </c>
      <c r="BD69" s="112">
        <f t="shared" si="15"/>
        <v>2.3019557111330947E-2</v>
      </c>
      <c r="BF69" s="155">
        <v>463</v>
      </c>
      <c r="BG69" s="155">
        <v>973</v>
      </c>
      <c r="BH69" s="154">
        <f t="shared" si="26"/>
        <v>0.52415210688591984</v>
      </c>
      <c r="BI69">
        <v>438</v>
      </c>
      <c r="BJ69" s="28">
        <f t="shared" si="4"/>
        <v>914.02337228714532</v>
      </c>
      <c r="BK69" s="32">
        <v>0.52080000000000004</v>
      </c>
      <c r="BM69" s="155">
        <v>689</v>
      </c>
      <c r="BN69" s="155">
        <v>2563</v>
      </c>
      <c r="BO69" s="154">
        <f t="shared" si="27"/>
        <v>0.73117440499414743</v>
      </c>
      <c r="BP69">
        <v>584</v>
      </c>
      <c r="BQ69" s="28">
        <f t="shared" si="1"/>
        <v>1961.0476830087309</v>
      </c>
      <c r="BR69">
        <v>0.70220000000000005</v>
      </c>
      <c r="BT69" s="155">
        <v>865</v>
      </c>
      <c r="BU69" s="155">
        <v>940.93060000000003</v>
      </c>
      <c r="BV69" s="154">
        <f t="shared" si="28"/>
        <v>8.0697343672317623E-2</v>
      </c>
      <c r="BW69" s="195">
        <v>827</v>
      </c>
      <c r="BX69" s="28">
        <f t="shared" si="5"/>
        <v>888.29215896885069</v>
      </c>
      <c r="BY69" s="154">
        <v>6.9000000000000006E-2</v>
      </c>
      <c r="BZ69" s="154"/>
      <c r="CA69" s="155">
        <v>99</v>
      </c>
      <c r="CB69" s="155">
        <v>2094</v>
      </c>
      <c r="CC69" s="154">
        <f t="shared" si="29"/>
        <v>0.95272206303724927</v>
      </c>
      <c r="CD69">
        <v>93</v>
      </c>
      <c r="CE69" s="28">
        <f t="shared" si="7"/>
        <v>2043.9560439560446</v>
      </c>
      <c r="CF69" s="32">
        <v>0.95450000000000002</v>
      </c>
      <c r="CH69" s="155">
        <v>1132</v>
      </c>
      <c r="CI69" s="155">
        <v>4851</v>
      </c>
      <c r="CJ69" s="154">
        <f t="shared" si="30"/>
        <v>0.76664605236033811</v>
      </c>
      <c r="CK69" s="154"/>
      <c r="CL69" s="154"/>
      <c r="CM69" s="154"/>
      <c r="CN69" s="154"/>
      <c r="CO69" s="155">
        <v>592</v>
      </c>
      <c r="CP69" s="155">
        <v>688</v>
      </c>
      <c r="CQ69" s="154">
        <f t="shared" si="31"/>
        <v>0.13953488372093023</v>
      </c>
      <c r="CR69">
        <v>564</v>
      </c>
      <c r="CS69" s="28">
        <f t="shared" si="9"/>
        <v>649.76958525345617</v>
      </c>
      <c r="CT69">
        <v>0.13200000000000001</v>
      </c>
      <c r="DD69">
        <v>542</v>
      </c>
      <c r="DE69" s="28">
        <f t="shared" si="6"/>
        <v>937.71626297577848</v>
      </c>
      <c r="DF69">
        <v>0.42199999999999999</v>
      </c>
      <c r="DH69">
        <v>35</v>
      </c>
      <c r="DJ69">
        <v>886</v>
      </c>
      <c r="DK69" s="32">
        <v>0</v>
      </c>
      <c r="DL69">
        <v>212</v>
      </c>
      <c r="DM69" s="32">
        <v>0</v>
      </c>
      <c r="DN69">
        <v>5</v>
      </c>
      <c r="DO69" s="32">
        <v>0</v>
      </c>
      <c r="DP69">
        <v>51</v>
      </c>
      <c r="DQ69" s="32">
        <v>0</v>
      </c>
      <c r="DR69">
        <v>49</v>
      </c>
      <c r="DS69" s="32">
        <v>0</v>
      </c>
      <c r="DT69">
        <v>116</v>
      </c>
      <c r="DU69" s="32">
        <v>0</v>
      </c>
      <c r="DV69">
        <v>112</v>
      </c>
      <c r="DW69" s="32">
        <v>0</v>
      </c>
      <c r="DX69">
        <v>748</v>
      </c>
      <c r="DY69" s="32">
        <v>0</v>
      </c>
      <c r="DZ69">
        <v>632</v>
      </c>
      <c r="EA69" s="32">
        <v>0</v>
      </c>
      <c r="EC69">
        <v>182</v>
      </c>
      <c r="ED69">
        <v>222</v>
      </c>
      <c r="EE69">
        <v>118</v>
      </c>
      <c r="EF69">
        <v>0</v>
      </c>
      <c r="EG69">
        <v>298</v>
      </c>
      <c r="EH69">
        <v>809</v>
      </c>
      <c r="EI69" s="32">
        <v>0</v>
      </c>
      <c r="EJ69">
        <v>61</v>
      </c>
      <c r="EK69" s="334">
        <v>3.1540032000000003E-2</v>
      </c>
      <c r="EL69">
        <v>177</v>
      </c>
      <c r="EM69">
        <v>784</v>
      </c>
      <c r="EN69" s="334">
        <v>5.3311490000000003E-3</v>
      </c>
      <c r="ES69">
        <v>1569</v>
      </c>
      <c r="ET69" s="334">
        <v>2.0181629999999999E-3</v>
      </c>
      <c r="EW69" s="187">
        <f>AVERAGE(ES69:ES$75)</f>
        <v>772.57142857142856</v>
      </c>
      <c r="EX69" s="187">
        <f>AVERAGE(ES69:ES$76)</f>
        <v>686.625</v>
      </c>
      <c r="EY69" s="187">
        <f>AVERAGE(ES69:ES$74)</f>
        <v>842.83333333333337</v>
      </c>
    </row>
    <row r="70" spans="1:157" x14ac:dyDescent="0.3">
      <c r="A70" s="33">
        <v>2011</v>
      </c>
      <c r="B70" s="135">
        <v>123804</v>
      </c>
      <c r="C70" s="135">
        <v>30715</v>
      </c>
      <c r="D70" s="135">
        <f t="shared" si="10"/>
        <v>93089</v>
      </c>
      <c r="E70" s="145">
        <v>452</v>
      </c>
      <c r="F70" s="142">
        <v>1.5</v>
      </c>
      <c r="G70" s="135">
        <v>2257</v>
      </c>
      <c r="H70" s="142">
        <v>7.3</v>
      </c>
      <c r="I70" s="135">
        <v>2708</v>
      </c>
      <c r="J70" s="142">
        <v>8.8000000000000007</v>
      </c>
      <c r="K70" s="135">
        <v>3114</v>
      </c>
      <c r="L70" s="142">
        <v>10.1</v>
      </c>
      <c r="M70" s="146">
        <v>24526</v>
      </c>
      <c r="N70" s="147">
        <v>79.900000000000006</v>
      </c>
      <c r="O70" s="212">
        <v>22409</v>
      </c>
      <c r="P70" s="212">
        <v>69636</v>
      </c>
      <c r="Q70" s="212">
        <v>92045</v>
      </c>
      <c r="R70" s="212"/>
      <c r="S70" s="141">
        <f t="shared" si="19"/>
        <v>0.79850236041022304</v>
      </c>
      <c r="T70" s="141">
        <f t="shared" si="20"/>
        <v>0.87570964401756701</v>
      </c>
      <c r="U70" s="148">
        <v>1.7770101013754872E-2</v>
      </c>
      <c r="V70" s="148">
        <v>5.4576366217817127E-2</v>
      </c>
      <c r="W70" s="148">
        <v>7.0234854719250492E-2</v>
      </c>
      <c r="X70" s="148">
        <v>0.14258132195082249</v>
      </c>
      <c r="Y70" s="148"/>
      <c r="Z70" s="149">
        <f t="shared" si="21"/>
        <v>2200.0095859069083</v>
      </c>
      <c r="AA70" s="149">
        <f t="shared" si="21"/>
        <v>6756.7724432306313</v>
      </c>
      <c r="AB70" s="149">
        <f t="shared" si="21"/>
        <v>8695.3559536620887</v>
      </c>
      <c r="AC70" s="149">
        <f t="shared" si="21"/>
        <v>17652.137982799628</v>
      </c>
      <c r="AD70" s="149"/>
      <c r="AE70" s="150">
        <f t="shared" si="22"/>
        <v>8504.7820291375392</v>
      </c>
      <c r="AF70" s="150">
        <f t="shared" si="23"/>
        <v>6438.3559536620887</v>
      </c>
      <c r="AG70" s="150">
        <f t="shared" si="24"/>
        <v>14943.137982799628</v>
      </c>
      <c r="AH70" s="150"/>
      <c r="AI70" s="151">
        <f t="shared" si="25"/>
        <v>9.1361836835045382E-2</v>
      </c>
      <c r="AJ70" s="151">
        <f t="shared" si="25"/>
        <v>6.9163445236946244E-2</v>
      </c>
      <c r="AK70" s="152">
        <f t="shared" si="25"/>
        <v>0.16052528207199163</v>
      </c>
      <c r="AL70" s="37"/>
      <c r="AM70" s="144">
        <v>22409</v>
      </c>
      <c r="AN70" s="144">
        <v>69636</v>
      </c>
      <c r="AO70" s="144">
        <v>92045</v>
      </c>
      <c r="AQ70" s="28">
        <v>13038</v>
      </c>
      <c r="AR70" s="34">
        <f t="shared" si="12"/>
        <v>0.18723074271928314</v>
      </c>
      <c r="AS70" s="34">
        <f t="shared" si="13"/>
        <v>0.14005951293923019</v>
      </c>
      <c r="AV70" s="91">
        <f t="shared" si="18"/>
        <v>9.361537135964158E-3</v>
      </c>
      <c r="AX70" s="22">
        <v>355</v>
      </c>
      <c r="AY70" s="22">
        <v>346</v>
      </c>
      <c r="AZ70" s="22">
        <f t="shared" si="16"/>
        <v>701</v>
      </c>
      <c r="BA70" s="22">
        <f t="shared" si="17"/>
        <v>12897</v>
      </c>
      <c r="BC70" s="112">
        <f t="shared" si="14"/>
        <v>5.0979378482394165E-3</v>
      </c>
      <c r="BD70" s="112">
        <f t="shared" si="15"/>
        <v>1.5440224909634521E-2</v>
      </c>
      <c r="BF70" s="155">
        <v>615</v>
      </c>
      <c r="BG70" s="155">
        <v>1657</v>
      </c>
      <c r="BH70" s="154">
        <f t="shared" si="26"/>
        <v>0.62884731442365727</v>
      </c>
      <c r="BI70">
        <v>361</v>
      </c>
      <c r="BJ70" s="28">
        <f t="shared" si="4"/>
        <v>1115.919629057187</v>
      </c>
      <c r="BK70" s="32">
        <v>0.67649999999999999</v>
      </c>
      <c r="BM70" s="155">
        <v>893</v>
      </c>
      <c r="BN70" s="155">
        <v>2357</v>
      </c>
      <c r="BO70" s="154">
        <f t="shared" si="27"/>
        <v>0.6211285532456513</v>
      </c>
      <c r="BP70">
        <v>743</v>
      </c>
      <c r="BQ70" s="28">
        <f t="shared" si="1"/>
        <v>1801.2121212121212</v>
      </c>
      <c r="BR70">
        <v>0.58750000000000002</v>
      </c>
      <c r="BT70" s="155">
        <v>697</v>
      </c>
      <c r="BU70" s="155">
        <v>842.48509999999999</v>
      </c>
      <c r="BV70" s="154">
        <f t="shared" si="28"/>
        <v>0.17268566530138038</v>
      </c>
      <c r="BW70" s="195">
        <v>635</v>
      </c>
      <c r="BX70" s="28">
        <f t="shared" si="5"/>
        <v>719.95464852607711</v>
      </c>
      <c r="BY70" s="154">
        <v>0.11799999999999999</v>
      </c>
      <c r="BZ70" s="154"/>
      <c r="CA70" s="155">
        <v>131</v>
      </c>
      <c r="CB70" s="155">
        <v>1359</v>
      </c>
      <c r="CC70" s="154">
        <f t="shared" si="29"/>
        <v>0.90360559234731419</v>
      </c>
      <c r="CD70">
        <v>103</v>
      </c>
      <c r="CE70" s="28">
        <f t="shared" si="7"/>
        <v>867.00336700336686</v>
      </c>
      <c r="CF70" s="32">
        <v>0.88119999999999998</v>
      </c>
      <c r="CH70" s="155">
        <v>1189</v>
      </c>
      <c r="CI70" s="155">
        <v>5738</v>
      </c>
      <c r="CJ70" s="154">
        <f t="shared" si="30"/>
        <v>0.79278494248867204</v>
      </c>
      <c r="CK70" s="154"/>
      <c r="CL70" s="154"/>
      <c r="CM70" s="154"/>
      <c r="CN70" s="154"/>
      <c r="CO70" s="155">
        <v>592</v>
      </c>
      <c r="CP70" s="155">
        <v>845</v>
      </c>
      <c r="CQ70" s="154">
        <f t="shared" si="31"/>
        <v>0.29940828402366865</v>
      </c>
      <c r="CR70">
        <v>575</v>
      </c>
      <c r="CS70" s="28">
        <f t="shared" si="9"/>
        <v>722.3618090452261</v>
      </c>
      <c r="CT70">
        <v>0.20399999999999999</v>
      </c>
      <c r="DD70">
        <v>597</v>
      </c>
      <c r="DE70" s="28">
        <f t="shared" si="6"/>
        <v>849.2176386913228</v>
      </c>
      <c r="DF70">
        <v>0.29699999999999999</v>
      </c>
      <c r="DH70">
        <v>18</v>
      </c>
      <c r="DJ70">
        <v>1295</v>
      </c>
      <c r="DK70" s="32">
        <v>0</v>
      </c>
      <c r="DL70">
        <v>258</v>
      </c>
      <c r="DM70" s="32">
        <v>0</v>
      </c>
      <c r="DN70">
        <v>2</v>
      </c>
      <c r="DO70" s="32">
        <v>0</v>
      </c>
      <c r="DP70">
        <v>8</v>
      </c>
      <c r="DQ70" s="32">
        <v>0</v>
      </c>
      <c r="DR70">
        <v>35</v>
      </c>
      <c r="DS70" s="32">
        <v>0</v>
      </c>
      <c r="DT70">
        <v>126</v>
      </c>
      <c r="DU70" s="32">
        <v>0</v>
      </c>
      <c r="DV70">
        <v>157</v>
      </c>
      <c r="DW70" s="32">
        <v>0</v>
      </c>
      <c r="DX70">
        <v>729</v>
      </c>
      <c r="DY70" s="32">
        <v>0</v>
      </c>
      <c r="DZ70">
        <v>652</v>
      </c>
      <c r="EA70" s="32">
        <v>0</v>
      </c>
      <c r="EC70">
        <v>156</v>
      </c>
      <c r="ED70">
        <v>330</v>
      </c>
      <c r="EE70">
        <v>198</v>
      </c>
      <c r="EF70">
        <v>0</v>
      </c>
      <c r="EG70">
        <v>395</v>
      </c>
      <c r="EH70">
        <v>660</v>
      </c>
      <c r="EI70" s="32">
        <v>0</v>
      </c>
      <c r="EJ70">
        <v>103</v>
      </c>
      <c r="EK70" s="334">
        <v>3.09375E-2</v>
      </c>
      <c r="EL70">
        <v>100</v>
      </c>
      <c r="EM70">
        <v>561</v>
      </c>
      <c r="EN70" s="334">
        <v>3.7026070000000001E-2</v>
      </c>
      <c r="ES70">
        <v>1177</v>
      </c>
      <c r="ET70" s="334">
        <v>2.5220813000000002E-2</v>
      </c>
      <c r="EW70" s="187">
        <f>AVERAGE(ES70:ES$75)</f>
        <v>639.83333333333337</v>
      </c>
      <c r="EX70" s="187">
        <f>AVERAGE(ES70:ES$76)</f>
        <v>560.57142857142856</v>
      </c>
      <c r="EY70" s="187">
        <f>AVERAGE(ES70:ES$74)</f>
        <v>697.6</v>
      </c>
    </row>
    <row r="71" spans="1:157" x14ac:dyDescent="0.3">
      <c r="A71" s="33">
        <v>2012</v>
      </c>
      <c r="B71" s="135">
        <v>115242</v>
      </c>
      <c r="C71" s="135">
        <v>35626</v>
      </c>
      <c r="D71" s="135">
        <f t="shared" si="10"/>
        <v>79616</v>
      </c>
      <c r="E71" s="145">
        <v>490</v>
      </c>
      <c r="F71" s="142">
        <v>1.4</v>
      </c>
      <c r="G71" s="135">
        <v>3317</v>
      </c>
      <c r="H71" s="142">
        <v>9.3000000000000007</v>
      </c>
      <c r="I71" s="135">
        <v>3806</v>
      </c>
      <c r="J71" s="142">
        <v>10.6</v>
      </c>
      <c r="K71" s="135">
        <v>6062</v>
      </c>
      <c r="L71" s="142">
        <v>17</v>
      </c>
      <c r="M71" s="146">
        <v>25634</v>
      </c>
      <c r="N71" s="147">
        <v>71.7</v>
      </c>
      <c r="O71" s="212">
        <v>20297</v>
      </c>
      <c r="P71" s="212">
        <v>59221</v>
      </c>
      <c r="Q71" s="212">
        <v>79518</v>
      </c>
      <c r="R71" s="212"/>
      <c r="S71" s="141">
        <f t="shared" si="19"/>
        <v>0.71953067984056585</v>
      </c>
      <c r="T71" s="141">
        <f t="shared" si="20"/>
        <v>0.80559396605908229</v>
      </c>
      <c r="U71" s="148">
        <v>2.3738244128219017E-2</v>
      </c>
      <c r="V71" s="148">
        <v>5.7629622334925405E-2</v>
      </c>
      <c r="W71" s="148">
        <v>8.7158402678615396E-2</v>
      </c>
      <c r="X71" s="148">
        <v>0.1685262691417598</v>
      </c>
      <c r="Y71" s="148"/>
      <c r="Z71" s="149">
        <f t="shared" si="21"/>
        <v>2735.6427298242161</v>
      </c>
      <c r="AA71" s="149">
        <f t="shared" si="21"/>
        <v>6641.3529371214736</v>
      </c>
      <c r="AB71" s="149">
        <f t="shared" si="21"/>
        <v>10044.308641488995</v>
      </c>
      <c r="AC71" s="149">
        <f t="shared" si="21"/>
        <v>19421.304308434683</v>
      </c>
      <c r="AD71" s="149"/>
      <c r="AE71" s="150">
        <f t="shared" si="22"/>
        <v>8886.9956669456897</v>
      </c>
      <c r="AF71" s="150">
        <f t="shared" si="23"/>
        <v>6727.3086414889949</v>
      </c>
      <c r="AG71" s="150">
        <f t="shared" si="24"/>
        <v>15614.304308434685</v>
      </c>
      <c r="AH71" s="150"/>
      <c r="AI71" s="151">
        <f t="shared" si="25"/>
        <v>0.11162323737622701</v>
      </c>
      <c r="AJ71" s="151">
        <f t="shared" si="25"/>
        <v>8.4496943346676484E-2</v>
      </c>
      <c r="AK71" s="152">
        <f t="shared" si="25"/>
        <v>0.19612018072290349</v>
      </c>
      <c r="AL71" s="37"/>
      <c r="AM71" s="144">
        <v>20297</v>
      </c>
      <c r="AN71" s="144">
        <v>59221</v>
      </c>
      <c r="AO71" s="144">
        <v>79518</v>
      </c>
      <c r="AQ71" s="28">
        <v>12315</v>
      </c>
      <c r="AR71" s="34">
        <f t="shared" si="12"/>
        <v>0.20794988264298137</v>
      </c>
      <c r="AS71" s="34">
        <f t="shared" si="13"/>
        <v>0.15467996382636656</v>
      </c>
      <c r="AV71" s="91">
        <f t="shared" si="18"/>
        <v>1.039749413214907E-2</v>
      </c>
      <c r="AX71" s="22">
        <v>664</v>
      </c>
      <c r="AY71" s="22">
        <v>278</v>
      </c>
      <c r="AZ71" s="22">
        <f t="shared" si="16"/>
        <v>942</v>
      </c>
      <c r="BA71" s="22">
        <f t="shared" si="17"/>
        <v>13839</v>
      </c>
      <c r="BC71" s="112">
        <f t="shared" si="14"/>
        <v>1.1212238901740937E-2</v>
      </c>
      <c r="BD71" s="112">
        <f t="shared" si="15"/>
        <v>1.3696605409666452E-2</v>
      </c>
      <c r="BF71" s="155">
        <v>328</v>
      </c>
      <c r="BG71" s="155">
        <v>667</v>
      </c>
      <c r="BH71" s="154">
        <f t="shared" si="26"/>
        <v>0.50824587706146929</v>
      </c>
      <c r="BI71">
        <v>316</v>
      </c>
      <c r="BJ71" s="28">
        <f t="shared" si="4"/>
        <v>643.97799062563683</v>
      </c>
      <c r="BK71" s="32">
        <v>0.50929999999999997</v>
      </c>
      <c r="BM71" s="155">
        <v>674</v>
      </c>
      <c r="BN71" s="155">
        <v>1816</v>
      </c>
      <c r="BO71" s="154">
        <f t="shared" si="27"/>
        <v>0.62885462555066074</v>
      </c>
      <c r="BP71">
        <v>633</v>
      </c>
      <c r="BQ71" s="28">
        <f t="shared" si="1"/>
        <v>1596.0665658093799</v>
      </c>
      <c r="BR71">
        <v>0.60340000000000005</v>
      </c>
      <c r="BT71" s="155">
        <v>584</v>
      </c>
      <c r="BU71" s="155">
        <v>638.81479999999999</v>
      </c>
      <c r="BV71" s="154">
        <f t="shared" si="28"/>
        <v>8.5807028891628667E-2</v>
      </c>
      <c r="BW71" s="195">
        <v>557</v>
      </c>
      <c r="BX71" s="28">
        <f t="shared" si="5"/>
        <v>608.74316939890707</v>
      </c>
      <c r="BY71" s="154">
        <v>8.5000000000000006E-2</v>
      </c>
      <c r="BZ71" s="154"/>
      <c r="CA71" s="155">
        <v>91</v>
      </c>
      <c r="CB71" s="155">
        <v>392</v>
      </c>
      <c r="CC71" s="154">
        <f t="shared" si="29"/>
        <v>0.7678571428571429</v>
      </c>
      <c r="CD71">
        <v>87</v>
      </c>
      <c r="CE71" s="28">
        <f t="shared" si="7"/>
        <v>387.01067615658366</v>
      </c>
      <c r="CF71" s="32">
        <v>0.7752</v>
      </c>
      <c r="CH71" s="155">
        <v>1156</v>
      </c>
      <c r="CI71" s="155">
        <v>1904</v>
      </c>
      <c r="CJ71" s="154">
        <f t="shared" si="30"/>
        <v>0.39285714285714285</v>
      </c>
      <c r="CK71" s="154"/>
      <c r="CL71" s="154"/>
      <c r="CM71" s="154"/>
      <c r="CN71" s="154"/>
      <c r="CO71" s="155">
        <v>563</v>
      </c>
      <c r="CP71" s="155">
        <v>648</v>
      </c>
      <c r="CQ71" s="154">
        <f t="shared" si="31"/>
        <v>0.13117283950617284</v>
      </c>
      <c r="CR71">
        <v>546</v>
      </c>
      <c r="CS71" s="28">
        <f t="shared" si="9"/>
        <v>626.8656716417911</v>
      </c>
      <c r="CT71">
        <v>0.129</v>
      </c>
      <c r="DD71">
        <v>234</v>
      </c>
      <c r="DE71" s="28">
        <f t="shared" si="6"/>
        <v>334.28571428571433</v>
      </c>
      <c r="DF71">
        <v>0.3</v>
      </c>
      <c r="DH71">
        <v>4</v>
      </c>
      <c r="DJ71">
        <v>1090</v>
      </c>
      <c r="DK71" s="32">
        <v>0</v>
      </c>
      <c r="DL71">
        <v>370</v>
      </c>
      <c r="DM71" s="32">
        <v>0</v>
      </c>
      <c r="DN71">
        <v>2</v>
      </c>
      <c r="DO71" s="32">
        <v>0</v>
      </c>
      <c r="DP71">
        <v>66</v>
      </c>
      <c r="DQ71" s="32">
        <v>0</v>
      </c>
      <c r="DR71">
        <v>84</v>
      </c>
      <c r="DS71" s="32">
        <v>0</v>
      </c>
      <c r="DT71">
        <v>142</v>
      </c>
      <c r="DU71" s="32">
        <v>0</v>
      </c>
      <c r="DV71">
        <v>40</v>
      </c>
      <c r="DW71" s="32">
        <v>0</v>
      </c>
      <c r="DX71">
        <v>920</v>
      </c>
      <c r="DY71" s="32">
        <v>0</v>
      </c>
      <c r="DZ71">
        <v>403</v>
      </c>
      <c r="EA71" s="32">
        <v>0</v>
      </c>
      <c r="EC71">
        <v>111</v>
      </c>
      <c r="ED71">
        <v>174</v>
      </c>
      <c r="EE71">
        <v>180</v>
      </c>
      <c r="EF71">
        <v>0</v>
      </c>
      <c r="EG71">
        <v>230</v>
      </c>
      <c r="EH71">
        <v>586</v>
      </c>
      <c r="EI71" s="32">
        <v>0</v>
      </c>
      <c r="EJ71">
        <v>232</v>
      </c>
      <c r="EK71" s="334">
        <v>1.0353371E-2</v>
      </c>
      <c r="EL71">
        <v>302</v>
      </c>
      <c r="EM71">
        <v>638</v>
      </c>
      <c r="EN71" s="334">
        <v>5.8762672999999998E-3</v>
      </c>
      <c r="ES71">
        <v>828</v>
      </c>
      <c r="ET71" s="334">
        <v>0</v>
      </c>
      <c r="EW71" s="187">
        <f>AVERAGE(ES71:ES$75)</f>
        <v>532.4</v>
      </c>
      <c r="EX71" s="187">
        <f>AVERAGE(ES71:ES$76)</f>
        <v>457.83333333333331</v>
      </c>
      <c r="EY71" s="187">
        <f>AVERAGE(ES71:ES$74)</f>
        <v>577.75</v>
      </c>
    </row>
    <row r="72" spans="1:157" x14ac:dyDescent="0.3">
      <c r="A72" s="33">
        <v>2013</v>
      </c>
      <c r="B72" s="135">
        <v>68888</v>
      </c>
      <c r="C72" s="135">
        <v>22464</v>
      </c>
      <c r="D72" s="135">
        <f t="shared" si="10"/>
        <v>46424</v>
      </c>
      <c r="E72" s="145">
        <v>314</v>
      </c>
      <c r="F72" s="142">
        <v>1.4</v>
      </c>
      <c r="G72" s="135">
        <v>1756</v>
      </c>
      <c r="H72" s="142">
        <v>7.8</v>
      </c>
      <c r="I72" s="135">
        <v>2069</v>
      </c>
      <c r="J72" s="142">
        <v>9.1999999999999993</v>
      </c>
      <c r="K72" s="135">
        <v>5622</v>
      </c>
      <c r="L72" s="142">
        <v>25</v>
      </c>
      <c r="M72" s="146">
        <v>14576</v>
      </c>
      <c r="N72" s="147">
        <v>64.900000000000006</v>
      </c>
      <c r="O72" s="212">
        <v>12407</v>
      </c>
      <c r="P72" s="212">
        <v>30556</v>
      </c>
      <c r="Q72" s="212">
        <v>42963</v>
      </c>
      <c r="R72" s="212"/>
      <c r="S72" s="141">
        <f t="shared" si="19"/>
        <v>0.64886039886039881</v>
      </c>
      <c r="T72" s="141">
        <f t="shared" si="20"/>
        <v>0.71468497180681545</v>
      </c>
      <c r="U72" s="148">
        <v>1.5040280665280665E-2</v>
      </c>
      <c r="V72" s="148">
        <v>5.2267411642411644E-2</v>
      </c>
      <c r="W72" s="148">
        <v>7.5380067567567571E-2</v>
      </c>
      <c r="X72" s="148">
        <v>0.14268775987525986</v>
      </c>
      <c r="Y72" s="148"/>
      <c r="Z72" s="149">
        <f t="shared" si="21"/>
        <v>1036.0948544698545</v>
      </c>
      <c r="AA72" s="149">
        <f t="shared" si="21"/>
        <v>3600.5974532224532</v>
      </c>
      <c r="AB72" s="149">
        <f t="shared" si="21"/>
        <v>5192.782094594595</v>
      </c>
      <c r="AC72" s="149">
        <f t="shared" si="21"/>
        <v>9829.4744022869017</v>
      </c>
      <c r="AD72" s="149"/>
      <c r="AE72" s="150">
        <f t="shared" si="22"/>
        <v>4322.6923076923076</v>
      </c>
      <c r="AF72" s="150">
        <f t="shared" si="23"/>
        <v>3436.782094594595</v>
      </c>
      <c r="AG72" s="150">
        <f t="shared" si="24"/>
        <v>7759.4744022869027</v>
      </c>
      <c r="AH72" s="150"/>
      <c r="AI72" s="151">
        <f t="shared" si="25"/>
        <v>9.3113310091597179E-2</v>
      </c>
      <c r="AJ72" s="151">
        <f t="shared" si="25"/>
        <v>7.4030288096557706E-2</v>
      </c>
      <c r="AK72" s="152">
        <f t="shared" si="25"/>
        <v>0.16714359818815488</v>
      </c>
      <c r="AL72" s="37"/>
      <c r="AM72" s="144">
        <v>12407</v>
      </c>
      <c r="AN72" s="144">
        <v>30556</v>
      </c>
      <c r="AO72" s="144">
        <v>42963</v>
      </c>
      <c r="AQ72" s="28">
        <v>3150</v>
      </c>
      <c r="AR72" s="34">
        <f t="shared" si="12"/>
        <v>0.10308940960858751</v>
      </c>
      <c r="AS72" s="34">
        <f t="shared" si="13"/>
        <v>6.7852834740651388E-2</v>
      </c>
      <c r="AV72" s="91">
        <f t="shared" si="18"/>
        <v>5.1544704804293755E-3</v>
      </c>
      <c r="AX72" s="22">
        <v>174</v>
      </c>
      <c r="AY72" s="22">
        <v>144</v>
      </c>
      <c r="AZ72" s="22">
        <f t="shared" si="16"/>
        <v>318</v>
      </c>
      <c r="BA72" s="22">
        <f t="shared" si="17"/>
        <v>14157</v>
      </c>
      <c r="BC72" s="112">
        <f t="shared" si="14"/>
        <v>5.6944626259981673E-3</v>
      </c>
      <c r="BD72" s="112">
        <f t="shared" si="15"/>
        <v>1.1606351253324735E-2</v>
      </c>
      <c r="BF72" s="155">
        <v>275</v>
      </c>
      <c r="BG72" s="155">
        <v>489</v>
      </c>
      <c r="BH72" s="154">
        <f t="shared" si="26"/>
        <v>0.43762781186094069</v>
      </c>
      <c r="BI72">
        <v>186</v>
      </c>
      <c r="BJ72" s="28">
        <f t="shared" si="4"/>
        <v>397.01173959445038</v>
      </c>
      <c r="BK72" s="32">
        <v>0.53149999999999997</v>
      </c>
      <c r="BM72" s="155">
        <v>503</v>
      </c>
      <c r="BN72" s="155">
        <v>1635</v>
      </c>
      <c r="BO72" s="154">
        <f t="shared" si="27"/>
        <v>0.69235474006116204</v>
      </c>
      <c r="BP72">
        <v>230</v>
      </c>
      <c r="BQ72" s="28">
        <f>BP72/(1-BR72)</f>
        <v>917.06539074960119</v>
      </c>
      <c r="BR72">
        <v>0.74919999999999998</v>
      </c>
      <c r="BT72" s="155">
        <v>409</v>
      </c>
      <c r="BU72" s="155">
        <v>459.07690000000002</v>
      </c>
      <c r="BV72" s="154">
        <f t="shared" si="28"/>
        <v>0.10908172465223151</v>
      </c>
      <c r="BW72" s="195">
        <v>300</v>
      </c>
      <c r="BX72" s="28">
        <f t="shared" si="5"/>
        <v>328.9473684210526</v>
      </c>
      <c r="BY72" s="154">
        <v>8.7999999999999995E-2</v>
      </c>
      <c r="BZ72" s="154"/>
      <c r="CA72" s="155">
        <v>129</v>
      </c>
      <c r="CB72" s="155">
        <v>395</v>
      </c>
      <c r="CC72" s="154">
        <f t="shared" si="29"/>
        <v>0.67341772151898738</v>
      </c>
      <c r="CD72">
        <v>117</v>
      </c>
      <c r="CE72" s="28">
        <f t="shared" si="7"/>
        <v>316.98726632348956</v>
      </c>
      <c r="CF72" s="32">
        <v>0.63090000000000002</v>
      </c>
      <c r="CH72" s="155">
        <v>562</v>
      </c>
      <c r="CI72" s="155">
        <v>1164</v>
      </c>
      <c r="CJ72" s="154">
        <f t="shared" si="30"/>
        <v>0.51718213058419249</v>
      </c>
      <c r="CK72" s="154"/>
      <c r="CL72" s="154"/>
      <c r="CM72" s="154"/>
      <c r="CN72" s="154"/>
      <c r="CO72" s="155">
        <v>282</v>
      </c>
      <c r="CP72" s="155">
        <v>445</v>
      </c>
      <c r="CQ72" s="154">
        <f t="shared" si="31"/>
        <v>0.36629213483146067</v>
      </c>
      <c r="CR72">
        <v>220</v>
      </c>
      <c r="CS72" s="28">
        <f t="shared" si="9"/>
        <v>313.83737517831668</v>
      </c>
      <c r="CT72">
        <v>0.29899999999999999</v>
      </c>
      <c r="DD72">
        <v>118</v>
      </c>
      <c r="DE72" s="28">
        <f t="shared" si="6"/>
        <v>170.02881844380406</v>
      </c>
      <c r="DF72">
        <v>0.30599999999999999</v>
      </c>
      <c r="DH72">
        <v>2</v>
      </c>
      <c r="DJ72">
        <v>681</v>
      </c>
      <c r="DK72" s="32">
        <v>0</v>
      </c>
      <c r="DL72">
        <v>135</v>
      </c>
      <c r="DM72" s="32">
        <v>0</v>
      </c>
      <c r="DN72">
        <v>0</v>
      </c>
      <c r="DO72" s="32">
        <v>0</v>
      </c>
      <c r="DP72">
        <v>30</v>
      </c>
      <c r="DQ72" s="32">
        <v>0</v>
      </c>
      <c r="DR72">
        <v>74</v>
      </c>
      <c r="DS72" s="32">
        <v>0</v>
      </c>
      <c r="DT72">
        <v>34</v>
      </c>
      <c r="DU72" s="32">
        <v>0</v>
      </c>
      <c r="DV72">
        <v>60</v>
      </c>
      <c r="DW72" s="32">
        <v>0</v>
      </c>
      <c r="DX72">
        <v>390</v>
      </c>
      <c r="DY72" s="32">
        <v>0</v>
      </c>
      <c r="DZ72">
        <v>298</v>
      </c>
      <c r="EA72" s="32">
        <v>0</v>
      </c>
      <c r="EC72">
        <v>44</v>
      </c>
      <c r="ED72">
        <v>144</v>
      </c>
      <c r="EE72">
        <v>32</v>
      </c>
      <c r="EF72">
        <v>0</v>
      </c>
      <c r="EG72">
        <v>262</v>
      </c>
      <c r="EH72">
        <v>265</v>
      </c>
      <c r="EI72" s="32">
        <v>0</v>
      </c>
      <c r="EJ72">
        <v>287</v>
      </c>
      <c r="EK72" s="334">
        <v>9.6931729999999994E-2</v>
      </c>
      <c r="EL72">
        <v>102</v>
      </c>
      <c r="EM72">
        <v>336</v>
      </c>
      <c r="EN72" s="334">
        <v>6.8085099999999996E-2</v>
      </c>
      <c r="ES72">
        <v>301</v>
      </c>
      <c r="ET72" s="334">
        <v>8.0242633999999993E-2</v>
      </c>
      <c r="EW72" s="187">
        <f>AVERAGE(ES72:ES$75)</f>
        <v>458.5</v>
      </c>
      <c r="EX72" s="187">
        <f>AVERAGE(ES72:ES$76)</f>
        <v>383.8</v>
      </c>
      <c r="EY72" s="187">
        <f>AVERAGE(ES72:ES$74)</f>
        <v>494.33333333333331</v>
      </c>
    </row>
    <row r="73" spans="1:157" x14ac:dyDescent="0.3">
      <c r="A73" s="33">
        <v>2014</v>
      </c>
      <c r="B73" s="135">
        <v>137618</v>
      </c>
      <c r="C73" s="135">
        <v>45926</v>
      </c>
      <c r="D73" s="135">
        <f t="shared" si="10"/>
        <v>91692</v>
      </c>
      <c r="E73" s="145">
        <v>784</v>
      </c>
      <c r="F73" s="142">
        <v>1.7</v>
      </c>
      <c r="G73" s="135">
        <v>4966</v>
      </c>
      <c r="H73" s="142">
        <v>10.8</v>
      </c>
      <c r="I73" s="135">
        <v>5750</v>
      </c>
      <c r="J73" s="142">
        <v>12.5</v>
      </c>
      <c r="K73" s="135">
        <v>7250</v>
      </c>
      <c r="L73" s="142">
        <v>15.8</v>
      </c>
      <c r="M73" s="146">
        <v>32065</v>
      </c>
      <c r="N73" s="147">
        <v>69.8</v>
      </c>
      <c r="O73" s="212">
        <v>26350</v>
      </c>
      <c r="P73" s="212">
        <v>65415</v>
      </c>
      <c r="Q73" s="212">
        <v>91765</v>
      </c>
      <c r="R73" s="212"/>
      <c r="S73" s="141">
        <f t="shared" si="19"/>
        <v>0.69818839001872579</v>
      </c>
      <c r="T73" s="141">
        <f t="shared" si="20"/>
        <v>0.79811330147351656</v>
      </c>
      <c r="U73" s="148">
        <v>1.6889566633008429E-2</v>
      </c>
      <c r="V73" s="148">
        <v>7.3278793249119054E-2</v>
      </c>
      <c r="W73" s="148">
        <v>0.10181136274651226</v>
      </c>
      <c r="X73" s="148">
        <v>0.19197972262863972</v>
      </c>
      <c r="Y73" s="148"/>
      <c r="Z73" s="149">
        <f t="shared" si="21"/>
        <v>2324.3083809013538</v>
      </c>
      <c r="AA73" s="149">
        <f t="shared" si="21"/>
        <v>10084.480969357266</v>
      </c>
      <c r="AB73" s="149">
        <f t="shared" si="21"/>
        <v>14011.076118449524</v>
      </c>
      <c r="AC73" s="149">
        <f t="shared" si="21"/>
        <v>26419.86546870814</v>
      </c>
      <c r="AD73" s="149"/>
      <c r="AE73" s="150">
        <f t="shared" si="22"/>
        <v>11624.789350258619</v>
      </c>
      <c r="AF73" s="150">
        <f t="shared" si="23"/>
        <v>9045.0761184495241</v>
      </c>
      <c r="AG73" s="150">
        <f t="shared" si="24"/>
        <v>20669.865468708143</v>
      </c>
      <c r="AH73" s="150"/>
      <c r="AI73" s="151">
        <f t="shared" si="25"/>
        <v>0.12678084620532457</v>
      </c>
      <c r="AJ73" s="151">
        <f t="shared" si="25"/>
        <v>9.8646295406900536E-2</v>
      </c>
      <c r="AK73" s="152">
        <f t="shared" si="25"/>
        <v>0.2254271416122251</v>
      </c>
      <c r="AL73" s="37"/>
      <c r="AM73" s="144">
        <v>26350</v>
      </c>
      <c r="AN73" s="144">
        <v>65415</v>
      </c>
      <c r="AO73" s="144">
        <v>91765</v>
      </c>
      <c r="AQ73" s="28">
        <v>11909</v>
      </c>
      <c r="AR73" s="34">
        <f t="shared" si="12"/>
        <v>0.18205304593747612</v>
      </c>
      <c r="AS73" s="34">
        <f t="shared" si="13"/>
        <v>0.12988046939754833</v>
      </c>
      <c r="AV73" s="91">
        <f t="shared" si="18"/>
        <v>9.1026522968738061E-3</v>
      </c>
      <c r="AX73" s="22">
        <v>614</v>
      </c>
      <c r="AY73" s="22">
        <v>401</v>
      </c>
      <c r="AZ73" s="22">
        <f t="shared" si="16"/>
        <v>1015</v>
      </c>
      <c r="BA73" s="22">
        <f t="shared" si="17"/>
        <v>15172</v>
      </c>
      <c r="BC73" s="112">
        <f t="shared" si="14"/>
        <v>9.386226400672628E-3</v>
      </c>
      <c r="BD73" s="112">
        <f t="shared" si="15"/>
        <v>1.5218216318785579E-2</v>
      </c>
      <c r="BF73" s="155">
        <v>570</v>
      </c>
      <c r="BG73" s="155">
        <v>1059</v>
      </c>
      <c r="BH73" s="154">
        <f t="shared" si="26"/>
        <v>0.46175637393767704</v>
      </c>
      <c r="BI73">
        <v>531</v>
      </c>
      <c r="BJ73" s="28">
        <f t="shared" si="4"/>
        <v>986.07242339832874</v>
      </c>
      <c r="BK73" s="32">
        <v>0.46150000000000002</v>
      </c>
      <c r="BM73" s="155">
        <v>719</v>
      </c>
      <c r="BN73" s="155">
        <v>2045</v>
      </c>
      <c r="BO73" s="154">
        <f t="shared" si="27"/>
        <v>0.64841075794621028</v>
      </c>
      <c r="BP73">
        <v>647</v>
      </c>
      <c r="BQ73" s="28">
        <f>BP73/(1-BR73)</f>
        <v>1385.438972162741</v>
      </c>
      <c r="BR73">
        <v>0.53300000000000003</v>
      </c>
      <c r="BT73" s="155">
        <v>1037</v>
      </c>
      <c r="BU73" s="155">
        <v>1129.05</v>
      </c>
      <c r="BV73" s="154">
        <f t="shared" si="28"/>
        <v>8.1528718834418284E-2</v>
      </c>
      <c r="BW73" s="195">
        <v>1028</v>
      </c>
      <c r="BX73" s="28">
        <f t="shared" si="5"/>
        <v>1105.3763440860216</v>
      </c>
      <c r="BY73" s="154">
        <v>7.0000000000000007E-2</v>
      </c>
      <c r="BZ73" s="154"/>
      <c r="CA73" s="155">
        <v>545</v>
      </c>
      <c r="CB73" s="155">
        <v>1388</v>
      </c>
      <c r="CC73" s="154">
        <f t="shared" si="29"/>
        <v>0.60734870317002887</v>
      </c>
      <c r="CD73">
        <v>491</v>
      </c>
      <c r="CE73" s="28">
        <f t="shared" si="7"/>
        <v>1215.3465346534654</v>
      </c>
      <c r="CF73" s="32">
        <v>0.59599999999999997</v>
      </c>
      <c r="CH73" s="155">
        <v>1282</v>
      </c>
      <c r="CI73" s="155">
        <v>2869</v>
      </c>
      <c r="CJ73" s="154">
        <f t="shared" si="30"/>
        <v>0.55315440920181247</v>
      </c>
      <c r="CK73" s="154"/>
      <c r="CL73" s="154"/>
      <c r="CM73" s="154"/>
      <c r="CN73" s="154"/>
      <c r="CO73" s="155">
        <v>606</v>
      </c>
      <c r="CP73" s="155">
        <v>990</v>
      </c>
      <c r="CQ73" s="154">
        <f t="shared" si="31"/>
        <v>0.38787878787878788</v>
      </c>
      <c r="CR73">
        <v>520</v>
      </c>
      <c r="CS73" s="28">
        <f t="shared" si="9"/>
        <v>840.06462035541199</v>
      </c>
      <c r="CT73">
        <v>0.38100000000000001</v>
      </c>
      <c r="DD73">
        <v>213</v>
      </c>
      <c r="DE73" s="28">
        <f t="shared" si="6"/>
        <v>294.1988950276243</v>
      </c>
      <c r="DF73">
        <v>0.27600000000000002</v>
      </c>
      <c r="DH73" t="s">
        <v>273</v>
      </c>
      <c r="DJ73">
        <v>1681</v>
      </c>
      <c r="DK73" s="32">
        <v>0</v>
      </c>
      <c r="DL73">
        <v>247</v>
      </c>
      <c r="DM73" s="32">
        <v>0</v>
      </c>
      <c r="DN73">
        <v>2</v>
      </c>
      <c r="DO73" s="32">
        <v>0</v>
      </c>
      <c r="DP73">
        <v>82</v>
      </c>
      <c r="DQ73" s="32">
        <v>0</v>
      </c>
      <c r="DR73">
        <v>51</v>
      </c>
      <c r="DS73" s="32">
        <v>0</v>
      </c>
      <c r="DT73">
        <v>98</v>
      </c>
      <c r="DU73" s="32">
        <v>0</v>
      </c>
      <c r="DV73">
        <v>200</v>
      </c>
      <c r="DW73" s="32">
        <v>0</v>
      </c>
      <c r="DX73">
        <v>993</v>
      </c>
      <c r="DY73" s="32">
        <v>0</v>
      </c>
      <c r="DZ73">
        <v>837</v>
      </c>
      <c r="EA73" s="32">
        <v>0</v>
      </c>
      <c r="EC73">
        <v>173</v>
      </c>
      <c r="ED73">
        <v>519</v>
      </c>
      <c r="EE73">
        <v>226</v>
      </c>
      <c r="EF73">
        <v>0</v>
      </c>
      <c r="EG73">
        <v>494</v>
      </c>
      <c r="EH73">
        <v>742</v>
      </c>
      <c r="EI73" s="32">
        <v>0</v>
      </c>
      <c r="EJ73">
        <v>204</v>
      </c>
      <c r="EK73" s="334">
        <v>2.8870336999999999E-2</v>
      </c>
      <c r="EL73">
        <v>325</v>
      </c>
      <c r="EM73">
        <v>579</v>
      </c>
      <c r="EN73" s="334">
        <v>3.155612E-2</v>
      </c>
      <c r="ES73">
        <v>900</v>
      </c>
      <c r="ET73" s="334">
        <v>4.0743890000000003E-3</v>
      </c>
      <c r="EW73" s="187">
        <f>AVERAGE(ES73:ES$75)</f>
        <v>511</v>
      </c>
      <c r="EX73" s="187">
        <f>AVERAGE(ES73:ES$76)</f>
        <v>404.5</v>
      </c>
      <c r="EY73" s="187">
        <f>AVERAGE(ES73:ES$74)</f>
        <v>591</v>
      </c>
    </row>
    <row r="74" spans="1:157" x14ac:dyDescent="0.3">
      <c r="A74" s="33">
        <v>2015</v>
      </c>
      <c r="B74" s="135">
        <v>163856</v>
      </c>
      <c r="C74" s="135">
        <v>30150</v>
      </c>
      <c r="D74" s="135">
        <f t="shared" si="10"/>
        <v>133706</v>
      </c>
      <c r="E74" s="145">
        <v>583</v>
      </c>
      <c r="F74" s="142">
        <v>1.9</v>
      </c>
      <c r="G74" s="135">
        <v>3458</v>
      </c>
      <c r="H74" s="142">
        <v>11.5</v>
      </c>
      <c r="I74" s="135">
        <v>4041</v>
      </c>
      <c r="J74" s="142">
        <v>13.4</v>
      </c>
      <c r="K74" s="135">
        <v>3354</v>
      </c>
      <c r="L74" s="142">
        <v>11.1</v>
      </c>
      <c r="M74" s="146">
        <v>22577</v>
      </c>
      <c r="N74" s="147">
        <v>74.900000000000006</v>
      </c>
      <c r="O74" s="212">
        <v>21499</v>
      </c>
      <c r="P74" s="212">
        <v>96163</v>
      </c>
      <c r="Q74" s="212">
        <v>117662</v>
      </c>
      <c r="R74" s="212"/>
      <c r="S74" s="141">
        <f t="shared" si="19"/>
        <v>0.74882255389718078</v>
      </c>
      <c r="T74" s="141">
        <f t="shared" si="20"/>
        <v>0.86472097744072929</v>
      </c>
      <c r="U74" s="148">
        <v>2.3592185304885223E-2</v>
      </c>
      <c r="V74" s="148">
        <v>5.9987404582794106E-2</v>
      </c>
      <c r="W74" s="148">
        <v>0.10789497359806778</v>
      </c>
      <c r="X74" s="148">
        <v>0.1914745634857471</v>
      </c>
      <c r="Y74" s="148"/>
      <c r="Z74" s="149">
        <f t="shared" si="21"/>
        <v>3865.721115317273</v>
      </c>
      <c r="AA74" s="149">
        <f t="shared" si="21"/>
        <v>9829.2961653183102</v>
      </c>
      <c r="AB74" s="149">
        <f t="shared" si="21"/>
        <v>17679.238793884993</v>
      </c>
      <c r="AC74" s="149">
        <f t="shared" si="21"/>
        <v>31374.256074520577</v>
      </c>
      <c r="AD74" s="149"/>
      <c r="AE74" s="150">
        <f t="shared" si="22"/>
        <v>13112.017280635584</v>
      </c>
      <c r="AF74" s="150">
        <f t="shared" si="23"/>
        <v>14221.238793884993</v>
      </c>
      <c r="AG74" s="150">
        <f t="shared" si="24"/>
        <v>27333.256074520577</v>
      </c>
      <c r="AH74" s="150"/>
      <c r="AI74" s="151">
        <f t="shared" si="25"/>
        <v>9.8066035036838917E-2</v>
      </c>
      <c r="AJ74" s="151">
        <f t="shared" si="25"/>
        <v>0.10636200913859507</v>
      </c>
      <c r="AK74" s="152">
        <f t="shared" si="25"/>
        <v>0.204428044175434</v>
      </c>
      <c r="AL74" s="37"/>
      <c r="AM74" s="144">
        <v>21499</v>
      </c>
      <c r="AN74" s="144">
        <v>96163</v>
      </c>
      <c r="AO74" s="144">
        <v>117662</v>
      </c>
      <c r="AQ74" s="28">
        <v>20449</v>
      </c>
      <c r="AR74" s="34">
        <f t="shared" si="12"/>
        <v>0.21264935578132962</v>
      </c>
      <c r="AS74" s="34">
        <f t="shared" si="13"/>
        <v>0.15294003260885825</v>
      </c>
      <c r="AV74" s="91">
        <f t="shared" si="18"/>
        <v>1.0632467789066482E-2</v>
      </c>
      <c r="AX74" s="22">
        <v>548</v>
      </c>
      <c r="AY74" s="22">
        <v>413</v>
      </c>
      <c r="AZ74" s="22">
        <f t="shared" si="16"/>
        <v>961</v>
      </c>
      <c r="BA74" s="22">
        <f t="shared" si="17"/>
        <v>16133</v>
      </c>
      <c r="BC74" s="112">
        <f t="shared" si="14"/>
        <v>5.6986574878071612E-3</v>
      </c>
      <c r="BD74" s="112">
        <f t="shared" si="15"/>
        <v>1.9210195823061538E-2</v>
      </c>
      <c r="BF74" s="155">
        <v>256</v>
      </c>
      <c r="BG74" s="155">
        <v>514</v>
      </c>
      <c r="BH74" s="154">
        <f t="shared" si="26"/>
        <v>0.50194552529182879</v>
      </c>
      <c r="BI74">
        <v>242</v>
      </c>
      <c r="BJ74" s="28">
        <f t="shared" si="4"/>
        <v>484</v>
      </c>
      <c r="BK74" s="32">
        <v>0.5</v>
      </c>
      <c r="BM74" s="155">
        <v>540</v>
      </c>
      <c r="BN74" s="155">
        <v>1513</v>
      </c>
      <c r="BO74" s="154">
        <f t="shared" si="27"/>
        <v>0.64309319233311302</v>
      </c>
      <c r="BP74">
        <v>436</v>
      </c>
      <c r="BQ74" s="28">
        <f>BP74/(1-BR74)</f>
        <v>1211.4476243400945</v>
      </c>
      <c r="BR74">
        <v>0.6401</v>
      </c>
      <c r="BS74" s="154"/>
      <c r="BT74" s="155">
        <v>555</v>
      </c>
      <c r="BU74" s="155">
        <v>651.7029</v>
      </c>
      <c r="BV74" s="154">
        <f t="shared" si="28"/>
        <v>0.1483849465761162</v>
      </c>
      <c r="BW74" s="195">
        <v>531</v>
      </c>
      <c r="BX74" s="28">
        <f t="shared" si="5"/>
        <v>616.0092807424594</v>
      </c>
      <c r="BY74" s="154">
        <v>0.13800000000000001</v>
      </c>
      <c r="BZ74" s="154"/>
      <c r="CA74" s="155">
        <v>218</v>
      </c>
      <c r="CB74" s="155">
        <v>1144</v>
      </c>
      <c r="CC74" s="154">
        <f t="shared" si="29"/>
        <v>0.80944055944055948</v>
      </c>
      <c r="CD74" s="161">
        <v>214</v>
      </c>
      <c r="CE74" s="28">
        <f t="shared" si="7"/>
        <v>1063.0899155489317</v>
      </c>
      <c r="CF74" s="32">
        <v>0.79869999999999997</v>
      </c>
      <c r="CH74" s="155">
        <v>566</v>
      </c>
      <c r="CI74" s="155">
        <v>1117</v>
      </c>
      <c r="CJ74" s="154">
        <f t="shared" si="30"/>
        <v>0.49328558639212178</v>
      </c>
      <c r="CK74" s="154"/>
      <c r="CL74" s="154"/>
      <c r="CM74" s="154"/>
      <c r="CN74" s="154"/>
      <c r="CO74" s="155">
        <v>610</v>
      </c>
      <c r="CP74" s="155">
        <v>716</v>
      </c>
      <c r="CQ74" s="154">
        <f t="shared" si="31"/>
        <v>0.14804469273743018</v>
      </c>
      <c r="CR74">
        <v>590</v>
      </c>
      <c r="CS74" s="28">
        <f t="shared" si="9"/>
        <v>682.87037037037032</v>
      </c>
      <c r="CT74">
        <v>0.13600000000000001</v>
      </c>
      <c r="DD74">
        <v>173</v>
      </c>
      <c r="DE74" s="28">
        <f t="shared" si="6"/>
        <v>524.24242424242425</v>
      </c>
      <c r="DF74">
        <v>0.67</v>
      </c>
      <c r="DH74">
        <v>4</v>
      </c>
      <c r="DJ74">
        <v>647</v>
      </c>
      <c r="DK74" s="32">
        <v>0</v>
      </c>
      <c r="DL74">
        <v>242</v>
      </c>
      <c r="DM74" s="32">
        <v>0</v>
      </c>
      <c r="DN74">
        <v>26</v>
      </c>
      <c r="DO74" s="32">
        <v>0</v>
      </c>
      <c r="DP74">
        <v>63</v>
      </c>
      <c r="DQ74" s="32">
        <v>0</v>
      </c>
      <c r="DR74">
        <v>92</v>
      </c>
      <c r="DS74" s="32">
        <v>0</v>
      </c>
      <c r="DT74">
        <v>105</v>
      </c>
      <c r="DU74" s="32">
        <v>0</v>
      </c>
      <c r="DV74">
        <v>119</v>
      </c>
      <c r="DW74" s="32">
        <v>0</v>
      </c>
      <c r="DX74">
        <v>593</v>
      </c>
      <c r="DY74" s="32">
        <v>0</v>
      </c>
      <c r="DZ74">
        <v>580</v>
      </c>
      <c r="EA74" s="32">
        <v>0</v>
      </c>
      <c r="EC74">
        <v>168</v>
      </c>
      <c r="ED74">
        <v>439</v>
      </c>
      <c r="EE74">
        <v>53</v>
      </c>
      <c r="EF74">
        <v>0</v>
      </c>
      <c r="EG74">
        <v>355</v>
      </c>
      <c r="EH74">
        <v>501</v>
      </c>
      <c r="EI74" s="32">
        <v>0</v>
      </c>
      <c r="EJ74">
        <v>21</v>
      </c>
      <c r="EK74" s="32">
        <v>0</v>
      </c>
      <c r="EL74">
        <v>187</v>
      </c>
      <c r="EM74">
        <v>276</v>
      </c>
      <c r="EN74" s="334">
        <v>2.3713499999999998E-2</v>
      </c>
      <c r="ES74">
        <v>282</v>
      </c>
      <c r="ET74" s="334">
        <v>8.7822010000000006E-2</v>
      </c>
      <c r="EW74" s="187">
        <f>AVERAGE(ES74:ES$75)</f>
        <v>316.5</v>
      </c>
      <c r="EX74" s="187">
        <f>AVERAGE(ES74:ES$76)</f>
        <v>239.33333333333334</v>
      </c>
      <c r="EY74" s="187">
        <f>AVERAGE(ES$74:ES74)</f>
        <v>282</v>
      </c>
    </row>
    <row r="75" spans="1:157" x14ac:dyDescent="0.3">
      <c r="A75" s="33">
        <v>2016</v>
      </c>
      <c r="B75" s="135">
        <v>110507</v>
      </c>
      <c r="C75" s="135">
        <v>23606</v>
      </c>
      <c r="D75" s="135">
        <f t="shared" si="10"/>
        <v>86901</v>
      </c>
      <c r="E75" s="145">
        <v>402</v>
      </c>
      <c r="F75" s="142">
        <v>1.7</v>
      </c>
      <c r="G75" s="135">
        <v>2267</v>
      </c>
      <c r="H75" s="142">
        <v>9.6</v>
      </c>
      <c r="I75" s="135">
        <v>2669</v>
      </c>
      <c r="J75" s="142">
        <v>11.3</v>
      </c>
      <c r="K75" s="135">
        <v>4576</v>
      </c>
      <c r="L75" s="142">
        <v>19.399999999999999</v>
      </c>
      <c r="M75" s="146">
        <v>16161</v>
      </c>
      <c r="N75" s="147">
        <v>68.5</v>
      </c>
      <c r="O75" s="212">
        <v>15939</v>
      </c>
      <c r="P75" s="212">
        <v>58187</v>
      </c>
      <c r="Q75" s="212">
        <v>74126</v>
      </c>
      <c r="R75" s="212"/>
      <c r="S75" s="141">
        <f t="shared" si="19"/>
        <v>0.68461408116580535</v>
      </c>
      <c r="T75" s="141">
        <f t="shared" si="20"/>
        <v>0.77188708984095145</v>
      </c>
      <c r="U75" s="148">
        <v>1.8677854921838394E-2</v>
      </c>
      <c r="V75" s="148">
        <v>6.2012821058908721E-2</v>
      </c>
      <c r="W75" s="148">
        <v>9.0865527963538778E-2</v>
      </c>
      <c r="X75" s="148">
        <v>0.17155620394428589</v>
      </c>
      <c r="Y75" s="148"/>
      <c r="Z75" s="149">
        <f t="shared" si="21"/>
        <v>2064.0337138475957</v>
      </c>
      <c r="AA75" s="149">
        <f t="shared" si="21"/>
        <v>6852.8508167568261</v>
      </c>
      <c r="AB75" s="149">
        <f t="shared" si="21"/>
        <v>10041.27689866678</v>
      </c>
      <c r="AC75" s="149">
        <f t="shared" si="21"/>
        <v>18958.1614292712</v>
      </c>
      <c r="AD75" s="149"/>
      <c r="AE75" s="150">
        <f t="shared" si="22"/>
        <v>8514.8845306044223</v>
      </c>
      <c r="AF75" s="150">
        <f t="shared" si="23"/>
        <v>7774.2768986667797</v>
      </c>
      <c r="AG75" s="150">
        <f t="shared" si="24"/>
        <v>16289.161429271202</v>
      </c>
      <c r="AH75" s="150"/>
      <c r="AI75" s="151">
        <f t="shared" si="25"/>
        <v>9.7983734716567378E-2</v>
      </c>
      <c r="AJ75" s="151">
        <f t="shared" si="25"/>
        <v>8.9461305378151917E-2</v>
      </c>
      <c r="AK75" s="152">
        <f t="shared" si="25"/>
        <v>0.1874450400947193</v>
      </c>
      <c r="AL75" s="37"/>
      <c r="AM75" s="144">
        <v>15939</v>
      </c>
      <c r="AN75" s="144">
        <v>58187</v>
      </c>
      <c r="AO75" s="144">
        <v>74126</v>
      </c>
      <c r="AQ75" s="28">
        <v>10448</v>
      </c>
      <c r="AR75" s="34">
        <f t="shared" si="12"/>
        <v>0.17955900802584771</v>
      </c>
      <c r="AS75" s="34">
        <f t="shared" si="13"/>
        <v>0.12022876606713387</v>
      </c>
      <c r="AV75" s="91">
        <f t="shared" si="18"/>
        <v>8.9779504012923849E-3</v>
      </c>
      <c r="AX75" s="22">
        <v>585</v>
      </c>
      <c r="AY75" s="22">
        <v>306</v>
      </c>
      <c r="AZ75" s="22">
        <f t="shared" si="16"/>
        <v>891</v>
      </c>
      <c r="BA75" s="22">
        <f>BA74+AZ75</f>
        <v>17024</v>
      </c>
      <c r="BC75" s="112">
        <f t="shared" si="14"/>
        <v>1.0053792084142506E-2</v>
      </c>
      <c r="BD75" s="112">
        <f t="shared" si="15"/>
        <v>1.9198193111236588E-2</v>
      </c>
      <c r="BF75" s="189">
        <v>190</v>
      </c>
      <c r="BG75" s="189">
        <v>364</v>
      </c>
      <c r="BH75" s="190">
        <f t="shared" si="26"/>
        <v>0.47802197802197804</v>
      </c>
      <c r="BI75" s="196">
        <v>182</v>
      </c>
      <c r="BJ75" s="190"/>
      <c r="BK75" s="190"/>
      <c r="BL75" s="190"/>
      <c r="BM75" s="189">
        <v>627</v>
      </c>
      <c r="BN75" s="189">
        <v>1422</v>
      </c>
      <c r="BO75" s="190">
        <f t="shared" si="27"/>
        <v>0.55907172995780585</v>
      </c>
      <c r="BP75" s="196">
        <v>584</v>
      </c>
      <c r="BQ75" s="190"/>
      <c r="BR75" s="190"/>
      <c r="BS75" s="190"/>
      <c r="BT75" s="189">
        <v>614</v>
      </c>
      <c r="BU75" s="189">
        <v>614</v>
      </c>
      <c r="BV75" s="190">
        <f t="shared" si="28"/>
        <v>0</v>
      </c>
      <c r="BW75" s="196">
        <v>614</v>
      </c>
      <c r="BX75" s="190"/>
      <c r="BY75" s="190"/>
      <c r="BZ75" s="190"/>
      <c r="CA75" s="189">
        <v>43</v>
      </c>
      <c r="CB75" s="189">
        <v>151</v>
      </c>
      <c r="CC75" s="190">
        <f t="shared" si="29"/>
        <v>0.71523178807947019</v>
      </c>
      <c r="CD75" s="161">
        <v>36</v>
      </c>
      <c r="CE75" s="191"/>
      <c r="CF75" s="190"/>
      <c r="CG75" s="190"/>
      <c r="CH75" s="189">
        <v>747</v>
      </c>
      <c r="CI75" s="189">
        <v>1351</v>
      </c>
      <c r="CJ75" s="190">
        <f t="shared" si="30"/>
        <v>0.44707623982235384</v>
      </c>
      <c r="CK75" s="190"/>
      <c r="CL75" s="190"/>
      <c r="CM75" s="190"/>
      <c r="CN75" s="190"/>
      <c r="CO75" s="189">
        <v>745</v>
      </c>
      <c r="CP75" s="189">
        <v>894</v>
      </c>
      <c r="CQ75" s="190">
        <f t="shared" si="31"/>
        <v>0.16666666666666666</v>
      </c>
      <c r="CR75" s="187">
        <f>CO75</f>
        <v>745</v>
      </c>
      <c r="CS75" s="28"/>
      <c r="DD75">
        <v>114</v>
      </c>
      <c r="DE75" s="28">
        <f t="shared" si="6"/>
        <v>340.29850746268659</v>
      </c>
      <c r="DF75">
        <v>0.66500000000000004</v>
      </c>
      <c r="DJ75">
        <v>568</v>
      </c>
      <c r="DK75" s="32">
        <v>0</v>
      </c>
      <c r="DL75">
        <v>203</v>
      </c>
      <c r="DM75" s="32">
        <v>0</v>
      </c>
      <c r="DN75">
        <v>3</v>
      </c>
      <c r="DO75" s="32">
        <v>0</v>
      </c>
      <c r="DP75">
        <v>71</v>
      </c>
      <c r="DQ75" s="32">
        <v>0</v>
      </c>
      <c r="DR75">
        <v>102</v>
      </c>
      <c r="DS75" s="32">
        <v>0</v>
      </c>
      <c r="DT75">
        <v>110</v>
      </c>
      <c r="DU75" s="32">
        <v>0</v>
      </c>
      <c r="DV75">
        <v>0</v>
      </c>
      <c r="DW75" s="32">
        <v>0</v>
      </c>
      <c r="DX75">
        <v>468</v>
      </c>
      <c r="DY75" s="32">
        <v>0</v>
      </c>
      <c r="DZ75">
        <v>411</v>
      </c>
      <c r="EA75" s="32">
        <v>0</v>
      </c>
      <c r="EC75">
        <v>63</v>
      </c>
      <c r="ED75">
        <v>512</v>
      </c>
      <c r="EE75">
        <v>148</v>
      </c>
      <c r="EF75">
        <v>0</v>
      </c>
      <c r="EG75">
        <v>335</v>
      </c>
      <c r="EH75">
        <v>543</v>
      </c>
      <c r="EI75" s="32">
        <v>0</v>
      </c>
      <c r="EJ75">
        <v>307</v>
      </c>
      <c r="EK75" s="334">
        <v>2.5301019000000001E-2</v>
      </c>
      <c r="EL75">
        <v>150</v>
      </c>
      <c r="EM75">
        <v>326</v>
      </c>
      <c r="EN75" s="334">
        <v>0</v>
      </c>
      <c r="ES75">
        <v>351</v>
      </c>
      <c r="ET75" s="334">
        <v>0</v>
      </c>
      <c r="EW75" s="187">
        <f>AVERAGE(ES$75:ES75)</f>
        <v>351</v>
      </c>
      <c r="EX75" s="187">
        <f>AVERAGE(ES75:ES$76)</f>
        <v>218</v>
      </c>
      <c r="EY75" s="187"/>
    </row>
    <row r="76" spans="1:157" x14ac:dyDescent="0.3">
      <c r="A76" s="33">
        <v>2017</v>
      </c>
      <c r="B76" s="135">
        <v>51948</v>
      </c>
      <c r="C76" s="135">
        <v>6261</v>
      </c>
      <c r="D76" s="135">
        <f t="shared" si="10"/>
        <v>45687</v>
      </c>
      <c r="E76" s="145">
        <v>70</v>
      </c>
      <c r="F76" s="142">
        <v>1.1000000000000001</v>
      </c>
      <c r="G76" s="145">
        <v>469</v>
      </c>
      <c r="H76" s="142">
        <v>7.5</v>
      </c>
      <c r="I76" s="145">
        <v>539</v>
      </c>
      <c r="J76" s="142">
        <v>8.6</v>
      </c>
      <c r="K76" s="135">
        <v>1295</v>
      </c>
      <c r="L76" s="142">
        <v>20.7</v>
      </c>
      <c r="M76" s="146">
        <v>4425</v>
      </c>
      <c r="N76" s="147">
        <v>70.7</v>
      </c>
      <c r="O76" s="212">
        <v>4106</v>
      </c>
      <c r="P76" s="212">
        <v>30179</v>
      </c>
      <c r="Q76" s="212">
        <f>SUM(O76:P76)</f>
        <v>34285</v>
      </c>
      <c r="R76" s="212"/>
      <c r="S76" s="141">
        <f>M76/C76</f>
        <v>0.70675610924772403</v>
      </c>
      <c r="T76" s="141">
        <f>M76/(C76-I76)</f>
        <v>0.7733310031457532</v>
      </c>
      <c r="U76" s="148">
        <v>9.3506358950449404E-3</v>
      </c>
      <c r="V76" s="148">
        <v>6.2303036582312364E-2</v>
      </c>
      <c r="W76" s="148">
        <v>7.0013210039630125E-2</v>
      </c>
      <c r="X76" s="148">
        <v>0.14166688251698742</v>
      </c>
      <c r="Y76" s="148"/>
      <c r="Z76" s="149">
        <f t="shared" si="21"/>
        <v>485.74683347579457</v>
      </c>
      <c r="AA76" s="149">
        <f t="shared" si="21"/>
        <v>3236.5181443779625</v>
      </c>
      <c r="AB76" s="149">
        <f t="shared" si="21"/>
        <v>3637.0462351387059</v>
      </c>
      <c r="AC76" s="149">
        <f t="shared" si="21"/>
        <v>7359.3112129924621</v>
      </c>
      <c r="AD76" s="149"/>
      <c r="AE76" s="150">
        <f t="shared" si="22"/>
        <v>3652.264977853757</v>
      </c>
      <c r="AF76" s="150">
        <f t="shared" si="23"/>
        <v>3168.0462351387059</v>
      </c>
      <c r="AG76" s="150">
        <f t="shared" si="24"/>
        <v>6820.311212992463</v>
      </c>
      <c r="AH76" s="150"/>
      <c r="AI76" s="151">
        <f t="shared" si="25"/>
        <v>7.994101118159995E-2</v>
      </c>
      <c r="AJ76" s="151">
        <f t="shared" si="25"/>
        <v>6.9342400138742002E-2</v>
      </c>
      <c r="AK76" s="152">
        <f t="shared" si="25"/>
        <v>0.14928341132034195</v>
      </c>
      <c r="AL76" s="37"/>
      <c r="AM76" s="144">
        <v>4106</v>
      </c>
      <c r="AN76" s="144">
        <v>30179</v>
      </c>
      <c r="AO76" s="144">
        <f>SUM(AM76:AN76)</f>
        <v>34285</v>
      </c>
      <c r="AQ76" s="28">
        <v>2566</v>
      </c>
      <c r="AR76" s="34">
        <f t="shared" si="12"/>
        <v>8.5026011464925944E-2</v>
      </c>
      <c r="AS76" s="34">
        <f t="shared" si="13"/>
        <v>5.6164773349092742E-2</v>
      </c>
      <c r="AV76" s="91">
        <f>AR76*0.05</f>
        <v>4.2513005732462972E-3</v>
      </c>
      <c r="AX76" s="22">
        <v>172</v>
      </c>
      <c r="AY76" s="22">
        <v>63</v>
      </c>
      <c r="AZ76" s="22">
        <f t="shared" si="16"/>
        <v>235</v>
      </c>
      <c r="BA76" s="22">
        <f>BA75+AZ76</f>
        <v>17259</v>
      </c>
      <c r="BC76" s="112">
        <f t="shared" si="14"/>
        <v>5.6993273468305778E-3</v>
      </c>
      <c r="BD76" s="112">
        <f t="shared" si="15"/>
        <v>1.5343399902581588E-2</v>
      </c>
      <c r="BF76" s="192">
        <v>39</v>
      </c>
      <c r="BG76" s="192">
        <v>139</v>
      </c>
      <c r="BH76" s="193">
        <f t="shared" si="26"/>
        <v>0.71942446043165464</v>
      </c>
      <c r="BI76" s="196">
        <v>33</v>
      </c>
      <c r="BJ76" s="193"/>
      <c r="BK76" s="193"/>
      <c r="BL76" s="193"/>
      <c r="BM76" s="192">
        <v>247</v>
      </c>
      <c r="BN76" s="192">
        <v>685</v>
      </c>
      <c r="BO76" s="193">
        <f t="shared" si="27"/>
        <v>0.6394160583941606</v>
      </c>
      <c r="BP76" s="196">
        <v>205</v>
      </c>
      <c r="BQ76" s="193"/>
      <c r="BR76" s="193"/>
      <c r="BS76" s="193"/>
      <c r="BT76" s="192">
        <v>187</v>
      </c>
      <c r="BU76" s="192">
        <v>208</v>
      </c>
      <c r="BV76" s="193">
        <f t="shared" si="28"/>
        <v>0.10096153846153846</v>
      </c>
      <c r="BW76" s="196">
        <v>185</v>
      </c>
      <c r="BX76" s="193"/>
      <c r="BY76" s="193"/>
      <c r="BZ76" s="193"/>
      <c r="CA76" s="192">
        <v>19</v>
      </c>
      <c r="CB76" s="192">
        <v>99</v>
      </c>
      <c r="CC76" s="193">
        <f t="shared" si="29"/>
        <v>0.80808080808080807</v>
      </c>
      <c r="CD76" s="161">
        <v>19</v>
      </c>
      <c r="CE76" s="194"/>
      <c r="CF76" s="193"/>
      <c r="CG76" s="193"/>
      <c r="CH76" s="192">
        <v>192</v>
      </c>
      <c r="CI76" s="192">
        <v>537</v>
      </c>
      <c r="CJ76" s="193">
        <f t="shared" si="30"/>
        <v>0.64245810055865926</v>
      </c>
      <c r="CK76" s="193"/>
      <c r="CL76" s="193"/>
      <c r="CM76" s="193"/>
      <c r="CN76" s="193"/>
      <c r="CO76" s="192">
        <v>186</v>
      </c>
      <c r="CP76" s="192">
        <v>239</v>
      </c>
      <c r="CQ76" s="193">
        <f t="shared" si="31"/>
        <v>0.22175732217573221</v>
      </c>
      <c r="CR76" s="187">
        <f>CO76</f>
        <v>186</v>
      </c>
      <c r="DD76">
        <v>49</v>
      </c>
      <c r="DL76">
        <v>43</v>
      </c>
      <c r="DM76" s="32">
        <v>0</v>
      </c>
      <c r="DX76">
        <v>123</v>
      </c>
      <c r="ED76">
        <v>62</v>
      </c>
      <c r="EE76">
        <v>27</v>
      </c>
      <c r="EG76">
        <v>65</v>
      </c>
      <c r="EH76">
        <v>171</v>
      </c>
      <c r="EJ76">
        <v>19</v>
      </c>
      <c r="EL76">
        <v>62</v>
      </c>
      <c r="EM76">
        <v>94</v>
      </c>
      <c r="ES76">
        <v>85</v>
      </c>
      <c r="EX76" s="187">
        <f>AVERAGE(ES$76:ES76)</f>
        <v>85</v>
      </c>
    </row>
    <row r="77" spans="1:157" x14ac:dyDescent="0.3">
      <c r="A77" s="33">
        <v>2018</v>
      </c>
      <c r="B77" s="135"/>
      <c r="C77" s="135"/>
      <c r="D77" s="135"/>
      <c r="E77" s="145"/>
      <c r="F77" s="142"/>
      <c r="G77" s="135"/>
      <c r="H77" s="142"/>
      <c r="I77" s="135"/>
      <c r="J77" s="142"/>
      <c r="K77" s="135"/>
      <c r="L77" s="142"/>
      <c r="M77" s="146"/>
      <c r="N77" s="147"/>
      <c r="O77" s="144">
        <v>12655</v>
      </c>
      <c r="P77" s="144">
        <v>53218</v>
      </c>
      <c r="Q77" s="144">
        <f>+P77+O77</f>
        <v>65873</v>
      </c>
      <c r="R77" s="144">
        <f>P77/Q77</f>
        <v>0.80788790551515799</v>
      </c>
      <c r="S77" s="141"/>
      <c r="T77" s="141"/>
      <c r="U77" s="148"/>
      <c r="V77" s="148"/>
      <c r="W77" s="148"/>
      <c r="X77" s="148"/>
      <c r="Y77" s="148"/>
      <c r="Z77" s="149"/>
      <c r="AA77" s="149"/>
      <c r="AB77" s="149"/>
      <c r="AC77" s="149"/>
      <c r="AD77" s="149"/>
      <c r="AE77" s="150"/>
      <c r="AF77" s="150"/>
      <c r="AG77" s="150"/>
      <c r="AH77" s="150"/>
      <c r="AI77" s="151"/>
      <c r="AJ77" s="151"/>
      <c r="AK77" s="152"/>
      <c r="AL77" s="37"/>
      <c r="AM77" s="37"/>
      <c r="AX77" s="22">
        <v>416</v>
      </c>
      <c r="AY77" s="22">
        <v>102</v>
      </c>
      <c r="AZ77" s="22">
        <f t="shared" si="16"/>
        <v>518</v>
      </c>
      <c r="BA77" s="22">
        <f>BA76+AZ77</f>
        <v>17777</v>
      </c>
      <c r="BC77" s="112"/>
      <c r="BD77" s="112"/>
      <c r="CP77" s="32"/>
      <c r="DL77">
        <v>68</v>
      </c>
      <c r="DM77" s="32">
        <v>0</v>
      </c>
      <c r="FA77">
        <f>FA79/FA80</f>
        <v>1.1033544882208657</v>
      </c>
    </row>
    <row r="78" spans="1:157" s="329" customFormat="1" x14ac:dyDescent="0.3">
      <c r="A78" s="330">
        <v>2019</v>
      </c>
      <c r="B78" s="135"/>
      <c r="C78" s="135"/>
      <c r="D78" s="135"/>
      <c r="E78" s="145"/>
      <c r="F78" s="142"/>
      <c r="G78" s="135"/>
      <c r="H78" s="142"/>
      <c r="I78" s="135"/>
      <c r="J78" s="142"/>
      <c r="K78" s="135"/>
      <c r="L78" s="142"/>
      <c r="M78" s="146"/>
      <c r="N78" s="147"/>
      <c r="O78" s="144"/>
      <c r="P78" s="144"/>
      <c r="Q78" s="144"/>
      <c r="R78" s="144"/>
      <c r="S78" s="141"/>
      <c r="T78" s="141"/>
      <c r="U78" s="148"/>
      <c r="V78" s="148"/>
      <c r="W78" s="148"/>
      <c r="X78" s="148"/>
      <c r="Y78" s="148"/>
      <c r="Z78" s="149"/>
      <c r="AA78" s="149"/>
      <c r="AB78" s="149"/>
      <c r="AC78" s="149"/>
      <c r="AD78" s="149"/>
      <c r="AE78" s="150"/>
      <c r="AF78" s="150"/>
      <c r="AG78" s="150"/>
      <c r="AH78" s="150"/>
      <c r="AI78" s="151"/>
      <c r="AJ78" s="151"/>
      <c r="AK78" s="152"/>
      <c r="AL78" s="37"/>
      <c r="AM78" s="37"/>
      <c r="AQ78" s="28"/>
      <c r="AS78" s="34"/>
      <c r="AV78" s="90"/>
      <c r="AX78" s="22"/>
      <c r="AY78" s="22"/>
      <c r="AZ78" s="22"/>
      <c r="BA78" s="22"/>
      <c r="BC78" s="112"/>
      <c r="BD78" s="112"/>
      <c r="BK78" s="32"/>
      <c r="BL78" s="32"/>
      <c r="CE78" s="28"/>
      <c r="CF78" s="32"/>
      <c r="CG78" s="32"/>
      <c r="CP78" s="32"/>
      <c r="DQ78" s="32"/>
      <c r="DY78" s="32"/>
      <c r="EA78" s="32"/>
      <c r="EW78" s="90"/>
      <c r="EX78" s="90"/>
      <c r="EY78" s="90"/>
    </row>
    <row r="79" spans="1:157" x14ac:dyDescent="0.3">
      <c r="A79" s="33"/>
      <c r="B79" s="135"/>
      <c r="C79" s="135"/>
      <c r="D79" s="135"/>
      <c r="E79" s="145"/>
      <c r="F79" s="142"/>
      <c r="G79" s="135"/>
      <c r="H79" s="142"/>
      <c r="I79" s="135"/>
      <c r="J79" s="142"/>
      <c r="K79" s="135"/>
      <c r="L79" s="142"/>
      <c r="M79" s="146"/>
      <c r="N79" s="147"/>
      <c r="O79" s="147"/>
      <c r="P79" s="147"/>
      <c r="Q79" s="147"/>
      <c r="R79" s="147"/>
      <c r="S79" s="141"/>
      <c r="T79" s="141"/>
      <c r="U79" s="148"/>
      <c r="V79" s="148"/>
      <c r="W79" s="148"/>
      <c r="X79" s="148"/>
      <c r="Y79" s="148"/>
      <c r="Z79" s="149"/>
      <c r="AA79" s="149"/>
      <c r="AB79" s="149"/>
      <c r="AC79" s="149"/>
      <c r="AD79" s="149"/>
      <c r="AE79" s="150"/>
      <c r="AF79" s="150"/>
      <c r="AG79" s="150"/>
      <c r="AH79" s="150"/>
      <c r="AI79" s="151"/>
      <c r="AJ79" s="151"/>
      <c r="AK79" s="152"/>
      <c r="AL79" s="37"/>
      <c r="AM79" s="37"/>
      <c r="AX79" s="22"/>
      <c r="AY79" s="22"/>
      <c r="AZ79" s="22"/>
      <c r="BA79" s="22"/>
      <c r="BC79" s="112"/>
      <c r="BD79" s="112"/>
      <c r="BI79" s="161">
        <f>AVERAGE(BI66:BI76)</f>
        <v>227.36363636363637</v>
      </c>
      <c r="BP79" s="161">
        <f>AVERAGE(BP66:BP76)</f>
        <v>428.09090909090907</v>
      </c>
      <c r="BW79" s="161">
        <f>AVERAGE(BW66:BW76)</f>
        <v>560.09090909090912</v>
      </c>
      <c r="CD79" s="161">
        <f>AVERAGE(CD66:CD76)</f>
        <v>112.18181818181819</v>
      </c>
      <c r="CH79" s="161">
        <f>AVERAGE(CH66:CH76)</f>
        <v>754.09090909090912</v>
      </c>
      <c r="CP79" s="32"/>
      <c r="CR79" s="161">
        <f>AVERAGE(CR66:CR76)</f>
        <v>439.63636363636363</v>
      </c>
      <c r="DD79" s="161">
        <f>AVERAGE(DD66:DD76)</f>
        <v>299.45454545454544</v>
      </c>
      <c r="DH79" s="161">
        <f>AVERAGE(DH66:DH76)</f>
        <v>12.5</v>
      </c>
      <c r="DJ79" s="161">
        <f>AVERAGE(DJ66:DJ76)</f>
        <v>842.6</v>
      </c>
      <c r="DL79" s="161">
        <f>AVERAGE(DL66:DL76)</f>
        <v>218.72727272727272</v>
      </c>
      <c r="DN79" s="161">
        <f>AVERAGE(DN66:DN76)</f>
        <v>4.7</v>
      </c>
      <c r="DP79" s="161">
        <f>AVERAGE(DP66:DP76)</f>
        <v>48</v>
      </c>
      <c r="DR79" s="161">
        <f>AVERAGE(DR66:DR76)</f>
        <v>64.5</v>
      </c>
      <c r="DT79" s="161">
        <f>AVERAGE(DT66:DT76)</f>
        <v>87</v>
      </c>
      <c r="DV79" s="161">
        <f>AVERAGE(DV66:DV76)</f>
        <v>85.3</v>
      </c>
      <c r="DX79" s="161">
        <f>AVERAGE(DX66:DX76)</f>
        <v>559.72727272727275</v>
      </c>
      <c r="DZ79" s="161">
        <f>AVERAGE(DZ66:DZ76)</f>
        <v>425.5</v>
      </c>
      <c r="EC79" s="161">
        <f t="shared" ref="EC79:EE79" si="32">AVERAGE(EC66:EC76)</f>
        <v>108.3</v>
      </c>
      <c r="ED79" s="161">
        <f t="shared" si="32"/>
        <v>243.54545454545453</v>
      </c>
      <c r="EE79" s="161">
        <f t="shared" si="32"/>
        <v>114.18181818181819</v>
      </c>
      <c r="EG79" s="161">
        <f t="shared" ref="EG79:EH79" si="33">AVERAGE(EG66:EG76)</f>
        <v>283.09090909090907</v>
      </c>
      <c r="EH79" s="161">
        <f t="shared" si="33"/>
        <v>467.18181818181819</v>
      </c>
      <c r="EJ79" s="161">
        <f>AVERAGE(EJ66:EJ76)</f>
        <v>124.27272727272727</v>
      </c>
      <c r="EL79" s="161">
        <f t="shared" ref="EL79:EM79" si="34">AVERAGE(EL66:EL76)</f>
        <v>158.27272727272728</v>
      </c>
      <c r="EM79" s="161">
        <f t="shared" si="34"/>
        <v>417.27272727272725</v>
      </c>
      <c r="ES79" s="161">
        <f>AVERAGE(ES66:ES76)</f>
        <v>665.4545454545455</v>
      </c>
      <c r="FA79" s="28">
        <f>ES79+EM79+EL79+EJ79+EH79+EG79+EE79+ED79+EC79+DZ79+DX79+DV79+DT79+DR79+DP79+DN79+DL79+DJ79+DH79+DD79+CR79+CD79+BW79+BP79+BI79</f>
        <v>6996.9454545454537</v>
      </c>
    </row>
    <row r="80" spans="1:157" x14ac:dyDescent="0.3">
      <c r="B80" s="28">
        <f t="shared" ref="B80:Q80" si="35">AVERAGE(B67:B76)</f>
        <v>112930.8</v>
      </c>
      <c r="C80" s="28">
        <f t="shared" si="35"/>
        <v>27413.1</v>
      </c>
      <c r="D80" s="28">
        <f t="shared" si="35"/>
        <v>85517.7</v>
      </c>
      <c r="E80" s="28">
        <f t="shared" si="35"/>
        <v>461.6</v>
      </c>
      <c r="F80" s="156">
        <f t="shared" si="35"/>
        <v>1.65</v>
      </c>
      <c r="G80" s="28">
        <f t="shared" si="35"/>
        <v>2869.7</v>
      </c>
      <c r="H80" s="156">
        <f t="shared" si="35"/>
        <v>10.089999999999998</v>
      </c>
      <c r="I80" s="28">
        <f t="shared" si="35"/>
        <v>3330.9</v>
      </c>
      <c r="J80" s="28">
        <f t="shared" si="35"/>
        <v>11.709999999999999</v>
      </c>
      <c r="K80" s="28">
        <f t="shared" si="35"/>
        <v>3897.5</v>
      </c>
      <c r="L80" s="28">
        <f t="shared" si="35"/>
        <v>15.099999999999998</v>
      </c>
      <c r="M80" s="28">
        <f t="shared" si="35"/>
        <v>19910.7</v>
      </c>
      <c r="N80" s="28">
        <f t="shared" si="35"/>
        <v>72.27000000000001</v>
      </c>
      <c r="O80" s="28">
        <f t="shared" si="35"/>
        <v>17627.099999999999</v>
      </c>
      <c r="P80" s="28">
        <f t="shared" si="35"/>
        <v>60513.4</v>
      </c>
      <c r="Q80" s="28">
        <f t="shared" si="35"/>
        <v>78140.5</v>
      </c>
      <c r="R80" s="28"/>
      <c r="S80" s="157">
        <f>AVERAGE(S66:S76)</f>
        <v>0.71868920210132547</v>
      </c>
      <c r="T80" s="157">
        <f>AVERAGE(T66:T76)</f>
        <v>0.81263529592704242</v>
      </c>
      <c r="U80" s="32">
        <f>AVERAGE(U67:U76)</f>
        <v>2.1655179781323121E-2</v>
      </c>
      <c r="V80" s="32">
        <f>AVERAGE(V67:V76)</f>
        <v>7.2362395979160082E-2</v>
      </c>
      <c r="W80" s="32">
        <f>AVERAGE(W67:W76)</f>
        <v>9.367072825297118E-2</v>
      </c>
      <c r="X80" s="32">
        <f>AVERAGE(X67:X76)</f>
        <v>0.18768830401345438</v>
      </c>
      <c r="Y80" s="32"/>
      <c r="Z80" s="28">
        <f>AVERAGE(Z67:Z76)</f>
        <v>2558.3115424845437</v>
      </c>
      <c r="AA80" s="28">
        <f>AVERAGE(AA67:AA76)</f>
        <v>8207.8762293700147</v>
      </c>
      <c r="AB80" s="28">
        <f>AVERAGE(AB67:AB76)</f>
        <v>11102.593294380991</v>
      </c>
      <c r="AC80" s="28">
        <f>AVERAGE(AC67:AC76)</f>
        <v>21868.781066235548</v>
      </c>
      <c r="AD80" s="28"/>
      <c r="AE80" s="158">
        <f>AVERAGE(AE67:AE76)</f>
        <v>10304.587771854558</v>
      </c>
      <c r="AF80" s="158">
        <f>AVERAGE(AF67:AF76)</f>
        <v>8232.8932943809905</v>
      </c>
      <c r="AG80" s="158">
        <f>AVERAGE(AG67:AG76)</f>
        <v>18537.481066235548</v>
      </c>
      <c r="AH80" s="158"/>
      <c r="AI80" s="32">
        <f>AVERAGE(AI67:AI76)</f>
        <v>0.11903446281323057</v>
      </c>
      <c r="AJ80" s="32">
        <f>AVERAGE(AJ67:AJ76)</f>
        <v>9.1395122997408693E-2</v>
      </c>
      <c r="AK80" s="32">
        <f>AVERAGE(AK67:AK76)</f>
        <v>0.21042958581063925</v>
      </c>
      <c r="AL80" s="28"/>
      <c r="AM80" s="28">
        <f>AVERAGE(AM67:AM76)</f>
        <v>17627.099999999999</v>
      </c>
      <c r="AN80" s="28">
        <f>AVERAGE(AN67:AN76)</f>
        <v>60513.4</v>
      </c>
      <c r="AO80" s="28">
        <f>AVERAGE(AO67:AO76)</f>
        <v>78140.5</v>
      </c>
      <c r="AQ80" s="28">
        <f>AVERAGE(AQ67:AQ76)</f>
        <v>11437.6</v>
      </c>
      <c r="AR80" s="34">
        <f>AVERAGE(AR67:AR76)</f>
        <v>0.17982799623918153</v>
      </c>
      <c r="AS80" s="34">
        <f>AVERAGE(AS67:AS76)</f>
        <v>0.12640122876169718</v>
      </c>
      <c r="AV80" s="159">
        <f>AVERAGE(AV67:AV76)</f>
        <v>8.991399811959077E-3</v>
      </c>
      <c r="BC80" s="160">
        <f>AVERAGE(BC67:BC76)</f>
        <v>8.2864656448431336E-3</v>
      </c>
      <c r="BD80" s="160">
        <f>AVERAGE(BD67:BD76)</f>
        <v>1.5454205513251324E-2</v>
      </c>
      <c r="BE80" t="s">
        <v>270</v>
      </c>
      <c r="BF80" s="28">
        <f>GEOMEAN(BF67:BF76)</f>
        <v>221.57288459412712</v>
      </c>
      <c r="BG80" s="28">
        <f>GEOMEAN(BG67:BG76)</f>
        <v>495.44970475787721</v>
      </c>
      <c r="BH80" s="32">
        <f>AVERAGE(BH67:BH76)</f>
        <v>0.54366574023505243</v>
      </c>
      <c r="BI80" s="188">
        <f>GEOMEAN(BI67:BI76)</f>
        <v>185.72467631551771</v>
      </c>
      <c r="BJ80" s="28">
        <f>GEOMEAN(BJ67:BJ76)</f>
        <v>513.40556662749225</v>
      </c>
      <c r="BK80" s="32">
        <f>AVERAGE(BK67:BK76)</f>
        <v>0.54426249999999998</v>
      </c>
      <c r="BM80" s="109">
        <f>GEOMEAN(BM67:BM76)</f>
        <v>540.49655857338803</v>
      </c>
      <c r="BN80" s="28">
        <f>GEOMEAN(BN67:BN76)</f>
        <v>1787.4365244506398</v>
      </c>
      <c r="BO80" s="32">
        <f>AVERAGE(BO67:BO76)</f>
        <v>0.68261210600506406</v>
      </c>
      <c r="BP80" s="188">
        <f>GEOMEAN(BP67:BP76)</f>
        <v>407.77361225009565</v>
      </c>
      <c r="BQ80" s="28">
        <f>GEOMEAN(BQ67:BQ76)</f>
        <v>1401.4831525509439</v>
      </c>
      <c r="BR80" s="32">
        <f>AVERAGE(BR67:BR76)</f>
        <v>0.67420000000000013</v>
      </c>
      <c r="BS80" s="32"/>
      <c r="BT80" s="28">
        <f>GEOMEAN(BT67:BT76)</f>
        <v>568.57399602254384</v>
      </c>
      <c r="BU80" s="28">
        <f>GEOMEAN(BU67:BU76)</f>
        <v>625.98804053154367</v>
      </c>
      <c r="BV80" s="32">
        <f>AVERAGE(BV67:BV76)</f>
        <v>9.0194982403355564E-2</v>
      </c>
      <c r="BW80" s="188">
        <f>GEOMEAN(BW67:BW76)</f>
        <v>532.67926726405767</v>
      </c>
      <c r="BX80" s="28">
        <f>GEOMEAN(BX67:BX76)</f>
        <v>650.44892403150413</v>
      </c>
      <c r="BY80" s="32">
        <f>AVERAGE(BY67:BY76)</f>
        <v>8.1000000000000003E-2</v>
      </c>
      <c r="BZ80" s="32"/>
      <c r="CA80" s="28">
        <f>GEOMEAN(CA67:CA76)</f>
        <v>83.110410487776647</v>
      </c>
      <c r="CB80" s="28">
        <f>GEOMEAN(CB67:CB76)</f>
        <v>466.44202427101555</v>
      </c>
      <c r="CC80" s="32">
        <f>AVERAGE(CC67:CC76)</f>
        <v>0.7935509523460651</v>
      </c>
      <c r="CD80" s="188">
        <f>GEOMEAN(CD67:CD76)</f>
        <v>74.014179901894664</v>
      </c>
      <c r="CE80" s="28">
        <f>GEOMEAN(CE67:CE76)</f>
        <v>462.90068671761236</v>
      </c>
      <c r="CF80" s="32">
        <f>AVERAGE(CF67:CF76)</f>
        <v>0.73888749999999992</v>
      </c>
      <c r="CH80" s="28">
        <f>GEOMEAN(CH67:CH76)</f>
        <v>720.21124722209095</v>
      </c>
      <c r="CI80" s="28">
        <f>GEOMEAN(CI67:CI76)</f>
        <v>1821.1923976104888</v>
      </c>
      <c r="CJ80" s="32">
        <f>AVERAGE(CJ67:CJ76)</f>
        <v>0.58183367472063718</v>
      </c>
      <c r="CK80" s="188" t="e">
        <f>GEOMEAN(CK67:CK76)</f>
        <v>#NUM!</v>
      </c>
      <c r="CL80" s="28" t="e">
        <f>GEOMEAN(CL67:CL76)</f>
        <v>#NUM!</v>
      </c>
      <c r="CM80" s="32" t="e">
        <f>AVERAGE(CM67:CM76)</f>
        <v>#DIV/0!</v>
      </c>
      <c r="CN80" s="32"/>
      <c r="CO80" s="28">
        <f>GEOMEAN(CO67:CO76)</f>
        <v>449.82935606460842</v>
      </c>
      <c r="CP80" s="28">
        <f>GEOMEAN(CP67:CP76)</f>
        <v>563.44767466787459</v>
      </c>
      <c r="CQ80" s="32">
        <f>AVERAGE(CQ67:CQ76)</f>
        <v>0.19237693101709866</v>
      </c>
      <c r="CR80" s="188">
        <f>GEOMEAN(CR67:CR76)</f>
        <v>415.76635656892279</v>
      </c>
      <c r="CS80" s="28">
        <f>GEOMEAN(CS67:CS76)</f>
        <v>517.4172868874715</v>
      </c>
      <c r="CT80" s="32">
        <f>AVERAGE(CT67:CT76)</f>
        <v>0.16499999999999998</v>
      </c>
      <c r="DD80" s="188">
        <f>GEOMEAN(DD67:DD76)</f>
        <v>236.17130688131169</v>
      </c>
      <c r="DE80" s="28">
        <f>GEOMEAN(DE67:DE76)</f>
        <v>508.04237869082891</v>
      </c>
      <c r="DF80" s="32">
        <f>AVERAGE(DF67:DF76)</f>
        <v>0.42433333333333334</v>
      </c>
      <c r="DH80" s="188">
        <f>GEOMEAN(DH67:DH76)</f>
        <v>8.3720606617690621</v>
      </c>
      <c r="DJ80" s="188">
        <f>GEOMEAN(DJ67:DJ76)</f>
        <v>836.60014257010357</v>
      </c>
      <c r="DL80" s="188">
        <f>GEOMEAN(DL67:DL76)</f>
        <v>202.10722321880405</v>
      </c>
      <c r="DN80" s="198">
        <f>AVERAGE(DN67:DN76)</f>
        <v>5.2222222222222223</v>
      </c>
      <c r="DP80" s="188">
        <f>GEOMEAN(DP67:DP76)</f>
        <v>42.263668489135824</v>
      </c>
      <c r="DR80" s="188">
        <f>GEOMEAN(DR67:DR76)</f>
        <v>62.411250441739291</v>
      </c>
      <c r="DT80" s="188">
        <f>GEOMEAN(DT67:DT76)</f>
        <v>81.553831784737113</v>
      </c>
      <c r="DV80" s="198">
        <f>AVERAGE(DV67:DV76)</f>
        <v>88.888888888888886</v>
      </c>
      <c r="DX80" s="188">
        <f>GEOMEAN(DX67:DX76)</f>
        <v>514.59639240999354</v>
      </c>
      <c r="DZ80" s="188">
        <f>GEOMEAN(DZ67:DZ76)</f>
        <v>396.0334499200589</v>
      </c>
      <c r="EC80" s="188">
        <f>GEOMEAN(EC67:EC76)</f>
        <v>102.78697206489706</v>
      </c>
      <c r="ED80" s="188">
        <f>GEOMEAN(ED67:ED76)</f>
        <v>203.84935653548732</v>
      </c>
      <c r="EE80" s="188">
        <f>GEOMEAN(EE67:EE76)</f>
        <v>94.094243430017841</v>
      </c>
      <c r="EG80" s="188">
        <f>GEOMEAN(EG67:EG76)</f>
        <v>266.76965662875438</v>
      </c>
      <c r="EH80" s="188">
        <f>GEOMEAN(EH67:EH76)</f>
        <v>440.68810967707412</v>
      </c>
      <c r="EJ80" s="188">
        <f>GEOMEAN(EJ67:EJ76)</f>
        <v>92.124824652288666</v>
      </c>
      <c r="EK80" s="157">
        <f>AVERAGE(EK66:EK75)</f>
        <v>3.79920095E-2</v>
      </c>
      <c r="EL80" s="188">
        <f>GEOMEAN(EL67:EL76)</f>
        <v>148.78279193680626</v>
      </c>
      <c r="EM80" s="188">
        <f>GEOMEAN(EM67:EM76)</f>
        <v>387.65780288834316</v>
      </c>
      <c r="EN80" s="157">
        <f>AVERAGE(EN66:EN75)</f>
        <v>2.9709206630000002E-2</v>
      </c>
      <c r="ES80" s="188">
        <f>GEOMEAN(ES67:ES76)</f>
        <v>514.5885284567222</v>
      </c>
      <c r="ET80" s="157">
        <f>AVERAGE(ET66:ET75)</f>
        <v>2.8575480100000002E-2</v>
      </c>
      <c r="FA80" s="28">
        <f>ES80+EM80+EL80+EJ80+EH80+EG80+EE80+ED80+EC80+DZ80+DX80+DV80+DT80+DR80+DP80+DN80+DL80+DJ80+DH80+DD80+CR80+CD80+BW80+BP80+BI80</f>
        <v>6341.520816059643</v>
      </c>
    </row>
    <row r="81" spans="3:149" x14ac:dyDescent="0.3">
      <c r="M81" s="28">
        <f>C80-E80-G80-K80</f>
        <v>20184.3</v>
      </c>
      <c r="U81" s="34"/>
      <c r="V81" s="34">
        <f>V80+U80</f>
        <v>9.4017575760483196E-2</v>
      </c>
      <c r="W81" s="34"/>
      <c r="X81" s="34"/>
      <c r="Y81" s="34"/>
      <c r="AA81" s="28">
        <f>AA80+Z80</f>
        <v>10766.187771854558</v>
      </c>
      <c r="AM81" s="28"/>
      <c r="AQ81" s="28" t="s">
        <v>231</v>
      </c>
      <c r="AR81" s="34">
        <f>MIN(AR67:AR76)</f>
        <v>8.5026011464925944E-2</v>
      </c>
      <c r="AS81" s="34">
        <f>MIN(AS67:AS76)</f>
        <v>5.6164773349092742E-2</v>
      </c>
    </row>
    <row r="82" spans="3:149" x14ac:dyDescent="0.3">
      <c r="AI82" s="160">
        <f>MIN(AI67:AI76)</f>
        <v>7.994101118159995E-2</v>
      </c>
      <c r="AJ82" s="160">
        <f>MIN(AJ67:AJ76)</f>
        <v>6.9163445236946244E-2</v>
      </c>
      <c r="AQ82" s="28" t="s">
        <v>232</v>
      </c>
      <c r="AR82" s="34">
        <f>MAX(AR67:AR76)</f>
        <v>0.2474437627811861</v>
      </c>
      <c r="AS82" s="34">
        <f>MAX(AS67:AS76)</f>
        <v>0.1615348176219801</v>
      </c>
      <c r="BE82" s="31" t="s">
        <v>410</v>
      </c>
      <c r="DH82" t="s">
        <v>291</v>
      </c>
      <c r="DJ82" s="161">
        <f>AVERAGE(DJ$16:DJ$18)</f>
        <v>806.33333333333337</v>
      </c>
      <c r="DL82" s="161">
        <f>AVERAGE(DL$16:DL$18)</f>
        <v>668</v>
      </c>
      <c r="DN82" s="161">
        <f>AVERAGE(DN$16:DN$18)</f>
        <v>84.333333333333329</v>
      </c>
      <c r="DP82" s="161">
        <f>AVERAGE(DP$16:DP$18)</f>
        <v>240.33333333333334</v>
      </c>
      <c r="DR82" s="161">
        <f>AVERAGE(DR$16:DR$18)</f>
        <v>614</v>
      </c>
      <c r="DT82" s="161">
        <f>AVERAGE(DT$16:DT$18)</f>
        <v>564</v>
      </c>
      <c r="DV82" s="161">
        <f>AVERAGE(DV$16:DV$18)</f>
        <v>339.33333333333331</v>
      </c>
      <c r="DX82" s="161">
        <f>AVERAGE(DX$16:DX$18)</f>
        <v>1562.3333333333333</v>
      </c>
      <c r="DZ82" s="161">
        <f>AVERAGE(DZ$16:DZ$18)</f>
        <v>592.33333333333337</v>
      </c>
      <c r="EC82" s="161">
        <f>AVERAGE(EC$16:EC$18)</f>
        <v>335</v>
      </c>
      <c r="ED82" s="161">
        <f>AVERAGE(ED$16:ED$18)</f>
        <v>1182.6666666666667</v>
      </c>
      <c r="EE82" s="161">
        <f>AVERAGE(EE$16:EE$18)</f>
        <v>1812.3333333333333</v>
      </c>
      <c r="EG82" s="161" t="e">
        <f>AVERAGE(EG$16:EG$18)</f>
        <v>#DIV/0!</v>
      </c>
      <c r="EH82" s="161">
        <f>AVERAGE(EH$16:EH$18)</f>
        <v>1395.6666666666667</v>
      </c>
      <c r="EJ82" s="161">
        <f>AVERAGE(EJ$16:EJ$18)</f>
        <v>249</v>
      </c>
      <c r="EL82" s="161">
        <f>AVERAGE(EL$16:EL$18)</f>
        <v>634.33333333333337</v>
      </c>
      <c r="EM82" s="161">
        <f>AVERAGE(EM$16:EM$18)</f>
        <v>1464.6666666666667</v>
      </c>
      <c r="ES82">
        <f>AVERAGE(ES66:ES75)</f>
        <v>723.5</v>
      </c>
    </row>
    <row r="83" spans="3:149" x14ac:dyDescent="0.3">
      <c r="C83" s="28">
        <f>C80</f>
        <v>27413.1</v>
      </c>
      <c r="E83">
        <f>E80/C80</f>
        <v>1.6838664725988672E-2</v>
      </c>
      <c r="F83" s="161">
        <f>C83*E83</f>
        <v>461.6</v>
      </c>
      <c r="G83">
        <f>G80/C80</f>
        <v>0.10468352721873848</v>
      </c>
      <c r="H83" s="161">
        <f>G83*C83</f>
        <v>2869.7</v>
      </c>
      <c r="I83" s="28">
        <f>C83-F83-H83</f>
        <v>24081.8</v>
      </c>
      <c r="K83" s="34">
        <f>K80/I83</f>
        <v>0.16184421430291757</v>
      </c>
      <c r="M83">
        <f>(C83-F83-H83)*(1-K83)</f>
        <v>20184.3</v>
      </c>
      <c r="T83" s="34">
        <f>AM80/M83</f>
        <v>0.87330747164875666</v>
      </c>
      <c r="U83">
        <f>M83*T83</f>
        <v>17627.099999999999</v>
      </c>
      <c r="AI83" s="160">
        <f>MAX(AI67:AI76)</f>
        <v>0.19872209847800318</v>
      </c>
      <c r="AJ83" s="160">
        <f>MAX(AJ67:AJ76)</f>
        <v>0.13305059095637933</v>
      </c>
      <c r="DH83" t="s">
        <v>292</v>
      </c>
      <c r="DJ83" s="161">
        <f>GEOMEAN(DJ$16:DJ$18)</f>
        <v>781.23831355318737</v>
      </c>
      <c r="DL83" s="161">
        <f>GEOMEAN(DL$16:DL$18)</f>
        <v>619.78773517580862</v>
      </c>
      <c r="DN83" s="161">
        <f>GEOMEAN(DN$16:DN$18)</f>
        <v>62.867446166202747</v>
      </c>
      <c r="DP83" s="161">
        <f>GEOMEAN(DP$16:DP$18)</f>
        <v>237.21017277620791</v>
      </c>
      <c r="DR83" s="161">
        <f>GEOMEAN(DR$16:DR$18)</f>
        <v>536.87356621710171</v>
      </c>
      <c r="DT83" s="161">
        <f>GEOMEAN(DT$16:DT$18)</f>
        <v>560.55488155612898</v>
      </c>
      <c r="DV83" s="161">
        <f>GEOMEAN(DV$16:DV$18)</f>
        <v>284.1523681494474</v>
      </c>
      <c r="DX83" s="161">
        <f>GEOMEAN(DX$16:DX$18)</f>
        <v>1535.5168157926448</v>
      </c>
      <c r="DZ83" s="161">
        <f>GEOMEAN(DZ$16:DZ$18)</f>
        <v>509.64667055788465</v>
      </c>
      <c r="EC83" s="161">
        <f>GEOMEAN(EC$16:EC$18)</f>
        <v>287.47347703744776</v>
      </c>
      <c r="ED83" s="161">
        <f>GEOMEAN(ED$16:ED$18)</f>
        <v>1160.3220127620116</v>
      </c>
      <c r="EE83" s="161">
        <f>GEOMEAN(EE$16:EE$18)</f>
        <v>1207.2604990318566</v>
      </c>
      <c r="EG83" s="161" t="e">
        <f>GEOMEAN(EG$16:EG$18)</f>
        <v>#NUM!</v>
      </c>
      <c r="EH83" s="161">
        <f>GEOMEAN(EH$16:EH$18)</f>
        <v>1317.8344542749273</v>
      </c>
      <c r="EJ83" s="161">
        <f>GEOMEAN(EJ$16:EJ$18)</f>
        <v>218.51325352879365</v>
      </c>
      <c r="EL83" s="161">
        <f>GEOMEAN(EL$16:EL$18)</f>
        <v>451.80671507219807</v>
      </c>
      <c r="EM83" s="161">
        <f>GEOMEAN(EM$16:EM$18)</f>
        <v>1352.1899161919323</v>
      </c>
      <c r="ES83" s="28">
        <f>GEOMEAN(ES16:ES18)</f>
        <v>3267.2784526571963</v>
      </c>
    </row>
    <row r="84" spans="3:149" x14ac:dyDescent="0.3">
      <c r="K84" s="34">
        <f>1-K83</f>
        <v>0.83815578569708249</v>
      </c>
      <c r="T84">
        <f>T83*K84</f>
        <v>0.73196771005489625</v>
      </c>
    </row>
    <row r="85" spans="3:149" x14ac:dyDescent="0.3">
      <c r="T85">
        <f>1-T84</f>
        <v>0.26803228994510375</v>
      </c>
    </row>
    <row r="86" spans="3:149" x14ac:dyDescent="0.3">
      <c r="DL86">
        <f>AVERAGE(DL68:DL77)</f>
        <v>218.5</v>
      </c>
      <c r="EC86" t="s">
        <v>301</v>
      </c>
    </row>
    <row r="87" spans="3:149" x14ac:dyDescent="0.3">
      <c r="DL87">
        <f>GEOMEAN(DL68:DL77)</f>
        <v>181.80554270063317</v>
      </c>
    </row>
  </sheetData>
  <mergeCells count="16">
    <mergeCell ref="AM3:AM6"/>
    <mergeCell ref="AN3:AN6"/>
    <mergeCell ref="AO3:AO6"/>
    <mergeCell ref="M4:N4"/>
    <mergeCell ref="B5:C5"/>
    <mergeCell ref="E5:F5"/>
    <mergeCell ref="G5:H5"/>
    <mergeCell ref="I5:J5"/>
    <mergeCell ref="K5:L5"/>
    <mergeCell ref="M5:N5"/>
    <mergeCell ref="K4:L4"/>
    <mergeCell ref="A4:A6"/>
    <mergeCell ref="B4:C4"/>
    <mergeCell ref="E4:F4"/>
    <mergeCell ref="G4:H4"/>
    <mergeCell ref="I4:J4"/>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2"/>
  <sheetViews>
    <sheetView workbookViewId="0">
      <pane xSplit="2" ySplit="4" topLeftCell="C5" activePane="bottomRight" state="frozen"/>
      <selection pane="topRight" activeCell="C1" sqref="C1"/>
      <selection pane="bottomLeft" activeCell="A5" sqref="A5"/>
      <selection pane="bottomRight" activeCell="E32" sqref="E32"/>
    </sheetView>
  </sheetViews>
  <sheetFormatPr defaultRowHeight="14.4" x14ac:dyDescent="0.3"/>
  <cols>
    <col min="1" max="1" width="8.88671875" customWidth="1"/>
    <col min="2" max="2" width="32.6640625" customWidth="1"/>
    <col min="3" max="3" width="11.21875" style="293" customWidth="1"/>
    <col min="4" max="4" width="1.77734375" style="293" customWidth="1"/>
    <col min="5" max="5" width="8.77734375" customWidth="1"/>
    <col min="6" max="6" width="9.88671875" bestFit="1" customWidth="1"/>
    <col min="8" max="8" width="2.33203125" customWidth="1"/>
    <col min="9" max="9" width="7.77734375" customWidth="1"/>
    <col min="10" max="10" width="9.88671875" bestFit="1" customWidth="1"/>
    <col min="12" max="12" width="3.33203125" customWidth="1"/>
    <col min="13" max="13" width="8.21875" customWidth="1"/>
    <col min="14" max="14" width="10.6640625" customWidth="1"/>
    <col min="16" max="16" width="2.88671875" customWidth="1"/>
    <col min="17" max="17" width="8.33203125" customWidth="1"/>
    <col min="18" max="18" width="11.109375" customWidth="1"/>
  </cols>
  <sheetData>
    <row r="1" spans="1:24" x14ac:dyDescent="0.3">
      <c r="C1" s="29">
        <f>Run!FA77</f>
        <v>1.1033544882208657</v>
      </c>
      <c r="F1" s="28"/>
      <c r="J1" s="28"/>
      <c r="K1" s="28"/>
      <c r="L1" s="28"/>
      <c r="M1" s="28"/>
      <c r="N1" s="28"/>
      <c r="O1" s="28"/>
      <c r="P1" s="28"/>
      <c r="Q1" s="28"/>
      <c r="R1" s="28"/>
    </row>
    <row r="2" spans="1:24" x14ac:dyDescent="0.3">
      <c r="J2" s="306"/>
      <c r="K2" s="306"/>
      <c r="L2" s="306"/>
      <c r="M2" s="306"/>
      <c r="N2" s="306"/>
      <c r="O2" s="306"/>
      <c r="P2" s="306"/>
      <c r="Q2" s="306"/>
      <c r="R2" s="306"/>
    </row>
    <row r="3" spans="1:24" x14ac:dyDescent="0.3">
      <c r="C3" s="22" t="s">
        <v>182</v>
      </c>
      <c r="D3" s="22"/>
      <c r="F3" t="s">
        <v>182</v>
      </c>
      <c r="J3" t="s">
        <v>7</v>
      </c>
      <c r="N3" t="s">
        <v>183</v>
      </c>
      <c r="R3" t="s">
        <v>9</v>
      </c>
    </row>
    <row r="4" spans="1:24" x14ac:dyDescent="0.3">
      <c r="E4" s="31" t="s">
        <v>402</v>
      </c>
      <c r="F4" s="17" t="s">
        <v>177</v>
      </c>
      <c r="G4" t="s">
        <v>118</v>
      </c>
      <c r="I4" s="31" t="s">
        <v>402</v>
      </c>
      <c r="J4" s="17" t="s">
        <v>177</v>
      </c>
      <c r="K4" t="s">
        <v>118</v>
      </c>
      <c r="M4" s="31" t="s">
        <v>402</v>
      </c>
      <c r="N4" s="17" t="s">
        <v>177</v>
      </c>
      <c r="O4" t="s">
        <v>118</v>
      </c>
      <c r="Q4" s="31" t="s">
        <v>402</v>
      </c>
      <c r="R4" s="17" t="s">
        <v>177</v>
      </c>
      <c r="S4" t="s">
        <v>118</v>
      </c>
    </row>
    <row r="5" spans="1:24" x14ac:dyDescent="0.3">
      <c r="B5" t="s">
        <v>403</v>
      </c>
      <c r="C5" s="302">
        <f>(C8-C7)*(1-E6)</f>
        <v>13600</v>
      </c>
      <c r="D5" s="301"/>
      <c r="F5" s="30">
        <f>C5</f>
        <v>13600</v>
      </c>
      <c r="J5" s="188">
        <f>Summary!Y79</f>
        <v>33500</v>
      </c>
      <c r="N5" s="188">
        <f>Summary!Z79</f>
        <v>98750</v>
      </c>
      <c r="R5" s="188">
        <f>Summary!AA79</f>
        <v>159500</v>
      </c>
      <c r="V5" s="306"/>
      <c r="W5" s="306"/>
      <c r="X5" s="306"/>
    </row>
    <row r="6" spans="1:24" x14ac:dyDescent="0.3">
      <c r="A6" t="s">
        <v>184</v>
      </c>
      <c r="B6" t="s">
        <v>114</v>
      </c>
      <c r="E6" s="304">
        <v>0.2</v>
      </c>
      <c r="F6" s="28">
        <f>F5/(1-E6)</f>
        <v>17000</v>
      </c>
      <c r="G6" s="28">
        <f>F6-F5</f>
        <v>3400</v>
      </c>
      <c r="I6" s="29">
        <f>$E6</f>
        <v>0.2</v>
      </c>
      <c r="J6" s="28">
        <f>J5/(1-I6)</f>
        <v>41875</v>
      </c>
      <c r="K6" s="28">
        <f>J6-J5</f>
        <v>8375</v>
      </c>
      <c r="M6" s="29">
        <f>$E6</f>
        <v>0.2</v>
      </c>
      <c r="N6" s="28">
        <f>N5/(1-M6)</f>
        <v>123437.5</v>
      </c>
      <c r="O6" s="28">
        <f>N6-N5</f>
        <v>24687.5</v>
      </c>
      <c r="Q6" s="29">
        <f>$E6</f>
        <v>0.2</v>
      </c>
      <c r="R6" s="28">
        <f>R5/(1-Q6)</f>
        <v>199375</v>
      </c>
      <c r="S6" s="28">
        <f>R6-R5</f>
        <v>39875</v>
      </c>
    </row>
    <row r="7" spans="1:24" x14ac:dyDescent="0.3">
      <c r="B7" t="s">
        <v>115</v>
      </c>
      <c r="C7" s="303">
        <f>Summary!AJ40</f>
        <v>600</v>
      </c>
      <c r="E7" s="34">
        <f>$C7/$C8</f>
        <v>3.4090909090909088E-2</v>
      </c>
      <c r="G7" s="28">
        <f>F8-F6</f>
        <v>600</v>
      </c>
      <c r="I7" s="34">
        <f>$C7/$C8</f>
        <v>3.4090909090909088E-2</v>
      </c>
      <c r="J7" s="293"/>
      <c r="K7" s="28">
        <f>J8-J6</f>
        <v>1477.9411764705874</v>
      </c>
      <c r="M7" s="113">
        <v>0.1</v>
      </c>
      <c r="N7" s="293"/>
      <c r="O7" s="28">
        <f>N8-N6</f>
        <v>13715.277777777781</v>
      </c>
      <c r="Q7" s="111">
        <v>0.15</v>
      </c>
      <c r="R7" s="293"/>
      <c r="S7" s="28">
        <f>R8-R6</f>
        <v>35183.823529411777</v>
      </c>
    </row>
    <row r="8" spans="1:24" x14ac:dyDescent="0.3">
      <c r="B8" s="216" t="s">
        <v>327</v>
      </c>
      <c r="C8" s="109">
        <f>Summary!AF61</f>
        <v>17600</v>
      </c>
      <c r="D8" s="28"/>
      <c r="E8" s="34"/>
      <c r="F8" s="30">
        <f>F6/(1-E7)</f>
        <v>17600</v>
      </c>
      <c r="G8" s="28"/>
      <c r="I8" s="34"/>
      <c r="J8" s="30">
        <f>J6/(1-I7)</f>
        <v>43352.941176470587</v>
      </c>
      <c r="K8" s="28"/>
      <c r="M8" s="34"/>
      <c r="N8" s="30">
        <f>N6/(1-M7)</f>
        <v>137152.77777777778</v>
      </c>
      <c r="O8" s="28"/>
      <c r="Q8" s="29"/>
      <c r="R8" s="30">
        <f>R6/(1-Q7)</f>
        <v>234558.82352941178</v>
      </c>
      <c r="S8" s="28"/>
    </row>
    <row r="9" spans="1:24" x14ac:dyDescent="0.3">
      <c r="B9" t="s">
        <v>401</v>
      </c>
      <c r="C9" s="28"/>
      <c r="D9" s="28"/>
      <c r="E9" s="305">
        <v>0.26876864618684471</v>
      </c>
      <c r="F9" s="28"/>
      <c r="G9" s="28">
        <f>F10-F8</f>
        <v>6468.9898049655603</v>
      </c>
      <c r="I9" s="29">
        <f>$E9</f>
        <v>0.26876864618684471</v>
      </c>
      <c r="J9" s="28"/>
      <c r="K9" s="28">
        <f>J10-J8</f>
        <v>15934.644004878406</v>
      </c>
      <c r="M9" s="29">
        <f>$E9</f>
        <v>0.26876864618684471</v>
      </c>
      <c r="N9" s="28"/>
      <c r="O9" s="28">
        <f>N10-N8</f>
        <v>50411.359157224535</v>
      </c>
      <c r="Q9" s="29">
        <f>$E9</f>
        <v>0.26876864618684471</v>
      </c>
      <c r="R9" s="28"/>
      <c r="S9" s="28">
        <f>R10-R8</f>
        <v>86213.558981618233</v>
      </c>
    </row>
    <row r="10" spans="1:24" s="293" customFormat="1" x14ac:dyDescent="0.3">
      <c r="C10" s="28">
        <f>C12-C11</f>
        <v>24068.7</v>
      </c>
      <c r="D10" s="28"/>
      <c r="E10" s="114"/>
      <c r="F10" s="28">
        <f>F8/(1-E9)</f>
        <v>24068.98980496556</v>
      </c>
      <c r="G10" s="28"/>
      <c r="I10" s="114"/>
      <c r="J10" s="28">
        <f>J8/(1-I9)</f>
        <v>59287.585181348994</v>
      </c>
      <c r="K10" s="28"/>
      <c r="M10" s="34"/>
      <c r="N10" s="28">
        <f>N8/(1-M9)</f>
        <v>187564.13693500232</v>
      </c>
      <c r="O10" s="28"/>
      <c r="Q10" s="34"/>
      <c r="R10" s="28">
        <f>R8/(1-Q9)</f>
        <v>320772.38251103001</v>
      </c>
      <c r="S10" s="28"/>
    </row>
    <row r="11" spans="1:24" x14ac:dyDescent="0.3">
      <c r="B11" t="s">
        <v>137</v>
      </c>
      <c r="C11" s="109">
        <f>Run!G80</f>
        <v>2869.7</v>
      </c>
      <c r="D11" s="28"/>
      <c r="E11" s="29">
        <f>$C11/$C12</f>
        <v>0.10652822736316929</v>
      </c>
      <c r="G11" s="28">
        <f>F12*E11</f>
        <v>2869.7345533123789</v>
      </c>
      <c r="I11" s="29">
        <f>$C11/$C12</f>
        <v>0.10652822736316929</v>
      </c>
      <c r="J11" s="293"/>
      <c r="K11" s="28">
        <f>J12*I11</f>
        <v>7068.8314364679927</v>
      </c>
      <c r="M11" s="113">
        <v>0.15</v>
      </c>
      <c r="N11" s="293"/>
      <c r="O11" s="28">
        <f>N12*M11</f>
        <v>33099.553576765116</v>
      </c>
      <c r="Q11" s="111">
        <v>0.2</v>
      </c>
      <c r="R11" s="293"/>
      <c r="S11" s="28">
        <f>R12*Q11</f>
        <v>80193.095627757502</v>
      </c>
    </row>
    <row r="12" spans="1:24" x14ac:dyDescent="0.3">
      <c r="B12" s="216" t="s">
        <v>328</v>
      </c>
      <c r="C12" s="109">
        <f>C15-C14</f>
        <v>26938.400000000001</v>
      </c>
      <c r="D12" s="28"/>
      <c r="E12" s="29"/>
      <c r="F12" s="30">
        <f>F10/(1-E11)</f>
        <v>26938.724358277937</v>
      </c>
      <c r="G12" s="28"/>
      <c r="I12" s="29"/>
      <c r="J12" s="30">
        <f>J10/(1-I11)</f>
        <v>66356.416617816983</v>
      </c>
      <c r="K12" s="28"/>
      <c r="M12" s="34"/>
      <c r="N12" s="30">
        <f>N10/(1-M11)</f>
        <v>220663.69051176743</v>
      </c>
      <c r="O12" s="28"/>
      <c r="Q12" s="29"/>
      <c r="R12" s="30">
        <f>R10/(1-Q11)</f>
        <v>400965.4781387875</v>
      </c>
      <c r="S12" s="28"/>
    </row>
    <row r="13" spans="1:24" x14ac:dyDescent="0.3">
      <c r="B13" t="s">
        <v>116</v>
      </c>
      <c r="E13" s="29">
        <v>0</v>
      </c>
      <c r="F13" s="28">
        <f>F12/(1-E13)</f>
        <v>26938.724358277937</v>
      </c>
      <c r="G13" s="28">
        <f>F13-F12</f>
        <v>0</v>
      </c>
      <c r="I13" s="29">
        <v>0</v>
      </c>
      <c r="J13" s="28">
        <f>J12/(1-I13)</f>
        <v>66356.416617816983</v>
      </c>
      <c r="K13" s="28">
        <f>J13-J12</f>
        <v>0</v>
      </c>
      <c r="M13" s="29">
        <v>0</v>
      </c>
      <c r="N13" s="28">
        <f>N12/(1-M13)</f>
        <v>220663.69051176743</v>
      </c>
      <c r="O13" s="28">
        <f>N13-N12</f>
        <v>0</v>
      </c>
      <c r="Q13" s="29">
        <v>0</v>
      </c>
      <c r="R13" s="28">
        <f>R12/(1-Q13)</f>
        <v>400965.4781387875</v>
      </c>
      <c r="S13" s="28">
        <f>R13-R12</f>
        <v>0</v>
      </c>
    </row>
    <row r="14" spans="1:24" x14ac:dyDescent="0.3">
      <c r="B14" t="s">
        <v>113</v>
      </c>
      <c r="C14" s="109">
        <f>Run!E80</f>
        <v>461.6</v>
      </c>
      <c r="D14" s="28"/>
      <c r="E14" s="29">
        <f>$C14/$C15</f>
        <v>1.6846715328467154E-2</v>
      </c>
      <c r="G14" s="28">
        <f>F15-F13</f>
        <v>461.60555800571456</v>
      </c>
      <c r="I14" s="29">
        <f>$C14/$C15</f>
        <v>1.6846715328467154E-2</v>
      </c>
      <c r="J14" s="293"/>
      <c r="K14" s="28">
        <f>J15-J13</f>
        <v>1137.0431024405407</v>
      </c>
      <c r="M14" s="113">
        <v>0.05</v>
      </c>
      <c r="N14" s="293"/>
      <c r="O14" s="28">
        <f>N15-N13</f>
        <v>11613.87844798778</v>
      </c>
      <c r="Q14" s="111">
        <v>0.09</v>
      </c>
      <c r="R14" s="293"/>
      <c r="S14" s="28">
        <f>R15-R13</f>
        <v>39655.926409330626</v>
      </c>
    </row>
    <row r="15" spans="1:24" x14ac:dyDescent="0.3">
      <c r="B15" t="s">
        <v>329</v>
      </c>
      <c r="C15" s="109">
        <f>Summary!AF53</f>
        <v>27400</v>
      </c>
      <c r="D15" s="28"/>
      <c r="E15" s="29"/>
      <c r="F15" s="30">
        <f>F13/(1-E14)</f>
        <v>27400.329916283652</v>
      </c>
      <c r="G15" s="28"/>
      <c r="I15" s="29"/>
      <c r="J15" s="30">
        <f>J13/(1-I14)</f>
        <v>67493.459720257524</v>
      </c>
      <c r="K15" s="28"/>
      <c r="M15" s="34"/>
      <c r="N15" s="30">
        <f>N13/(1-M14)</f>
        <v>232277.56895975521</v>
      </c>
      <c r="O15" s="28"/>
      <c r="Q15" s="29"/>
      <c r="R15" s="30">
        <f>R13/(1-Q14)</f>
        <v>440621.40454811812</v>
      </c>
      <c r="S15" s="28"/>
    </row>
    <row r="16" spans="1:24" x14ac:dyDescent="0.3">
      <c r="F16" s="28"/>
      <c r="J16" s="28"/>
      <c r="N16" s="28"/>
      <c r="O16" s="293"/>
      <c r="R16" s="28"/>
      <c r="S16" s="293"/>
    </row>
    <row r="17" spans="1:21" x14ac:dyDescent="0.3">
      <c r="B17" s="31" t="s">
        <v>178</v>
      </c>
      <c r="C17" s="28">
        <f>C14+C11+C7</f>
        <v>3931.2999999999997</v>
      </c>
      <c r="F17" s="28"/>
      <c r="G17" s="28">
        <f>G14+G11+G7</f>
        <v>3931.3401113180935</v>
      </c>
      <c r="J17" s="28"/>
      <c r="K17" s="28">
        <f>K14+K11+K7</f>
        <v>9683.8157153791217</v>
      </c>
      <c r="N17" s="28"/>
      <c r="O17" s="28">
        <f>O14+O11+O7</f>
        <v>58428.709802530677</v>
      </c>
      <c r="R17" s="28"/>
      <c r="S17" s="28">
        <f>S14+S11+S7</f>
        <v>155032.84556649992</v>
      </c>
    </row>
    <row r="18" spans="1:21" x14ac:dyDescent="0.3">
      <c r="B18" s="31" t="s">
        <v>179</v>
      </c>
      <c r="F18" s="28"/>
      <c r="G18" s="112">
        <f>G17/F15</f>
        <v>0.14347783852711021</v>
      </c>
      <c r="J18" s="28"/>
      <c r="K18" s="112">
        <f>K17/J15</f>
        <v>0.14347783852711016</v>
      </c>
      <c r="L18" s="112"/>
      <c r="M18" s="112"/>
      <c r="N18" s="28"/>
      <c r="O18" s="112">
        <f>O17/N15</f>
        <v>0.25154693182041238</v>
      </c>
      <c r="P18" s="112"/>
      <c r="Q18" s="112"/>
      <c r="R18" s="28"/>
      <c r="S18" s="112">
        <f>S17/R15</f>
        <v>0.35185046383639662</v>
      </c>
    </row>
    <row r="19" spans="1:21" x14ac:dyDescent="0.3">
      <c r="B19" s="31" t="s">
        <v>180</v>
      </c>
      <c r="F19" s="28"/>
      <c r="G19" s="26">
        <f>G9+G6</f>
        <v>9868.9898049655603</v>
      </c>
      <c r="J19" s="28"/>
      <c r="K19" s="26">
        <f>K9+K6</f>
        <v>24309.644004878406</v>
      </c>
      <c r="N19" s="28"/>
      <c r="O19" s="26">
        <f>O9+O6</f>
        <v>75098.859157224535</v>
      </c>
      <c r="R19" s="28"/>
      <c r="S19" s="26">
        <f>S9+S6</f>
        <v>126088.55898161823</v>
      </c>
    </row>
    <row r="20" spans="1:21" x14ac:dyDescent="0.3">
      <c r="B20" s="31" t="s">
        <v>181</v>
      </c>
      <c r="F20" s="28"/>
      <c r="G20" s="110">
        <f>G19/F15</f>
        <v>0.36017777286325853</v>
      </c>
      <c r="J20" s="28"/>
      <c r="K20" s="110">
        <f>K19/J15</f>
        <v>0.36017777286325858</v>
      </c>
      <c r="N20" s="28"/>
      <c r="O20" s="110">
        <f>O19/N15</f>
        <v>0.32331515907261921</v>
      </c>
      <c r="R20" s="28"/>
      <c r="S20" s="110">
        <f>S19/R15</f>
        <v>0.28616076677193902</v>
      </c>
    </row>
    <row r="22" spans="1:21" x14ac:dyDescent="0.3">
      <c r="B22" s="31" t="s">
        <v>185</v>
      </c>
      <c r="G22">
        <v>0.13500000000000001</v>
      </c>
      <c r="K22" s="32">
        <v>0.14000000000000001</v>
      </c>
      <c r="L22" s="32"/>
      <c r="M22" s="32"/>
      <c r="N22" s="32"/>
      <c r="O22" s="32">
        <v>0.25</v>
      </c>
      <c r="P22" s="32"/>
      <c r="Q22" s="32"/>
      <c r="R22" s="32"/>
      <c r="S22" s="32">
        <v>0.35</v>
      </c>
      <c r="U22" t="s">
        <v>187</v>
      </c>
    </row>
    <row r="23" spans="1:21" x14ac:dyDescent="0.3">
      <c r="B23" s="31"/>
    </row>
    <row r="24" spans="1:21" x14ac:dyDescent="0.3">
      <c r="B24" s="39" t="s">
        <v>403</v>
      </c>
      <c r="C24" s="28">
        <f>C27*(1-E26)*(1-E25)</f>
        <v>30982.860800000002</v>
      </c>
      <c r="F24" s="28">
        <f>(F27-G26)*(1-E25)</f>
        <v>30433.946046195582</v>
      </c>
      <c r="J24" s="28">
        <f>(J27-K26)*(1-I25)</f>
        <v>30433.946046195582</v>
      </c>
      <c r="K24" s="293"/>
      <c r="N24" s="28">
        <f>(N27-O26)*(1-M25)</f>
        <v>26029.630558616725</v>
      </c>
      <c r="O24" s="293"/>
      <c r="R24" s="28">
        <f>(R27-S26)*(1-Q25)</f>
        <v>23829.412623860018</v>
      </c>
      <c r="S24" s="293"/>
    </row>
    <row r="25" spans="1:21" x14ac:dyDescent="0.3">
      <c r="A25" t="s">
        <v>186</v>
      </c>
      <c r="B25" t="s">
        <v>114</v>
      </c>
      <c r="E25" s="304">
        <f>E6</f>
        <v>0.2</v>
      </c>
      <c r="F25" s="28"/>
      <c r="G25" s="28">
        <f>(F27-G26)*E25</f>
        <v>7608.4865115488956</v>
      </c>
      <c r="I25" s="29">
        <f>$E$25</f>
        <v>0.2</v>
      </c>
      <c r="J25" s="28"/>
      <c r="K25" s="28">
        <f>(J27-K26)*I25</f>
        <v>7608.4865115488956</v>
      </c>
      <c r="M25" s="29">
        <f>$E$25</f>
        <v>0.2</v>
      </c>
      <c r="N25" s="28"/>
      <c r="O25" s="28">
        <f>(N27-O26)*M25</f>
        <v>6507.4076396541814</v>
      </c>
      <c r="Q25" s="29">
        <f>$E$25</f>
        <v>0.2</v>
      </c>
      <c r="R25" s="28"/>
      <c r="S25" s="28">
        <f>(R27-S26)*Q25</f>
        <v>5957.3531559650046</v>
      </c>
    </row>
    <row r="26" spans="1:21" x14ac:dyDescent="0.3">
      <c r="B26" t="s">
        <v>115</v>
      </c>
      <c r="E26" s="310">
        <f>0.18*2</f>
        <v>0.36</v>
      </c>
      <c r="G26" s="28">
        <f>F27*E26</f>
        <v>21398.868313731269</v>
      </c>
      <c r="I26" s="308">
        <f>E26</f>
        <v>0.36</v>
      </c>
      <c r="J26" s="293"/>
      <c r="K26" s="28">
        <f>J27*I26</f>
        <v>21398.868313731269</v>
      </c>
      <c r="M26" s="113">
        <v>0.48</v>
      </c>
      <c r="N26" s="293"/>
      <c r="O26" s="28">
        <f>N27*M26</f>
        <v>30034.189106096219</v>
      </c>
      <c r="Q26" s="111">
        <v>0.56999999999999995</v>
      </c>
      <c r="R26" s="293"/>
      <c r="S26" s="28">
        <f>R27*Q26</f>
        <v>39484.782545349437</v>
      </c>
      <c r="U26" t="s">
        <v>189</v>
      </c>
    </row>
    <row r="27" spans="1:21" s="293" customFormat="1" x14ac:dyDescent="0.3">
      <c r="B27" s="216" t="s">
        <v>327</v>
      </c>
      <c r="C27" s="109">
        <f>Run!AN80</f>
        <v>60513.4</v>
      </c>
      <c r="E27" s="308"/>
      <c r="F27" s="30">
        <f>F29-G28</f>
        <v>59441.300871475745</v>
      </c>
      <c r="G27" s="28"/>
      <c r="I27" s="308"/>
      <c r="J27" s="30">
        <f>J29-K28</f>
        <v>59441.300871475745</v>
      </c>
      <c r="K27" s="28"/>
      <c r="L27" s="253"/>
      <c r="M27" s="308"/>
      <c r="N27" s="30">
        <f>N29-O28</f>
        <v>62571.227304367123</v>
      </c>
      <c r="O27" s="28"/>
      <c r="P27" s="253"/>
      <c r="Q27" s="309"/>
      <c r="R27" s="30">
        <f>R29-S28</f>
        <v>69271.548325174459</v>
      </c>
      <c r="S27" s="28"/>
    </row>
    <row r="28" spans="1:21" x14ac:dyDescent="0.3">
      <c r="B28" t="s">
        <v>405</v>
      </c>
      <c r="E28" s="304">
        <v>9.9003066134223258E-2</v>
      </c>
      <c r="F28" s="28"/>
      <c r="G28" s="28">
        <f>E28*F29</f>
        <v>6531.5106190579518</v>
      </c>
      <c r="I28" s="309">
        <f>E28</f>
        <v>9.9003066134223258E-2</v>
      </c>
      <c r="J28" s="28"/>
      <c r="K28" s="28">
        <f>I28*J29</f>
        <v>6531.5106190579518</v>
      </c>
      <c r="M28" s="29">
        <f>E28</f>
        <v>9.9003066134223258E-2</v>
      </c>
      <c r="N28" s="28"/>
      <c r="O28" s="28">
        <f>M28*N29</f>
        <v>6875.4322263172289</v>
      </c>
      <c r="Q28" s="29"/>
      <c r="R28" s="28"/>
      <c r="S28" s="28">
        <f>Q28*R29</f>
        <v>0</v>
      </c>
    </row>
    <row r="29" spans="1:21" x14ac:dyDescent="0.3">
      <c r="E29" s="29"/>
      <c r="F29" s="28">
        <f>F31-G30</f>
        <v>65972.811490533699</v>
      </c>
      <c r="G29" s="29"/>
      <c r="H29" s="29"/>
      <c r="I29" s="309"/>
      <c r="J29" s="28">
        <f>J31-K30</f>
        <v>65972.811490533699</v>
      </c>
      <c r="K29" s="29"/>
      <c r="L29" s="29"/>
      <c r="M29" s="29"/>
      <c r="N29" s="28">
        <f>N31-O30</f>
        <v>69446.659530684352</v>
      </c>
      <c r="O29" s="29"/>
      <c r="P29" s="29"/>
      <c r="Q29" s="29"/>
      <c r="R29" s="28">
        <f>R31-S30</f>
        <v>69271.548325174459</v>
      </c>
      <c r="S29" s="29"/>
    </row>
    <row r="30" spans="1:21" x14ac:dyDescent="0.3">
      <c r="B30" t="s">
        <v>404</v>
      </c>
      <c r="E30" s="304">
        <f>E11</f>
        <v>0.10652822736316929</v>
      </c>
      <c r="F30" s="28"/>
      <c r="G30" s="28">
        <f>E30*F31</f>
        <v>7865.9078859425108</v>
      </c>
      <c r="I30" s="309">
        <f>E30</f>
        <v>0.10652822736316929</v>
      </c>
      <c r="J30" s="28"/>
      <c r="K30" s="28">
        <f>I30*J31</f>
        <v>7865.9078859425108</v>
      </c>
      <c r="M30" s="113">
        <v>0.15</v>
      </c>
      <c r="N30" s="28"/>
      <c r="O30" s="28">
        <f>M30*N31</f>
        <v>12255.292858356061</v>
      </c>
      <c r="Q30" s="111">
        <v>0.2</v>
      </c>
      <c r="R30" s="28"/>
      <c r="S30" s="28">
        <f>Q30*R31</f>
        <v>17317.887081293615</v>
      </c>
    </row>
    <row r="31" spans="1:21" s="293" customFormat="1" x14ac:dyDescent="0.3">
      <c r="B31" s="216" t="s">
        <v>328</v>
      </c>
      <c r="C31" s="28">
        <f>F31</f>
        <v>73838.719376476205</v>
      </c>
      <c r="E31" s="307"/>
      <c r="F31" s="28">
        <f>F33-G32</f>
        <v>73838.719376476205</v>
      </c>
      <c r="G31" s="28"/>
      <c r="I31" s="308"/>
      <c r="J31" s="28">
        <f>J33-K32</f>
        <v>73838.719376476205</v>
      </c>
      <c r="K31" s="28"/>
      <c r="M31" s="308"/>
      <c r="N31" s="28">
        <f>N33-O32</f>
        <v>81701.952389040409</v>
      </c>
      <c r="O31" s="28"/>
      <c r="Q31" s="309"/>
      <c r="R31" s="28">
        <f>R33-S32</f>
        <v>86589.435406468067</v>
      </c>
      <c r="S31" s="28"/>
    </row>
    <row r="32" spans="1:21" x14ac:dyDescent="0.3">
      <c r="B32" t="s">
        <v>113</v>
      </c>
      <c r="E32" s="304">
        <v>0.121</v>
      </c>
      <c r="G32" s="28">
        <f>F33*E32</f>
        <v>10164.374339651446</v>
      </c>
      <c r="I32" s="309">
        <f>E32</f>
        <v>0.121</v>
      </c>
      <c r="J32" s="293"/>
      <c r="K32" s="28">
        <f>J33*I32</f>
        <v>10164.374339651446</v>
      </c>
      <c r="M32" s="113">
        <v>0.15</v>
      </c>
      <c r="N32" s="293"/>
      <c r="O32" s="28">
        <f>N33*M32</f>
        <v>14417.991598065955</v>
      </c>
      <c r="Q32" s="111">
        <v>0.2</v>
      </c>
      <c r="R32" s="293"/>
      <c r="S32" s="28">
        <f>R33*Q32</f>
        <v>21647.358851617017</v>
      </c>
    </row>
    <row r="33" spans="2:21" x14ac:dyDescent="0.3">
      <c r="B33" t="s">
        <v>329</v>
      </c>
      <c r="C33" s="109">
        <f>Run!D80</f>
        <v>85517.7</v>
      </c>
      <c r="D33" s="28"/>
      <c r="E33" s="29"/>
      <c r="F33" s="30">
        <f>F35*F34</f>
        <v>84003.093716127652</v>
      </c>
      <c r="G33" s="28"/>
      <c r="I33" s="308"/>
      <c r="J33" s="30">
        <f>J35*J34</f>
        <v>84003.093716127652</v>
      </c>
      <c r="K33" s="28"/>
      <c r="M33" s="34"/>
      <c r="N33" s="30">
        <f>N35*N34</f>
        <v>96119.943987106366</v>
      </c>
      <c r="O33" s="28"/>
      <c r="Q33" s="29"/>
      <c r="R33" s="30">
        <f>R35*R34</f>
        <v>108236.79425808508</v>
      </c>
      <c r="S33" s="28"/>
    </row>
    <row r="34" spans="2:21" x14ac:dyDescent="0.3">
      <c r="B34" t="s">
        <v>332</v>
      </c>
      <c r="C34" s="160">
        <f>C33/C35</f>
        <v>6.0584251354893551E-3</v>
      </c>
      <c r="E34" s="29"/>
      <c r="F34" s="112">
        <f>$C$34</f>
        <v>6.0584251354893551E-3</v>
      </c>
      <c r="G34" s="28"/>
      <c r="I34" s="34"/>
      <c r="J34" s="112">
        <f>$C$34</f>
        <v>6.0584251354893551E-3</v>
      </c>
      <c r="K34" s="28"/>
      <c r="M34" s="34"/>
      <c r="N34" s="112">
        <f>$C$34</f>
        <v>6.0584251354893551E-3</v>
      </c>
      <c r="O34" s="28"/>
      <c r="Q34" s="29"/>
      <c r="R34" s="112">
        <f>$C$34</f>
        <v>6.0584251354893551E-3</v>
      </c>
      <c r="S34" s="28"/>
    </row>
    <row r="35" spans="2:21" x14ac:dyDescent="0.3">
      <c r="B35" t="s">
        <v>331</v>
      </c>
      <c r="C35" s="109">
        <v>14115500</v>
      </c>
      <c r="E35" s="29"/>
      <c r="F35" s="109">
        <f>Summary!AI33</f>
        <v>13865500</v>
      </c>
      <c r="G35" s="28"/>
      <c r="I35" s="34"/>
      <c r="J35" s="109">
        <f>$F35</f>
        <v>13865500</v>
      </c>
      <c r="K35" s="28"/>
      <c r="M35" s="34"/>
      <c r="N35" s="109">
        <f>AVERAGE(J35,R35)</f>
        <v>15865500</v>
      </c>
      <c r="O35" s="28"/>
      <c r="Q35" s="29"/>
      <c r="R35" s="109">
        <f>Summary!AL33</f>
        <v>17865500</v>
      </c>
      <c r="S35" s="28"/>
    </row>
    <row r="36" spans="2:21" x14ac:dyDescent="0.3">
      <c r="F36" s="28"/>
      <c r="J36" s="28"/>
      <c r="N36" s="28"/>
      <c r="R36" s="28"/>
    </row>
    <row r="37" spans="2:21" x14ac:dyDescent="0.3">
      <c r="B37" s="31" t="s">
        <v>178</v>
      </c>
      <c r="F37" s="28"/>
      <c r="G37" s="28">
        <f>G26+G28+G30+G32</f>
        <v>45960.661158383184</v>
      </c>
      <c r="J37" s="28"/>
      <c r="K37" s="28">
        <f>K26+K28+K30+K32</f>
        <v>45960.661158383184</v>
      </c>
      <c r="N37" s="28"/>
      <c r="O37" s="28">
        <f>O26+O28+O30+O32</f>
        <v>63582.905788835458</v>
      </c>
      <c r="R37" s="28"/>
      <c r="S37" s="28">
        <f>S26+S28+S30+S32</f>
        <v>78450.028478260065</v>
      </c>
    </row>
    <row r="38" spans="2:21" x14ac:dyDescent="0.3">
      <c r="B38" s="31" t="s">
        <v>179</v>
      </c>
      <c r="F38" s="28"/>
      <c r="G38" s="32">
        <f>G37/F33</f>
        <v>0.54713057728205139</v>
      </c>
      <c r="J38" s="28"/>
      <c r="K38" s="112">
        <f>K37/J33</f>
        <v>0.54713057728205139</v>
      </c>
      <c r="L38" s="112"/>
      <c r="M38" s="112"/>
      <c r="N38" s="112"/>
      <c r="O38" s="112">
        <f>O37/N33</f>
        <v>0.66149545194662762</v>
      </c>
      <c r="P38" s="112"/>
      <c r="Q38" s="112"/>
      <c r="R38" s="112"/>
      <c r="S38" s="112">
        <f>S37/R33</f>
        <v>0.7248</v>
      </c>
      <c r="U38" t="s">
        <v>188</v>
      </c>
    </row>
    <row r="39" spans="2:21" x14ac:dyDescent="0.3">
      <c r="B39" s="31" t="s">
        <v>180</v>
      </c>
      <c r="F39" s="28"/>
      <c r="G39" s="26">
        <f>G28+G25</f>
        <v>14139.997130606847</v>
      </c>
      <c r="J39" s="28"/>
      <c r="K39" s="26">
        <f>K28+K25</f>
        <v>14139.997130606847</v>
      </c>
      <c r="N39" s="28"/>
      <c r="O39" s="26">
        <f>O28+O25</f>
        <v>13382.839865971411</v>
      </c>
      <c r="R39" s="28"/>
      <c r="S39" s="26">
        <f>S28+S25</f>
        <v>5957.3531559650046</v>
      </c>
    </row>
    <row r="40" spans="2:21" x14ac:dyDescent="0.3">
      <c r="B40" s="31" t="s">
        <v>181</v>
      </c>
      <c r="F40" s="28"/>
      <c r="G40" s="110">
        <f>G39/F33</f>
        <v>0.16832709969456908</v>
      </c>
      <c r="J40" s="28"/>
      <c r="K40" s="110">
        <f>K39/J33</f>
        <v>0.16832709969456908</v>
      </c>
      <c r="N40" s="28"/>
      <c r="O40" s="110">
        <f>O39/N33</f>
        <v>0.13923062489265078</v>
      </c>
      <c r="R40" s="28"/>
      <c r="S40" s="110">
        <f>S39/R33</f>
        <v>5.5040000000000019E-2</v>
      </c>
    </row>
    <row r="42" spans="2:21" x14ac:dyDescent="0.3">
      <c r="B42" s="31"/>
      <c r="K42" s="32"/>
      <c r="L42" s="32"/>
      <c r="M42" s="32"/>
      <c r="N42" s="32"/>
      <c r="O42" s="32"/>
      <c r="P42" s="32"/>
      <c r="Q42" s="32"/>
      <c r="R42" s="32"/>
      <c r="S42" s="32"/>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4D18-91A2-4393-B463-35CF53A9814F}">
  <dimension ref="A1"/>
  <sheetViews>
    <sheetView workbookViewId="0">
      <selection activeCell="N17" sqref="N17"/>
    </sheetView>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Documentation</vt:lpstr>
      <vt:lpstr>Natl Spnr</vt:lpstr>
      <vt:lpstr>Hatchery</vt:lpstr>
      <vt:lpstr>Harvest</vt:lpstr>
      <vt:lpstr>pHOS</vt:lpstr>
      <vt:lpstr>Run</vt:lpstr>
      <vt:lpstr>Conv</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Beamesderfer</dc:creator>
  <cp:lastModifiedBy>xxx</cp:lastModifiedBy>
  <cp:lastPrinted>2018-08-08T16:36:13Z</cp:lastPrinted>
  <dcterms:created xsi:type="dcterms:W3CDTF">2018-02-01T23:07:02Z</dcterms:created>
  <dcterms:modified xsi:type="dcterms:W3CDTF">2020-08-26T23:57:29Z</dcterms:modified>
</cp:coreProperties>
</file>