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beame\Documents\NMFS Columbia Basin\10. Quantitative goals\UCR Chinook fall\"/>
    </mc:Choice>
  </mc:AlternateContent>
  <xr:revisionPtr revIDLastSave="0" documentId="8_{F7A13232-DEF9-4F7D-A5B3-2233CEC0E73D}" xr6:coauthVersionLast="45" xr6:coauthVersionMax="45" xr10:uidLastSave="{00000000-0000-0000-0000-000000000000}"/>
  <bookViews>
    <workbookView xWindow="28680" yWindow="-120" windowWidth="29040" windowHeight="15840" xr2:uid="{00000000-000D-0000-FFFF-FFFF00000000}"/>
  </bookViews>
  <sheets>
    <sheet name="Summary" sheetId="1" r:id="rId1"/>
    <sheet name="Doc" sheetId="10" r:id="rId2"/>
    <sheet name="Conv" sheetId="12" r:id="rId3"/>
    <sheet name="HistoricAbund." sheetId="7" r:id="rId4"/>
    <sheet name="HarvestGoals" sheetId="8" r:id="rId5"/>
    <sheet name="Natl Spnr" sheetId="2" r:id="rId6"/>
    <sheet name="Fisheries" sheetId="3" r:id="rId7"/>
    <sheet name="Hatcheries" sheetId="4" r:id="rId8"/>
    <sheet name="HW" sheetId="6" r:id="rId9"/>
    <sheet name="Run" sheetId="5" r:id="rId10"/>
    <sheet name="Hanford" sheetId="9" r:id="rId11"/>
  </sheets>
  <definedNames>
    <definedName name="_Ref67714019" localSheetId="2">#REF!</definedName>
    <definedName name="_Ref67714019" localSheetId="4">#REF!</definedName>
    <definedName name="_Ref67714019" localSheetId="3">#REF!</definedName>
    <definedName name="_Ref67714019">#REF!</definedName>
    <definedName name="m_1055204979871780229__Toc522005281" localSheetId="9">Run!#REF!</definedName>
    <definedName name="solver_adj" localSheetId="2" hidden="1">Conv!$D$6</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Conv!$H$5</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87600</definedName>
    <definedName name="solver_ver" localSheetId="2" hidden="1">3</definedName>
  </definedNames>
  <calcPr calcId="18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4" i="1" l="1"/>
  <c r="T45" i="12"/>
  <c r="P45" i="12"/>
  <c r="AH15" i="1"/>
  <c r="AH14" i="1"/>
  <c r="AH13" i="1"/>
  <c r="AB18" i="1" l="1"/>
  <c r="X16" i="1" l="1"/>
  <c r="AC16" i="1"/>
  <c r="AC12" i="1"/>
  <c r="AJ39" i="5" l="1"/>
  <c r="AM39" i="5"/>
  <c r="T5" i="1" s="1"/>
  <c r="AB5" i="1" s="1"/>
  <c r="C1" i="12"/>
  <c r="C14" i="12" s="1"/>
  <c r="H14" i="12" s="1"/>
  <c r="D7" i="12"/>
  <c r="D34" i="12" s="1"/>
  <c r="D10" i="12"/>
  <c r="D13" i="12"/>
  <c r="D40" i="12" s="1"/>
  <c r="T42" i="1"/>
  <c r="C10" i="12" l="1"/>
  <c r="C40" i="12"/>
  <c r="C34" i="12"/>
  <c r="C13" i="12"/>
  <c r="C7" i="12"/>
  <c r="C37" i="12"/>
  <c r="W34" i="12"/>
  <c r="T50" i="1" l="1"/>
  <c r="T47" i="1"/>
  <c r="C5" i="12" s="1"/>
  <c r="AN38" i="5"/>
  <c r="T48" i="1" s="1"/>
  <c r="C32" i="12" s="1"/>
  <c r="H38" i="5"/>
  <c r="C11" i="12" s="1"/>
  <c r="T34" i="1"/>
  <c r="T57" i="1"/>
  <c r="T53" i="1"/>
  <c r="T45" i="1"/>
  <c r="T44" i="1" s="1"/>
  <c r="T41" i="1"/>
  <c r="T37" i="1"/>
  <c r="X28" i="1"/>
  <c r="X27" i="1"/>
  <c r="X26" i="1"/>
  <c r="X25" i="1"/>
  <c r="U28" i="1"/>
  <c r="C45" i="3"/>
  <c r="C44" i="3"/>
  <c r="C43" i="3"/>
  <c r="C42" i="3"/>
  <c r="U27" i="1"/>
  <c r="U26" i="1"/>
  <c r="U25" i="1"/>
  <c r="AU4" i="5"/>
  <c r="AU35" i="5"/>
  <c r="AU34" i="5"/>
  <c r="AU33" i="5"/>
  <c r="AU32" i="5"/>
  <c r="AU31" i="5"/>
  <c r="AU30" i="5"/>
  <c r="AU29" i="5"/>
  <c r="AU28" i="5"/>
  <c r="AU27" i="5"/>
  <c r="AU26" i="5"/>
  <c r="AU25" i="5"/>
  <c r="AU24" i="5"/>
  <c r="AU23" i="5"/>
  <c r="AU22" i="5"/>
  <c r="AU21" i="5"/>
  <c r="AU20" i="5"/>
  <c r="AU19" i="5"/>
  <c r="AU18" i="5"/>
  <c r="AU17" i="5"/>
  <c r="AU16" i="5"/>
  <c r="AU15" i="5"/>
  <c r="AU14" i="5"/>
  <c r="AU13" i="5"/>
  <c r="AU12" i="5"/>
  <c r="AU11" i="5"/>
  <c r="AU10" i="5"/>
  <c r="AU9" i="5"/>
  <c r="AU8" i="5"/>
  <c r="AU7" i="5"/>
  <c r="AU6" i="5"/>
  <c r="AU5" i="5"/>
  <c r="T43" i="1" l="1"/>
  <c r="C8" i="12" s="1"/>
  <c r="C35" i="12"/>
  <c r="C46" i="3"/>
  <c r="T38" i="1"/>
  <c r="T40" i="1" s="1"/>
  <c r="U30" i="1"/>
  <c r="D19" i="12" s="1"/>
  <c r="T36" i="1"/>
  <c r="C41" i="12" s="1"/>
  <c r="H41" i="12" s="1"/>
  <c r="T52" i="1"/>
  <c r="T46" i="1"/>
  <c r="T49" i="1" s="1"/>
  <c r="T39" i="1" l="1"/>
  <c r="C38" i="12"/>
  <c r="T51" i="1"/>
  <c r="C18" i="12" s="1"/>
  <c r="C48" i="12"/>
  <c r="M23" i="12"/>
  <c r="M53" i="12" s="1"/>
  <c r="Y23" i="12"/>
  <c r="Y53" i="12" s="1"/>
  <c r="U23" i="12"/>
  <c r="U53" i="12" s="1"/>
  <c r="Q23" i="12"/>
  <c r="Q53" i="12" s="1"/>
  <c r="T35" i="1"/>
  <c r="C49" i="3"/>
  <c r="AO71" i="3"/>
  <c r="AN71" i="3"/>
  <c r="AM71" i="3"/>
  <c r="AL71" i="3"/>
  <c r="E45" i="3" s="1"/>
  <c r="E49" i="3" s="1"/>
  <c r="AK71" i="3"/>
  <c r="AJ71" i="3"/>
  <c r="AI71" i="3"/>
  <c r="AH71" i="3"/>
  <c r="AG71" i="3"/>
  <c r="AF71" i="3"/>
  <c r="AE71" i="3"/>
  <c r="AD71" i="3"/>
  <c r="AC71" i="3"/>
  <c r="AB71" i="3"/>
  <c r="AA71" i="3"/>
  <c r="Z71" i="3"/>
  <c r="Y71" i="3"/>
  <c r="E41" i="3" s="1"/>
  <c r="D41" i="3" s="1"/>
  <c r="T24" i="1" s="1"/>
  <c r="X71" i="3"/>
  <c r="W71" i="3"/>
  <c r="V71" i="3"/>
  <c r="U71" i="3"/>
  <c r="T71" i="3"/>
  <c r="S71" i="3"/>
  <c r="R71" i="3"/>
  <c r="Q71" i="3"/>
  <c r="P71" i="3"/>
  <c r="O71" i="3"/>
  <c r="N71" i="3"/>
  <c r="M71" i="3"/>
  <c r="E39" i="3" s="1"/>
  <c r="L71" i="3"/>
  <c r="E40" i="3" l="1"/>
  <c r="D40" i="3" s="1"/>
  <c r="AP71" i="3"/>
  <c r="D39" i="3"/>
  <c r="D48" i="3" s="1"/>
  <c r="E48" i="3"/>
  <c r="E46" i="3"/>
  <c r="T23" i="1"/>
  <c r="T22" i="1" l="1"/>
  <c r="D42" i="3"/>
  <c r="D43" i="3"/>
  <c r="D44" i="3"/>
  <c r="D45" i="3"/>
  <c r="T54" i="12"/>
  <c r="S34" i="12" s="1"/>
  <c r="S40" i="12"/>
  <c r="D39" i="12"/>
  <c r="O39" i="12" s="1"/>
  <c r="D36" i="12"/>
  <c r="W36" i="12" s="1"/>
  <c r="D33" i="12"/>
  <c r="O33" i="12" s="1"/>
  <c r="W12" i="12"/>
  <c r="S12" i="12"/>
  <c r="O12" i="12"/>
  <c r="K12" i="12"/>
  <c r="E12" i="12"/>
  <c r="E10" i="12"/>
  <c r="W9" i="12"/>
  <c r="S9" i="12"/>
  <c r="O9" i="12"/>
  <c r="K9" i="12"/>
  <c r="E9" i="12"/>
  <c r="K7" i="12"/>
  <c r="W6" i="12"/>
  <c r="S6" i="12"/>
  <c r="O6" i="12"/>
  <c r="K6" i="12"/>
  <c r="E6" i="12"/>
  <c r="E39" i="12" l="1"/>
  <c r="D49" i="3"/>
  <c r="K39" i="12"/>
  <c r="AA22" i="1"/>
  <c r="D15" i="12"/>
  <c r="W39" i="12"/>
  <c r="D46" i="3"/>
  <c r="W33" i="12"/>
  <c r="E33" i="12"/>
  <c r="K33" i="12"/>
  <c r="S36" i="12"/>
  <c r="O10" i="12"/>
  <c r="W10" i="12"/>
  <c r="E13" i="12"/>
  <c r="W13" i="12"/>
  <c r="O13" i="12"/>
  <c r="K13" i="12"/>
  <c r="S13" i="12"/>
  <c r="E34" i="12"/>
  <c r="O34" i="12"/>
  <c r="W40" i="12"/>
  <c r="O40" i="12"/>
  <c r="E40" i="12"/>
  <c r="W7" i="12"/>
  <c r="O7" i="12"/>
  <c r="S7" i="12"/>
  <c r="E7" i="12"/>
  <c r="K34" i="12"/>
  <c r="K40" i="12"/>
  <c r="O36" i="12"/>
  <c r="K10" i="12"/>
  <c r="S10" i="12"/>
  <c r="S33" i="12"/>
  <c r="E36" i="12"/>
  <c r="K36" i="12"/>
  <c r="D37" i="12"/>
  <c r="S39" i="12"/>
  <c r="H24" i="2"/>
  <c r="O15" i="12" l="1"/>
  <c r="D42" i="12"/>
  <c r="S15" i="12"/>
  <c r="W15" i="12"/>
  <c r="K15" i="12"/>
  <c r="F40" i="12"/>
  <c r="F39" i="12" s="1"/>
  <c r="H39" i="12"/>
  <c r="I40" i="12" s="1"/>
  <c r="E37" i="12"/>
  <c r="S37" i="12"/>
  <c r="K37" i="12"/>
  <c r="O37" i="12"/>
  <c r="W37" i="12"/>
  <c r="F13" i="12"/>
  <c r="F12" i="12" s="1"/>
  <c r="F10" i="12" s="1"/>
  <c r="F9" i="12" s="1"/>
  <c r="F7" i="12" s="1"/>
  <c r="F6" i="12" s="1"/>
  <c r="H12" i="12"/>
  <c r="W42" i="12" l="1"/>
  <c r="S42" i="12"/>
  <c r="K42" i="12"/>
  <c r="O42" i="12"/>
  <c r="F37" i="12"/>
  <c r="F36" i="12" s="1"/>
  <c r="F34" i="12" s="1"/>
  <c r="F33" i="12" s="1"/>
  <c r="H11" i="12"/>
  <c r="I13" i="12"/>
  <c r="H38" i="12"/>
  <c r="F19" i="10"/>
  <c r="F15" i="10"/>
  <c r="F12" i="10"/>
  <c r="F11" i="10"/>
  <c r="F9" i="10"/>
  <c r="F8" i="10"/>
  <c r="F7" i="10"/>
  <c r="F4" i="10"/>
  <c r="F3" i="10"/>
  <c r="F18" i="10"/>
  <c r="F14" i="10"/>
  <c r="F10" i="10"/>
  <c r="F6" i="10"/>
  <c r="I39" i="12" l="1"/>
  <c r="H36" i="12"/>
  <c r="H9" i="12"/>
  <c r="I10" i="12" s="1"/>
  <c r="I12" i="12"/>
  <c r="K31" i="9"/>
  <c r="L54" i="9"/>
  <c r="K54" i="9"/>
  <c r="G54" i="9"/>
  <c r="B54" i="9"/>
  <c r="L52" i="9"/>
  <c r="K52" i="9"/>
  <c r="I52" i="9"/>
  <c r="H52" i="9"/>
  <c r="B52" i="9"/>
  <c r="L51" i="9"/>
  <c r="K51" i="9"/>
  <c r="J51" i="9"/>
  <c r="I51" i="9"/>
  <c r="H51" i="9"/>
  <c r="B51" i="9"/>
  <c r="L50" i="9"/>
  <c r="K50" i="9"/>
  <c r="I50" i="9"/>
  <c r="H50" i="9"/>
  <c r="B50" i="9"/>
  <c r="L49" i="9"/>
  <c r="K49" i="9"/>
  <c r="J49" i="9"/>
  <c r="I49" i="9"/>
  <c r="H49" i="9"/>
  <c r="G49" i="9"/>
  <c r="B49" i="9"/>
  <c r="L48" i="9"/>
  <c r="K48" i="9"/>
  <c r="J48" i="9"/>
  <c r="I48" i="9"/>
  <c r="H48" i="9"/>
  <c r="G48" i="9"/>
  <c r="B48" i="9"/>
  <c r="L47" i="9"/>
  <c r="K47" i="9"/>
  <c r="J47" i="9"/>
  <c r="I47" i="9"/>
  <c r="H47" i="9"/>
  <c r="G47" i="9"/>
  <c r="B47" i="9"/>
  <c r="L46" i="9"/>
  <c r="K46" i="9"/>
  <c r="J46" i="9"/>
  <c r="I46" i="9"/>
  <c r="H46" i="9"/>
  <c r="G46" i="9"/>
  <c r="B46" i="9"/>
  <c r="L45" i="9"/>
  <c r="K45" i="9"/>
  <c r="J45" i="9"/>
  <c r="I45" i="9"/>
  <c r="H45" i="9"/>
  <c r="G45" i="9"/>
  <c r="B45" i="9"/>
  <c r="L44" i="9"/>
  <c r="K44" i="9"/>
  <c r="I44" i="9"/>
  <c r="H44" i="9"/>
  <c r="G44" i="9"/>
  <c r="B44" i="9"/>
  <c r="L43" i="9"/>
  <c r="K43" i="9"/>
  <c r="I43" i="9"/>
  <c r="H43" i="9"/>
  <c r="G43" i="9"/>
  <c r="B43" i="9"/>
  <c r="M42" i="9"/>
  <c r="L42" i="9"/>
  <c r="K42" i="9"/>
  <c r="J42" i="9"/>
  <c r="I42" i="9"/>
  <c r="H42" i="9"/>
  <c r="G42" i="9"/>
  <c r="B42" i="9"/>
  <c r="N41" i="9"/>
  <c r="L41" i="9"/>
  <c r="K41" i="9"/>
  <c r="J41" i="9"/>
  <c r="I41" i="9"/>
  <c r="H41" i="9"/>
  <c r="G41" i="9"/>
  <c r="B41" i="9"/>
  <c r="M40" i="9"/>
  <c r="L40" i="9"/>
  <c r="K40" i="9"/>
  <c r="I40" i="9"/>
  <c r="H40" i="9"/>
  <c r="G40" i="9"/>
  <c r="B40" i="9"/>
  <c r="M39" i="9"/>
  <c r="L39" i="9"/>
  <c r="K39" i="9"/>
  <c r="J39" i="9"/>
  <c r="I39" i="9"/>
  <c r="H39" i="9"/>
  <c r="G39" i="9"/>
  <c r="B39" i="9"/>
  <c r="M38" i="9"/>
  <c r="L38" i="9"/>
  <c r="K38" i="9"/>
  <c r="G38" i="9"/>
  <c r="B38" i="9"/>
  <c r="M37" i="9"/>
  <c r="L37" i="9"/>
  <c r="K37" i="9"/>
  <c r="J37" i="9"/>
  <c r="I37" i="9"/>
  <c r="H37" i="9"/>
  <c r="G37" i="9"/>
  <c r="B37" i="9"/>
  <c r="P36" i="9"/>
  <c r="M36" i="9"/>
  <c r="L36" i="9"/>
  <c r="K36" i="9"/>
  <c r="J36" i="9"/>
  <c r="I36" i="9"/>
  <c r="H36" i="9"/>
  <c r="G36" i="9"/>
  <c r="D36" i="9"/>
  <c r="B36" i="9"/>
  <c r="L35" i="9"/>
  <c r="K35" i="9"/>
  <c r="J35" i="9"/>
  <c r="I35" i="9"/>
  <c r="H35" i="9"/>
  <c r="G35" i="9"/>
  <c r="B35" i="9"/>
  <c r="H31" i="9"/>
  <c r="F2" i="10" s="1"/>
  <c r="L29" i="9"/>
  <c r="K29" i="9"/>
  <c r="I29" i="9"/>
  <c r="H29" i="9"/>
  <c r="L28" i="9"/>
  <c r="K28" i="9"/>
  <c r="I28" i="9"/>
  <c r="H28" i="9"/>
  <c r="L27" i="9"/>
  <c r="K27" i="9"/>
  <c r="I27" i="9"/>
  <c r="H27" i="9"/>
  <c r="P26" i="9"/>
  <c r="P35" i="9" s="1"/>
  <c r="O26" i="9"/>
  <c r="O35" i="9" s="1"/>
  <c r="N26" i="9"/>
  <c r="N35" i="9" s="1"/>
  <c r="M26" i="9"/>
  <c r="M35" i="9" s="1"/>
  <c r="D26" i="9"/>
  <c r="D35" i="9" s="1"/>
  <c r="C26" i="9"/>
  <c r="C35" i="9" s="1"/>
  <c r="P25" i="9"/>
  <c r="O25" i="9"/>
  <c r="O36" i="9" s="1"/>
  <c r="N25" i="9"/>
  <c r="N36" i="9" s="1"/>
  <c r="E25" i="9"/>
  <c r="E36" i="9" s="1"/>
  <c r="D25" i="9"/>
  <c r="C25" i="9"/>
  <c r="C36" i="9" s="1"/>
  <c r="P24" i="9"/>
  <c r="P37" i="9" s="1"/>
  <c r="O24" i="9"/>
  <c r="O37" i="9" s="1"/>
  <c r="N24" i="9"/>
  <c r="N37" i="9" s="1"/>
  <c r="D24" i="9"/>
  <c r="D37" i="9" s="1"/>
  <c r="C24" i="9"/>
  <c r="C37" i="9" s="1"/>
  <c r="P23" i="9"/>
  <c r="P38" i="9" s="1"/>
  <c r="O23" i="9"/>
  <c r="O38" i="9" s="1"/>
  <c r="N23" i="9"/>
  <c r="N38" i="9" s="1"/>
  <c r="D23" i="9"/>
  <c r="D38" i="9" s="1"/>
  <c r="C23" i="9"/>
  <c r="C38" i="9" s="1"/>
  <c r="P22" i="9"/>
  <c r="P39" i="9" s="1"/>
  <c r="O22" i="9"/>
  <c r="O39" i="9" s="1"/>
  <c r="N22" i="9"/>
  <c r="N39" i="9" s="1"/>
  <c r="D22" i="9"/>
  <c r="D39" i="9" s="1"/>
  <c r="C22" i="9"/>
  <c r="C39" i="9" s="1"/>
  <c r="O21" i="9"/>
  <c r="O40" i="9" s="1"/>
  <c r="N21" i="9"/>
  <c r="N40" i="9" s="1"/>
  <c r="J21" i="9"/>
  <c r="J40" i="9" s="1"/>
  <c r="D21" i="9"/>
  <c r="C21" i="9"/>
  <c r="C40" i="9" s="1"/>
  <c r="P20" i="9"/>
  <c r="P41" i="9" s="1"/>
  <c r="O20" i="9"/>
  <c r="O41" i="9" s="1"/>
  <c r="N20" i="9"/>
  <c r="M20" i="9"/>
  <c r="M41" i="9" s="1"/>
  <c r="D20" i="9"/>
  <c r="D41" i="9" s="1"/>
  <c r="C20" i="9"/>
  <c r="C41" i="9" s="1"/>
  <c r="P19" i="9"/>
  <c r="P42" i="9" s="1"/>
  <c r="O19" i="9"/>
  <c r="N19" i="9"/>
  <c r="N42" i="9" s="1"/>
  <c r="D19" i="9"/>
  <c r="D42" i="9" s="1"/>
  <c r="C19" i="9"/>
  <c r="C42" i="9" s="1"/>
  <c r="O18" i="9"/>
  <c r="O43" i="9" s="1"/>
  <c r="N18" i="9"/>
  <c r="N43" i="9" s="1"/>
  <c r="M18" i="9"/>
  <c r="J18" i="9"/>
  <c r="J43" i="9" s="1"/>
  <c r="D18" i="9"/>
  <c r="C18" i="9"/>
  <c r="C43" i="9" s="1"/>
  <c r="O17" i="9"/>
  <c r="O44" i="9" s="1"/>
  <c r="N17" i="9"/>
  <c r="N44" i="9" s="1"/>
  <c r="M17" i="9"/>
  <c r="J17" i="9"/>
  <c r="J44" i="9" s="1"/>
  <c r="D17" i="9"/>
  <c r="D44" i="9" s="1"/>
  <c r="C17" i="9"/>
  <c r="O16" i="9"/>
  <c r="O45" i="9" s="1"/>
  <c r="N16" i="9"/>
  <c r="N45" i="9" s="1"/>
  <c r="M16" i="9"/>
  <c r="P16" i="9" s="1"/>
  <c r="P45" i="9" s="1"/>
  <c r="D16" i="9"/>
  <c r="C16" i="9"/>
  <c r="C45" i="9" s="1"/>
  <c r="O15" i="9"/>
  <c r="O46" i="9" s="1"/>
  <c r="N15" i="9"/>
  <c r="N46" i="9" s="1"/>
  <c r="M15" i="9"/>
  <c r="M46" i="9" s="1"/>
  <c r="D15" i="9"/>
  <c r="D46" i="9" s="1"/>
  <c r="C15" i="9"/>
  <c r="C46" i="9" s="1"/>
  <c r="O14" i="9"/>
  <c r="O47" i="9" s="1"/>
  <c r="N14" i="9"/>
  <c r="N47" i="9" s="1"/>
  <c r="M14" i="9"/>
  <c r="M47" i="9" s="1"/>
  <c r="D14" i="9"/>
  <c r="D47" i="9" s="1"/>
  <c r="C14" i="9"/>
  <c r="C47" i="9" s="1"/>
  <c r="O13" i="9"/>
  <c r="N13" i="9"/>
  <c r="N48" i="9" s="1"/>
  <c r="M13" i="9"/>
  <c r="M48" i="9" s="1"/>
  <c r="D13" i="9"/>
  <c r="D48" i="9" s="1"/>
  <c r="C13" i="9"/>
  <c r="C48" i="9" s="1"/>
  <c r="O12" i="9"/>
  <c r="O49" i="9" s="1"/>
  <c r="N12" i="9"/>
  <c r="N49" i="9" s="1"/>
  <c r="M12" i="9"/>
  <c r="D12" i="9"/>
  <c r="D49" i="9" s="1"/>
  <c r="C12" i="9"/>
  <c r="C49" i="9" s="1"/>
  <c r="O11" i="9"/>
  <c r="O50" i="9" s="1"/>
  <c r="N11" i="9"/>
  <c r="N50" i="9" s="1"/>
  <c r="M11" i="9"/>
  <c r="M50" i="9" s="1"/>
  <c r="J11" i="9"/>
  <c r="D11" i="9"/>
  <c r="C11" i="9"/>
  <c r="C50" i="9" s="1"/>
  <c r="P10" i="9"/>
  <c r="P53" i="9" s="1"/>
  <c r="O10" i="9"/>
  <c r="O53" i="9" s="1"/>
  <c r="N10" i="9"/>
  <c r="N51" i="9" s="1"/>
  <c r="M10" i="9"/>
  <c r="M51" i="9" s="1"/>
  <c r="D10" i="9"/>
  <c r="D51" i="9" s="1"/>
  <c r="C10" i="9"/>
  <c r="C53" i="9" s="1"/>
  <c r="O9" i="9"/>
  <c r="O52" i="9" s="1"/>
  <c r="N9" i="9"/>
  <c r="N52" i="9" s="1"/>
  <c r="M9" i="9"/>
  <c r="M52" i="9" s="1"/>
  <c r="J9" i="9"/>
  <c r="D9" i="9"/>
  <c r="D52" i="9" s="1"/>
  <c r="C9" i="9"/>
  <c r="C52" i="9" s="1"/>
  <c r="O8" i="9"/>
  <c r="N8" i="9"/>
  <c r="M8" i="9"/>
  <c r="J8" i="9"/>
  <c r="D8" i="9"/>
  <c r="C8" i="9"/>
  <c r="O7" i="9"/>
  <c r="O54" i="9" s="1"/>
  <c r="N7" i="9"/>
  <c r="N54" i="9" s="1"/>
  <c r="M7" i="9"/>
  <c r="M54" i="9" s="1"/>
  <c r="J7" i="9"/>
  <c r="D7" i="9"/>
  <c r="D54" i="9" s="1"/>
  <c r="C7" i="9"/>
  <c r="C54" i="9" s="1"/>
  <c r="E8" i="9" l="1"/>
  <c r="P8" i="9"/>
  <c r="P13" i="9"/>
  <c r="P48" i="9" s="1"/>
  <c r="J29" i="9"/>
  <c r="P17" i="9"/>
  <c r="P44" i="9" s="1"/>
  <c r="E18" i="9"/>
  <c r="E43" i="9" s="1"/>
  <c r="E20" i="9"/>
  <c r="E41" i="9" s="1"/>
  <c r="E9" i="9"/>
  <c r="E52" i="9" s="1"/>
  <c r="E7" i="9"/>
  <c r="E54" i="9" s="1"/>
  <c r="P7" i="9"/>
  <c r="P54" i="9" s="1"/>
  <c r="P11" i="9"/>
  <c r="P50" i="9" s="1"/>
  <c r="P14" i="9"/>
  <c r="P47" i="9" s="1"/>
  <c r="H35" i="12"/>
  <c r="H8" i="12"/>
  <c r="I37" i="12"/>
  <c r="O28" i="9"/>
  <c r="E10" i="9"/>
  <c r="E51" i="9" s="1"/>
  <c r="E12" i="9"/>
  <c r="E49" i="9" s="1"/>
  <c r="O27" i="9"/>
  <c r="E16" i="9"/>
  <c r="E45" i="9" s="1"/>
  <c r="C31" i="9"/>
  <c r="E23" i="9"/>
  <c r="E38" i="9" s="1"/>
  <c r="D45" i="9"/>
  <c r="O48" i="9"/>
  <c r="M29" i="9"/>
  <c r="M28" i="9"/>
  <c r="E21" i="9"/>
  <c r="E40" i="9" s="1"/>
  <c r="D28" i="9"/>
  <c r="D43" i="9"/>
  <c r="O51" i="9"/>
  <c r="P9" i="9"/>
  <c r="P52" i="9" s="1"/>
  <c r="E11" i="9"/>
  <c r="E50" i="9" s="1"/>
  <c r="E15" i="9"/>
  <c r="E46" i="9" s="1"/>
  <c r="P15" i="9"/>
  <c r="P46" i="9" s="1"/>
  <c r="E22" i="9"/>
  <c r="E39" i="9" s="1"/>
  <c r="J52" i="9"/>
  <c r="D53" i="9"/>
  <c r="N31" i="9"/>
  <c r="J27" i="9"/>
  <c r="N28" i="9"/>
  <c r="D29" i="9"/>
  <c r="N29" i="9"/>
  <c r="O42" i="9"/>
  <c r="M43" i="9"/>
  <c r="M49" i="9"/>
  <c r="E14" i="9"/>
  <c r="O29" i="9"/>
  <c r="P51" i="9"/>
  <c r="E53" i="9"/>
  <c r="E13" i="9"/>
  <c r="E48" i="9" s="1"/>
  <c r="E17" i="9"/>
  <c r="E44" i="9" s="1"/>
  <c r="E19" i="9"/>
  <c r="E42" i="9" s="1"/>
  <c r="E24" i="9"/>
  <c r="E37" i="9" s="1"/>
  <c r="E26" i="9"/>
  <c r="E35" i="9" s="1"/>
  <c r="D40" i="9"/>
  <c r="M44" i="9"/>
  <c r="D50" i="9"/>
  <c r="J50" i="9"/>
  <c r="C51" i="9"/>
  <c r="N53" i="9"/>
  <c r="D27" i="9"/>
  <c r="N27" i="9"/>
  <c r="J28" i="9"/>
  <c r="M45" i="9"/>
  <c r="C44" i="9"/>
  <c r="P12" i="9"/>
  <c r="P18" i="9"/>
  <c r="P21" i="9"/>
  <c r="P40" i="9" s="1"/>
  <c r="C27" i="9"/>
  <c r="M27" i="9"/>
  <c r="C28" i="9"/>
  <c r="C29" i="9"/>
  <c r="U9" i="1"/>
  <c r="H6" i="12" l="1"/>
  <c r="I9" i="12"/>
  <c r="H33" i="12"/>
  <c r="I36" i="12"/>
  <c r="P43" i="9"/>
  <c r="P28" i="9"/>
  <c r="P49" i="9"/>
  <c r="P29" i="9"/>
  <c r="P27" i="9"/>
  <c r="E47" i="9"/>
  <c r="E28" i="9"/>
  <c r="E29" i="9"/>
  <c r="E27" i="9"/>
  <c r="H32" i="12" l="1"/>
  <c r="L32" i="12" s="1"/>
  <c r="L33" i="12" s="1"/>
  <c r="I34" i="12"/>
  <c r="I48" i="12" s="1"/>
  <c r="H5" i="12"/>
  <c r="L5" i="12" s="1"/>
  <c r="I7" i="12"/>
  <c r="I18" i="12" s="1"/>
  <c r="W22" i="1"/>
  <c r="D28" i="1"/>
  <c r="J21" i="2"/>
  <c r="I22" i="2"/>
  <c r="J23" i="2"/>
  <c r="J22" i="2" l="1"/>
  <c r="I24" i="2"/>
  <c r="J24" i="2"/>
  <c r="I49" i="12"/>
  <c r="I19" i="12"/>
  <c r="L6" i="12"/>
  <c r="L8" i="12" s="1"/>
  <c r="X5" i="12"/>
  <c r="X47" i="1" s="1"/>
  <c r="T5" i="12"/>
  <c r="W47" i="1" s="1"/>
  <c r="P5" i="12"/>
  <c r="V47" i="1" s="1"/>
  <c r="I6" i="12"/>
  <c r="I20" i="12" s="1"/>
  <c r="I21" i="12" s="1"/>
  <c r="L35" i="12"/>
  <c r="M33" i="12"/>
  <c r="I33" i="12"/>
  <c r="I50" i="12" s="1"/>
  <c r="I51" i="12" s="1"/>
  <c r="M152" i="4"/>
  <c r="N152" i="4" s="1"/>
  <c r="W8" i="1"/>
  <c r="F17" i="10" s="1"/>
  <c r="V8" i="1"/>
  <c r="T8" i="1"/>
  <c r="M6" i="12" l="1"/>
  <c r="P6" i="12"/>
  <c r="T6" i="12"/>
  <c r="X6" i="12"/>
  <c r="L9" i="12"/>
  <c r="M7" i="12"/>
  <c r="L36" i="12"/>
  <c r="M34" i="12"/>
  <c r="V9" i="1"/>
  <c r="D25" i="1" s="1"/>
  <c r="F13" i="10"/>
  <c r="T9" i="1"/>
  <c r="F5" i="10"/>
  <c r="O152" i="4"/>
  <c r="T18" i="1"/>
  <c r="U18" i="1"/>
  <c r="V18" i="1"/>
  <c r="X14" i="1"/>
  <c r="M150" i="4" s="1"/>
  <c r="X13" i="1"/>
  <c r="M149" i="4" s="1"/>
  <c r="AF14" i="1" l="1"/>
  <c r="U6" i="12"/>
  <c r="T8" i="12"/>
  <c r="W43" i="1" s="1"/>
  <c r="Y6" i="12"/>
  <c r="X8" i="12"/>
  <c r="X43" i="1" s="1"/>
  <c r="Q6" i="12"/>
  <c r="P8" i="12"/>
  <c r="V43" i="1" s="1"/>
  <c r="L38" i="12"/>
  <c r="M36" i="12"/>
  <c r="M9" i="12"/>
  <c r="L11" i="12"/>
  <c r="O149" i="4"/>
  <c r="N149" i="4"/>
  <c r="O150" i="4"/>
  <c r="N150" i="4"/>
  <c r="C46" i="12" l="1"/>
  <c r="Y7" i="12"/>
  <c r="X9" i="12"/>
  <c r="Q7" i="12"/>
  <c r="P9" i="12"/>
  <c r="U7" i="12"/>
  <c r="T9" i="12"/>
  <c r="M10" i="12"/>
  <c r="L12" i="12"/>
  <c r="M37" i="12"/>
  <c r="L39" i="12"/>
  <c r="W7" i="1"/>
  <c r="T41" i="12" l="1"/>
  <c r="T39" i="12" s="1"/>
  <c r="P41" i="12"/>
  <c r="Y9" i="12"/>
  <c r="X11" i="12"/>
  <c r="X39" i="1" s="1"/>
  <c r="Q9" i="12"/>
  <c r="P11" i="12"/>
  <c r="V39" i="1" s="1"/>
  <c r="T11" i="12"/>
  <c r="W39" i="1" s="1"/>
  <c r="U9" i="12"/>
  <c r="W9" i="1"/>
  <c r="D26" i="1" s="1"/>
  <c r="F16" i="10"/>
  <c r="L14" i="12"/>
  <c r="M12" i="12"/>
  <c r="M20" i="12" s="1"/>
  <c r="L41" i="12"/>
  <c r="L43" i="12" s="1"/>
  <c r="M42" i="12" s="1"/>
  <c r="M39" i="12"/>
  <c r="M50" i="12" s="1"/>
  <c r="X7" i="1"/>
  <c r="F20" i="10" s="1"/>
  <c r="W36" i="1" l="1"/>
  <c r="T43" i="12"/>
  <c r="U42" i="12" s="1"/>
  <c r="V36" i="1"/>
  <c r="P43" i="12"/>
  <c r="Q42" i="12" s="1"/>
  <c r="U40" i="12"/>
  <c r="T38" i="12"/>
  <c r="M13" i="12"/>
  <c r="M18" i="12" s="1"/>
  <c r="L16" i="12"/>
  <c r="M15" i="12" s="1"/>
  <c r="Q10" i="12"/>
  <c r="P12" i="12"/>
  <c r="X12" i="12"/>
  <c r="Y10" i="12"/>
  <c r="U10" i="12"/>
  <c r="T12" i="12"/>
  <c r="M21" i="12"/>
  <c r="M51" i="12"/>
  <c r="M40" i="12"/>
  <c r="M48" i="12" s="1"/>
  <c r="W40" i="1" l="1"/>
  <c r="W38" i="1" s="1"/>
  <c r="W41" i="1" s="1"/>
  <c r="T36" i="12"/>
  <c r="U37" i="12"/>
  <c r="U39" i="12"/>
  <c r="M49" i="12"/>
  <c r="M56" i="12"/>
  <c r="M57" i="12" s="1"/>
  <c r="M19" i="12"/>
  <c r="M26" i="12"/>
  <c r="M27" i="12" s="1"/>
  <c r="P14" i="12"/>
  <c r="Q12" i="12"/>
  <c r="Q20" i="12" s="1"/>
  <c r="U12" i="12"/>
  <c r="U20" i="12" s="1"/>
  <c r="T14" i="12"/>
  <c r="Y12" i="12"/>
  <c r="Y20" i="12" s="1"/>
  <c r="X14" i="12"/>
  <c r="P39" i="12"/>
  <c r="C34" i="8"/>
  <c r="C29" i="8"/>
  <c r="C28" i="8"/>
  <c r="C27" i="8"/>
  <c r="E10" i="8"/>
  <c r="K10" i="8" s="1"/>
  <c r="E9" i="8"/>
  <c r="E8" i="8"/>
  <c r="J8" i="8" s="1"/>
  <c r="E7" i="8"/>
  <c r="J7" i="8" s="1"/>
  <c r="E6" i="8"/>
  <c r="K6" i="8" s="1"/>
  <c r="E5" i="8"/>
  <c r="J5" i="8" s="1"/>
  <c r="D4" i="8"/>
  <c r="E4" i="8" s="1"/>
  <c r="X15" i="1"/>
  <c r="Q21" i="12" l="1"/>
  <c r="T35" i="12"/>
  <c r="U36" i="12" s="1"/>
  <c r="T16" i="12"/>
  <c r="U15" i="12" s="1"/>
  <c r="W35" i="1"/>
  <c r="W34" i="1" s="1"/>
  <c r="W37" i="1" s="1"/>
  <c r="X16" i="12"/>
  <c r="Y15" i="12" s="1"/>
  <c r="X35" i="1"/>
  <c r="P16" i="12"/>
  <c r="Q15" i="12" s="1"/>
  <c r="V35" i="1"/>
  <c r="V34" i="1" s="1"/>
  <c r="V37" i="1" s="1"/>
  <c r="U13" i="12"/>
  <c r="U18" i="12" s="1"/>
  <c r="W51" i="1" s="1"/>
  <c r="Y13" i="12"/>
  <c r="Y18" i="12" s="1"/>
  <c r="X51" i="1" s="1"/>
  <c r="U21" i="12"/>
  <c r="Y21" i="12"/>
  <c r="Q13" i="12"/>
  <c r="Q18" i="12" s="1"/>
  <c r="V51" i="1" s="1"/>
  <c r="P38" i="12"/>
  <c r="V40" i="1" s="1"/>
  <c r="V38" i="1" s="1"/>
  <c r="V41" i="1" s="1"/>
  <c r="Q40" i="12"/>
  <c r="M151" i="4"/>
  <c r="N151" i="4" s="1"/>
  <c r="AA18" i="1"/>
  <c r="F6" i="8"/>
  <c r="H10" i="8"/>
  <c r="G6" i="8"/>
  <c r="F9" i="8"/>
  <c r="J10" i="8"/>
  <c r="H6" i="8"/>
  <c r="I9" i="8"/>
  <c r="K8" i="8"/>
  <c r="G8" i="8"/>
  <c r="G7" i="8"/>
  <c r="H8" i="8"/>
  <c r="J9" i="8"/>
  <c r="H7" i="8"/>
  <c r="I8" i="8"/>
  <c r="G9" i="8"/>
  <c r="K9" i="8"/>
  <c r="I6" i="8"/>
  <c r="I7" i="8"/>
  <c r="H9" i="8"/>
  <c r="G10" i="8"/>
  <c r="F8" i="8"/>
  <c r="I4" i="8"/>
  <c r="G4" i="8"/>
  <c r="H4" i="8"/>
  <c r="F4" i="8"/>
  <c r="K4" i="8"/>
  <c r="J4" i="8"/>
  <c r="E11" i="8"/>
  <c r="E12" i="8" s="1"/>
  <c r="K5" i="8"/>
  <c r="F7" i="8"/>
  <c r="I10" i="8"/>
  <c r="F5" i="8"/>
  <c r="G5" i="8"/>
  <c r="H5" i="8"/>
  <c r="I5" i="8"/>
  <c r="J6" i="8"/>
  <c r="K7" i="8"/>
  <c r="F10" i="8"/>
  <c r="AD18" i="1" l="1"/>
  <c r="X45" i="12" s="1"/>
  <c r="X41" i="12" s="1"/>
  <c r="X36" i="1" s="1"/>
  <c r="X34" i="1" s="1"/>
  <c r="X37" i="1" s="1"/>
  <c r="W44" i="1"/>
  <c r="W42" i="1" s="1"/>
  <c r="W45" i="1" s="1"/>
  <c r="T33" i="12"/>
  <c r="Q19" i="12"/>
  <c r="Q26" i="12"/>
  <c r="Y19" i="12"/>
  <c r="Y26" i="12"/>
  <c r="U19" i="12"/>
  <c r="U26" i="12"/>
  <c r="P36" i="12"/>
  <c r="Q37" i="12" s="1"/>
  <c r="Q39" i="12"/>
  <c r="O151" i="4"/>
  <c r="J11" i="8"/>
  <c r="J12" i="8" s="1"/>
  <c r="H11" i="8"/>
  <c r="H12" i="8" s="1"/>
  <c r="G11" i="8"/>
  <c r="G12" i="8" s="1"/>
  <c r="K11" i="8"/>
  <c r="K12" i="8" s="1"/>
  <c r="F11" i="8"/>
  <c r="F12" i="8" s="1"/>
  <c r="I11" i="8"/>
  <c r="I12" i="8" s="1"/>
  <c r="X39" i="12" l="1"/>
  <c r="Y40" i="12" s="1"/>
  <c r="X43" i="12"/>
  <c r="Y42" i="12" s="1"/>
  <c r="U34" i="12"/>
  <c r="U48" i="12" s="1"/>
  <c r="T32" i="12"/>
  <c r="W48" i="1" s="1"/>
  <c r="W46" i="1" s="1"/>
  <c r="W49" i="1" s="1"/>
  <c r="X38" i="12"/>
  <c r="Y27" i="12"/>
  <c r="X55" i="1"/>
  <c r="U27" i="12"/>
  <c r="W55" i="1"/>
  <c r="Q27" i="12"/>
  <c r="V55" i="1"/>
  <c r="P35" i="12"/>
  <c r="V44" i="1" s="1"/>
  <c r="V42" i="1" s="1"/>
  <c r="V45" i="1" s="1"/>
  <c r="D22" i="8"/>
  <c r="D18" i="8"/>
  <c r="D16" i="8"/>
  <c r="D19" i="8"/>
  <c r="D21" i="8"/>
  <c r="D17" i="8"/>
  <c r="D20" i="8"/>
  <c r="F19" i="8"/>
  <c r="F20" i="8"/>
  <c r="F21" i="8"/>
  <c r="F17" i="8"/>
  <c r="F16" i="8"/>
  <c r="F22" i="8"/>
  <c r="F18" i="8"/>
  <c r="E20" i="8"/>
  <c r="E16" i="8"/>
  <c r="M153" i="4" s="1"/>
  <c r="M154" i="4" s="1"/>
  <c r="E19" i="8"/>
  <c r="N153" i="4" s="1"/>
  <c r="N154" i="4" s="1"/>
  <c r="E22" i="8"/>
  <c r="O153" i="4" s="1"/>
  <c r="O154" i="4" s="1"/>
  <c r="E18" i="8"/>
  <c r="E21" i="8"/>
  <c r="E17" i="8"/>
  <c r="C20" i="8"/>
  <c r="C16" i="8"/>
  <c r="C22" i="8"/>
  <c r="C18" i="8"/>
  <c r="C19" i="8"/>
  <c r="C21" i="8"/>
  <c r="C17" i="8"/>
  <c r="G21" i="8"/>
  <c r="G17" i="8"/>
  <c r="G20" i="8"/>
  <c r="G16" i="8"/>
  <c r="G22" i="8"/>
  <c r="G18" i="8"/>
  <c r="G19" i="8"/>
  <c r="H20" i="8"/>
  <c r="H16" i="8"/>
  <c r="H21" i="8"/>
  <c r="H17" i="8"/>
  <c r="H22" i="8"/>
  <c r="H18" i="8"/>
  <c r="H19" i="8"/>
  <c r="U33" i="12" l="1"/>
  <c r="U50" i="12" s="1"/>
  <c r="U51" i="12" s="1"/>
  <c r="X40" i="1"/>
  <c r="X38" i="1" s="1"/>
  <c r="X41" i="1" s="1"/>
  <c r="X36" i="12"/>
  <c r="Y37" i="12"/>
  <c r="Y39" i="12"/>
  <c r="U56" i="12"/>
  <c r="W52" i="1"/>
  <c r="W50" i="1" s="1"/>
  <c r="W53" i="1" s="1"/>
  <c r="U49" i="12"/>
  <c r="P33" i="12"/>
  <c r="Q36" i="12"/>
  <c r="W17" i="1"/>
  <c r="W18" i="1" s="1"/>
  <c r="X8" i="1"/>
  <c r="W56" i="1" l="1"/>
  <c r="W54" i="1" s="1"/>
  <c r="W57" i="1" s="1"/>
  <c r="U57" i="12"/>
  <c r="X35" i="12"/>
  <c r="Y36" i="12"/>
  <c r="P32" i="12"/>
  <c r="Q34" i="12"/>
  <c r="Q48" i="12" s="1"/>
  <c r="X9" i="1"/>
  <c r="D27" i="1" s="1"/>
  <c r="F21" i="10"/>
  <c r="J90" i="7"/>
  <c r="I90" i="7"/>
  <c r="H90" i="7"/>
  <c r="G90" i="7"/>
  <c r="F90" i="7"/>
  <c r="E90" i="7"/>
  <c r="D90" i="7"/>
  <c r="C90" i="7"/>
  <c r="K89" i="7"/>
  <c r="K88" i="7"/>
  <c r="K87" i="7"/>
  <c r="K86" i="7"/>
  <c r="K85" i="7"/>
  <c r="K84" i="7"/>
  <c r="K83" i="7"/>
  <c r="K82" i="7"/>
  <c r="K81" i="7"/>
  <c r="K80" i="7"/>
  <c r="H48" i="7"/>
  <c r="H62" i="7" s="1"/>
  <c r="G48" i="7"/>
  <c r="G62" i="7" s="1"/>
  <c r="F48" i="7"/>
  <c r="F62" i="7" s="1"/>
  <c r="H47" i="7"/>
  <c r="H61" i="7" s="1"/>
  <c r="G47" i="7"/>
  <c r="G61" i="7" s="1"/>
  <c r="F47" i="7"/>
  <c r="F61" i="7" s="1"/>
  <c r="H46" i="7"/>
  <c r="H60" i="7" s="1"/>
  <c r="G46" i="7"/>
  <c r="G60" i="7" s="1"/>
  <c r="F46" i="7"/>
  <c r="F60" i="7" s="1"/>
  <c r="H45" i="7"/>
  <c r="H59" i="7" s="1"/>
  <c r="G45" i="7"/>
  <c r="G59" i="7" s="1"/>
  <c r="F45" i="7"/>
  <c r="F59" i="7" s="1"/>
  <c r="H44" i="7"/>
  <c r="H58" i="7" s="1"/>
  <c r="G44" i="7"/>
  <c r="G58" i="7" s="1"/>
  <c r="F44" i="7"/>
  <c r="F58" i="7" s="1"/>
  <c r="H43" i="7"/>
  <c r="H57" i="7" s="1"/>
  <c r="G43" i="7"/>
  <c r="G57" i="7" s="1"/>
  <c r="F43" i="7"/>
  <c r="F57" i="7" s="1"/>
  <c r="H42" i="7"/>
  <c r="H56" i="7" s="1"/>
  <c r="G42" i="7"/>
  <c r="G56" i="7" s="1"/>
  <c r="F42" i="7"/>
  <c r="F56" i="7" s="1"/>
  <c r="H41" i="7"/>
  <c r="H55" i="7" s="1"/>
  <c r="G41" i="7"/>
  <c r="G55" i="7" s="1"/>
  <c r="F41" i="7"/>
  <c r="F55" i="7" s="1"/>
  <c r="H40" i="7"/>
  <c r="H54" i="7" s="1"/>
  <c r="G40" i="7"/>
  <c r="G54" i="7" s="1"/>
  <c r="F40" i="7"/>
  <c r="F54" i="7" s="1"/>
  <c r="H39" i="7"/>
  <c r="H53" i="7" s="1"/>
  <c r="G39" i="7"/>
  <c r="G53" i="7" s="1"/>
  <c r="F39" i="7"/>
  <c r="F53" i="7" s="1"/>
  <c r="B35" i="7"/>
  <c r="B30" i="7"/>
  <c r="D40" i="7" s="1"/>
  <c r="D54" i="7" s="1"/>
  <c r="B29" i="7"/>
  <c r="C46" i="7" s="1"/>
  <c r="C60" i="7" s="1"/>
  <c r="B28" i="7"/>
  <c r="B48" i="7" s="1"/>
  <c r="B62" i="7" s="1"/>
  <c r="B24" i="7"/>
  <c r="D33" i="7" s="1"/>
  <c r="X44" i="1" l="1"/>
  <c r="X42" i="1" s="1"/>
  <c r="X45" i="1" s="1"/>
  <c r="X33" i="12"/>
  <c r="Y34" i="12" s="1"/>
  <c r="Y48" i="12" s="1"/>
  <c r="Q49" i="12"/>
  <c r="V52" i="1"/>
  <c r="V50" i="1" s="1"/>
  <c r="V53" i="1" s="1"/>
  <c r="Q56" i="12"/>
  <c r="Q33" i="12"/>
  <c r="Q50" i="12" s="1"/>
  <c r="Q51" i="12" s="1"/>
  <c r="V48" i="1"/>
  <c r="V46" i="1" s="1"/>
  <c r="V49" i="1" s="1"/>
  <c r="D45" i="7"/>
  <c r="D59" i="7" s="1"/>
  <c r="B86" i="7" s="1"/>
  <c r="B101" i="7" s="1"/>
  <c r="D46" i="7"/>
  <c r="D60" i="7" s="1"/>
  <c r="B87" i="7" s="1"/>
  <c r="E102" i="7" s="1"/>
  <c r="D47" i="7"/>
  <c r="D61" i="7" s="1"/>
  <c r="B88" i="7" s="1"/>
  <c r="I103" i="7" s="1"/>
  <c r="D48" i="7"/>
  <c r="D62" i="7" s="1"/>
  <c r="B89" i="7" s="1"/>
  <c r="B104" i="7" s="1"/>
  <c r="D30" i="7"/>
  <c r="F63" i="7"/>
  <c r="B71" i="7" s="1"/>
  <c r="D71" i="7" s="1"/>
  <c r="D41" i="7"/>
  <c r="D55" i="7" s="1"/>
  <c r="B82" i="7" s="1"/>
  <c r="J97" i="7" s="1"/>
  <c r="D42" i="7"/>
  <c r="D56" i="7" s="1"/>
  <c r="B83" i="7" s="1"/>
  <c r="G98" i="7" s="1"/>
  <c r="D43" i="7"/>
  <c r="D57" i="7" s="1"/>
  <c r="B84" i="7" s="1"/>
  <c r="J99" i="7" s="1"/>
  <c r="C44" i="7"/>
  <c r="C58" i="7" s="1"/>
  <c r="D28" i="7"/>
  <c r="D31" i="7"/>
  <c r="D44" i="7"/>
  <c r="D58" i="7" s="1"/>
  <c r="B85" i="7" s="1"/>
  <c r="C45" i="7"/>
  <c r="C59" i="7" s="1"/>
  <c r="D39" i="7"/>
  <c r="D53" i="7" s="1"/>
  <c r="B80" i="7" s="1"/>
  <c r="I95" i="7" s="1"/>
  <c r="C41" i="7"/>
  <c r="C55" i="7" s="1"/>
  <c r="G63" i="7"/>
  <c r="B72" i="7" s="1"/>
  <c r="G49" i="7"/>
  <c r="H99" i="7"/>
  <c r="D99" i="7"/>
  <c r="C99" i="7"/>
  <c r="G99" i="7"/>
  <c r="F99" i="7"/>
  <c r="E99" i="7"/>
  <c r="J102" i="7"/>
  <c r="B102" i="7"/>
  <c r="F102" i="7"/>
  <c r="I102" i="7"/>
  <c r="H102" i="7"/>
  <c r="G102" i="7"/>
  <c r="H49" i="7"/>
  <c r="H63" i="7"/>
  <c r="B73" i="7" s="1"/>
  <c r="G103" i="7"/>
  <c r="J103" i="7"/>
  <c r="F103" i="7"/>
  <c r="K90" i="7"/>
  <c r="B99" i="7"/>
  <c r="I99" i="7"/>
  <c r="F100" i="7"/>
  <c r="J100" i="7"/>
  <c r="B100" i="7"/>
  <c r="I100" i="7"/>
  <c r="D100" i="7"/>
  <c r="C100" i="7"/>
  <c r="H100" i="7"/>
  <c r="G100" i="7"/>
  <c r="E100" i="7"/>
  <c r="H97" i="7"/>
  <c r="G97" i="7"/>
  <c r="B97" i="7"/>
  <c r="C118" i="7"/>
  <c r="C117" i="7"/>
  <c r="C119" i="7"/>
  <c r="C120" i="7"/>
  <c r="D101" i="7"/>
  <c r="H101" i="7"/>
  <c r="G101" i="7"/>
  <c r="F101" i="7"/>
  <c r="E101" i="7"/>
  <c r="C101" i="7"/>
  <c r="J101" i="7"/>
  <c r="I101" i="7"/>
  <c r="F71" i="7"/>
  <c r="C71" i="7"/>
  <c r="B81" i="7"/>
  <c r="C97" i="7"/>
  <c r="D32" i="7"/>
  <c r="C43" i="7"/>
  <c r="C57" i="7" s="1"/>
  <c r="D34" i="7"/>
  <c r="C42" i="7"/>
  <c r="C56" i="7" s="1"/>
  <c r="D95" i="7"/>
  <c r="C95" i="7"/>
  <c r="C40" i="7"/>
  <c r="C54" i="7" s="1"/>
  <c r="C48" i="7"/>
  <c r="C62" i="7" s="1"/>
  <c r="D29" i="7"/>
  <c r="C39" i="7"/>
  <c r="C47" i="7"/>
  <c r="C61" i="7" s="1"/>
  <c r="B95" i="7"/>
  <c r="B39" i="7"/>
  <c r="B40" i="7"/>
  <c r="B41" i="7"/>
  <c r="B42" i="7"/>
  <c r="B43" i="7"/>
  <c r="B44" i="7"/>
  <c r="B45" i="7"/>
  <c r="B46" i="7"/>
  <c r="B47" i="7"/>
  <c r="F49" i="7"/>
  <c r="Y49" i="12" l="1"/>
  <c r="X52" i="1"/>
  <c r="Y56" i="12"/>
  <c r="X32" i="12"/>
  <c r="X48" i="1" s="1"/>
  <c r="X46" i="1" s="1"/>
  <c r="X49" i="1" s="1"/>
  <c r="Q57" i="12"/>
  <c r="V56" i="1"/>
  <c r="V54" i="1" s="1"/>
  <c r="V57" i="1" s="1"/>
  <c r="H95" i="7"/>
  <c r="E97" i="7"/>
  <c r="B103" i="7"/>
  <c r="C103" i="7"/>
  <c r="D102" i="7"/>
  <c r="E71" i="7"/>
  <c r="F97" i="7"/>
  <c r="E103" i="7"/>
  <c r="D103" i="7"/>
  <c r="C102" i="7"/>
  <c r="C104" i="7"/>
  <c r="E62" i="7"/>
  <c r="I62" i="7" s="1"/>
  <c r="B90" i="7"/>
  <c r="C98" i="7"/>
  <c r="D97" i="7"/>
  <c r="H103" i="7"/>
  <c r="J104" i="7"/>
  <c r="E98" i="7"/>
  <c r="I97" i="7"/>
  <c r="D35" i="7"/>
  <c r="D98" i="7"/>
  <c r="F98" i="7"/>
  <c r="D63" i="7"/>
  <c r="B69" i="7" s="1"/>
  <c r="F69" i="7" s="1"/>
  <c r="D104" i="7"/>
  <c r="E104" i="7"/>
  <c r="H98" i="7"/>
  <c r="B98" i="7"/>
  <c r="G104" i="7"/>
  <c r="I104" i="7"/>
  <c r="F104" i="7"/>
  <c r="D49" i="7"/>
  <c r="I98" i="7"/>
  <c r="J98" i="7"/>
  <c r="H104" i="7"/>
  <c r="E95" i="7"/>
  <c r="G95" i="7"/>
  <c r="F95" i="7"/>
  <c r="J95" i="7"/>
  <c r="E48" i="7"/>
  <c r="I48" i="7" s="1"/>
  <c r="K100" i="7"/>
  <c r="K101" i="7"/>
  <c r="K99" i="7"/>
  <c r="B57" i="7"/>
  <c r="E57" i="7" s="1"/>
  <c r="I57" i="7" s="1"/>
  <c r="E43" i="7"/>
  <c r="I43" i="7" s="1"/>
  <c r="C53" i="7"/>
  <c r="C63" i="7" s="1"/>
  <c r="B68" i="7" s="1"/>
  <c r="C49" i="7"/>
  <c r="F119" i="7"/>
  <c r="E119" i="7"/>
  <c r="D119" i="7"/>
  <c r="G119" i="7"/>
  <c r="B60" i="7"/>
  <c r="E60" i="7" s="1"/>
  <c r="I60" i="7" s="1"/>
  <c r="E46" i="7"/>
  <c r="I46" i="7" s="1"/>
  <c r="B59" i="7"/>
  <c r="E59" i="7" s="1"/>
  <c r="I59" i="7" s="1"/>
  <c r="E45" i="7"/>
  <c r="I45" i="7" s="1"/>
  <c r="B58" i="7"/>
  <c r="E58" i="7" s="1"/>
  <c r="I58" i="7" s="1"/>
  <c r="E44" i="7"/>
  <c r="I44" i="7" s="1"/>
  <c r="C121" i="7"/>
  <c r="G117" i="7"/>
  <c r="D117" i="7"/>
  <c r="F117" i="7"/>
  <c r="E117" i="7"/>
  <c r="D73" i="7"/>
  <c r="C73" i="7"/>
  <c r="F73" i="7"/>
  <c r="E73" i="7"/>
  <c r="B55" i="7"/>
  <c r="E55" i="7" s="1"/>
  <c r="I55" i="7" s="1"/>
  <c r="E41" i="7"/>
  <c r="I41" i="7" s="1"/>
  <c r="G118" i="7"/>
  <c r="F118" i="7"/>
  <c r="E118" i="7"/>
  <c r="D118" i="7"/>
  <c r="E120" i="7"/>
  <c r="D120" i="7"/>
  <c r="G120" i="7"/>
  <c r="F120" i="7"/>
  <c r="B56" i="7"/>
  <c r="E56" i="7" s="1"/>
  <c r="I56" i="7" s="1"/>
  <c r="E42" i="7"/>
  <c r="I42" i="7" s="1"/>
  <c r="F96" i="7"/>
  <c r="J96" i="7"/>
  <c r="B96" i="7"/>
  <c r="I96" i="7"/>
  <c r="E96" i="7"/>
  <c r="D96" i="7"/>
  <c r="C96" i="7"/>
  <c r="H96" i="7"/>
  <c r="G96" i="7"/>
  <c r="B54" i="7"/>
  <c r="E54" i="7" s="1"/>
  <c r="I54" i="7" s="1"/>
  <c r="E40" i="7"/>
  <c r="I40" i="7" s="1"/>
  <c r="E72" i="7"/>
  <c r="D72" i="7"/>
  <c r="C72" i="7"/>
  <c r="F72" i="7"/>
  <c r="B61" i="7"/>
  <c r="E61" i="7" s="1"/>
  <c r="I61" i="7" s="1"/>
  <c r="E47" i="7"/>
  <c r="I47" i="7" s="1"/>
  <c r="B53" i="7"/>
  <c r="B49" i="7"/>
  <c r="E39" i="7"/>
  <c r="Q20" i="6"/>
  <c r="K98" i="7" l="1"/>
  <c r="K103" i="7"/>
  <c r="Y57" i="12"/>
  <c r="X56" i="1"/>
  <c r="K97" i="7"/>
  <c r="X50" i="1"/>
  <c r="Y25" i="1" s="1"/>
  <c r="J105" i="7"/>
  <c r="D69" i="7"/>
  <c r="K102" i="7"/>
  <c r="Y33" i="12"/>
  <c r="Y50" i="12" s="1"/>
  <c r="Y51" i="12" s="1"/>
  <c r="D105" i="7"/>
  <c r="G105" i="7"/>
  <c r="K95" i="7"/>
  <c r="K104" i="7"/>
  <c r="H105" i="7"/>
  <c r="C114" i="7" s="1"/>
  <c r="G114" i="7" s="1"/>
  <c r="G115" i="7" s="1"/>
  <c r="I105" i="7"/>
  <c r="E105" i="7"/>
  <c r="C111" i="7" s="1"/>
  <c r="F111" i="7" s="1"/>
  <c r="G22" i="2" s="1"/>
  <c r="F105" i="7"/>
  <c r="C112" i="7" s="1"/>
  <c r="D112" i="7" s="1"/>
  <c r="C69" i="7"/>
  <c r="E69" i="7"/>
  <c r="B105" i="7"/>
  <c r="K96" i="7"/>
  <c r="F121" i="7"/>
  <c r="E114" i="7"/>
  <c r="E115" i="7" s="1"/>
  <c r="E49" i="7"/>
  <c r="I49" i="7" s="1"/>
  <c r="I39" i="7"/>
  <c r="D111" i="7"/>
  <c r="E121" i="7"/>
  <c r="D121" i="7"/>
  <c r="E68" i="7"/>
  <c r="D68" i="7"/>
  <c r="F68" i="7"/>
  <c r="C68" i="7"/>
  <c r="B63" i="7"/>
  <c r="B67" i="7" s="1"/>
  <c r="E53" i="7"/>
  <c r="G121" i="7"/>
  <c r="C105" i="7"/>
  <c r="I140" i="4"/>
  <c r="I130" i="4"/>
  <c r="I122" i="4"/>
  <c r="I128" i="4"/>
  <c r="I133" i="4"/>
  <c r="C115" i="7" l="1"/>
  <c r="J140" i="4"/>
  <c r="F114" i="7"/>
  <c r="G23" i="2" s="1"/>
  <c r="X53" i="1"/>
  <c r="X54" i="1"/>
  <c r="Y22" i="1" s="1"/>
  <c r="Y30" i="1" s="1"/>
  <c r="G111" i="7"/>
  <c r="D114" i="7"/>
  <c r="D115" i="7" s="1"/>
  <c r="F112" i="7"/>
  <c r="G112" i="7"/>
  <c r="E111" i="7"/>
  <c r="E112" i="7"/>
  <c r="I53" i="7"/>
  <c r="I63" i="7" s="1"/>
  <c r="E63" i="7"/>
  <c r="F67" i="7"/>
  <c r="B70" i="7"/>
  <c r="D67" i="7"/>
  <c r="C67" i="7"/>
  <c r="E67" i="7"/>
  <c r="C110" i="7"/>
  <c r="K105" i="7"/>
  <c r="X57" i="1" l="1"/>
  <c r="F115" i="7"/>
  <c r="C70" i="7"/>
  <c r="F70" i="7"/>
  <c r="E70" i="7"/>
  <c r="B74" i="7"/>
  <c r="D70" i="7"/>
  <c r="C113" i="7"/>
  <c r="G110" i="7"/>
  <c r="G113" i="7" s="1"/>
  <c r="F110" i="7"/>
  <c r="G21" i="2" s="1"/>
  <c r="G24" i="2" s="1"/>
  <c r="E110" i="7"/>
  <c r="E113" i="7" s="1"/>
  <c r="D110" i="7"/>
  <c r="D113" i="7" s="1"/>
  <c r="F113" i="7" l="1"/>
  <c r="F122" i="7" s="1"/>
  <c r="C74" i="7"/>
  <c r="F74" i="7"/>
  <c r="E74" i="7"/>
  <c r="D74" i="7"/>
  <c r="C122" i="7"/>
  <c r="C116" i="7"/>
  <c r="D122" i="7"/>
  <c r="D116" i="7"/>
  <c r="E122" i="7"/>
  <c r="E116" i="7"/>
  <c r="F116" i="7"/>
  <c r="G122" i="7"/>
  <c r="G116" i="7"/>
  <c r="AH31" i="3" l="1"/>
  <c r="AG31" i="3"/>
  <c r="AF31" i="3"/>
  <c r="D14" i="3" s="1"/>
  <c r="AE31" i="3"/>
  <c r="AD31" i="3"/>
  <c r="AC31" i="3"/>
  <c r="AB31" i="3"/>
  <c r="AA31" i="3"/>
  <c r="Z31" i="3"/>
  <c r="Y31" i="3"/>
  <c r="X31" i="3"/>
  <c r="W31" i="3"/>
  <c r="V31" i="3"/>
  <c r="U31" i="3"/>
  <c r="T31" i="3"/>
  <c r="S31" i="3"/>
  <c r="R31" i="3"/>
  <c r="Q31" i="3"/>
  <c r="P31" i="3"/>
  <c r="O31" i="3"/>
  <c r="E9" i="3" s="1"/>
  <c r="D9" i="3" s="1"/>
  <c r="N31" i="3"/>
  <c r="M31" i="3"/>
  <c r="L31" i="3"/>
  <c r="E8" i="3" s="1"/>
  <c r="AJ29" i="3"/>
  <c r="AK29" i="3" s="1"/>
  <c r="AI29" i="3"/>
  <c r="AJ28" i="3"/>
  <c r="AK28" i="3" s="1"/>
  <c r="AI28" i="3"/>
  <c r="AJ27" i="3"/>
  <c r="AK27" i="3" s="1"/>
  <c r="AI27" i="3"/>
  <c r="AJ26" i="3"/>
  <c r="AK26" i="3" s="1"/>
  <c r="AI26" i="3"/>
  <c r="AJ25" i="3"/>
  <c r="AK25" i="3" s="1"/>
  <c r="AI25" i="3"/>
  <c r="AJ24" i="3"/>
  <c r="AK24" i="3" s="1"/>
  <c r="AI24" i="3"/>
  <c r="AJ23" i="3"/>
  <c r="AK23" i="3" s="1"/>
  <c r="AI23" i="3"/>
  <c r="AJ22" i="3"/>
  <c r="AK22" i="3" s="1"/>
  <c r="AI22" i="3"/>
  <c r="AJ21" i="3"/>
  <c r="AK21" i="3" s="1"/>
  <c r="AI21" i="3"/>
  <c r="AJ20" i="3"/>
  <c r="AI20" i="3"/>
  <c r="AJ19" i="3"/>
  <c r="AK19" i="3" s="1"/>
  <c r="AI19" i="3"/>
  <c r="AJ18" i="3"/>
  <c r="AK18" i="3" s="1"/>
  <c r="AI18" i="3"/>
  <c r="AJ17" i="3"/>
  <c r="AK17" i="3" s="1"/>
  <c r="AI17" i="3"/>
  <c r="AJ16" i="3"/>
  <c r="AK16" i="3" s="1"/>
  <c r="AI16" i="3"/>
  <c r="AJ15" i="3"/>
  <c r="AK15" i="3" s="1"/>
  <c r="AI15" i="3"/>
  <c r="AJ14" i="3"/>
  <c r="AK14" i="3" s="1"/>
  <c r="AI14" i="3"/>
  <c r="AJ13" i="3"/>
  <c r="AK13" i="3" s="1"/>
  <c r="AI13" i="3"/>
  <c r="AJ12" i="3"/>
  <c r="AK12" i="3" s="1"/>
  <c r="AI12" i="3"/>
  <c r="AJ11" i="3"/>
  <c r="AK11" i="3" s="1"/>
  <c r="AI11" i="3"/>
  <c r="AJ10" i="3"/>
  <c r="AK10" i="3" s="1"/>
  <c r="AI10" i="3"/>
  <c r="AJ9" i="3"/>
  <c r="AK9" i="3" s="1"/>
  <c r="AI9" i="3"/>
  <c r="AJ8" i="3"/>
  <c r="AK8" i="3" s="1"/>
  <c r="AI8" i="3"/>
  <c r="AJ7" i="3"/>
  <c r="AK7" i="3" s="1"/>
  <c r="AI7" i="3"/>
  <c r="D8" i="3" l="1"/>
  <c r="E10" i="3"/>
  <c r="E12" i="3"/>
  <c r="E19" i="3" s="1"/>
  <c r="D10" i="3"/>
  <c r="AI31" i="3"/>
  <c r="AJ31" i="3"/>
  <c r="AK20" i="3"/>
  <c r="AK31" i="3" s="1"/>
  <c r="E16" i="3" l="1"/>
  <c r="D18" i="3"/>
  <c r="E18" i="3"/>
  <c r="D11" i="3"/>
  <c r="D12" i="3"/>
  <c r="D13" i="3"/>
  <c r="D19" i="3" l="1"/>
  <c r="AE22" i="1"/>
  <c r="AE24" i="1"/>
  <c r="T25" i="1"/>
  <c r="AA28" i="1" s="1"/>
  <c r="T27" i="1"/>
  <c r="T26" i="1"/>
  <c r="T28" i="1"/>
  <c r="D16" i="3"/>
  <c r="AE23" i="1" l="1"/>
  <c r="C15" i="12"/>
  <c r="C42" i="12"/>
  <c r="T30" i="1"/>
  <c r="F74" i="1" s="1"/>
  <c r="AA32" i="1"/>
  <c r="X24" i="1"/>
  <c r="X23" i="1"/>
  <c r="AE25" i="1"/>
  <c r="D24" i="1"/>
  <c r="X22" i="1" l="1"/>
  <c r="C16" i="12"/>
  <c r="H16" i="12" s="1"/>
  <c r="I15" i="12" s="1"/>
  <c r="I26" i="12" s="1"/>
  <c r="I27" i="12" s="1"/>
  <c r="C43" i="12"/>
  <c r="H43" i="12" s="1"/>
  <c r="I42" i="12" s="1"/>
  <c r="I56" i="12" s="1"/>
  <c r="I57" i="12" s="1"/>
  <c r="X30" i="1"/>
  <c r="T54" i="1" s="1"/>
  <c r="T56" i="1" s="1"/>
  <c r="T55" i="1" s="1"/>
  <c r="AE27" i="1" l="1"/>
  <c r="AA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xxx</author>
  </authors>
  <commentList>
    <comment ref="AD23" authorId="0" shapeId="0" xr:uid="{FFA6AFC7-8029-46A8-B74D-D53A0D2A9B8F}">
      <text>
        <r>
          <rPr>
            <b/>
            <sz val="9"/>
            <color indexed="81"/>
            <rFont val="Tahoma"/>
            <family val="2"/>
          </rPr>
          <t>CR equivalents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xxx</author>
  </authors>
  <commentList>
    <comment ref="I1" authorId="0" shapeId="0" xr:uid="{6B767B68-5F17-4E55-A889-96421E37C8F2}">
      <text>
        <r>
          <rPr>
            <b/>
            <u/>
            <sz val="9"/>
            <color indexed="81"/>
            <rFont val="Tahoma"/>
            <family val="2"/>
          </rPr>
          <t>Natural Production (eg)</t>
        </r>
        <r>
          <rPr>
            <b/>
            <sz val="9"/>
            <color indexed="81"/>
            <rFont val="Tahoma"/>
            <family val="2"/>
          </rPr>
          <t xml:space="preserve">
(current)
spawning ground survey 
dam count
weir count
EDT model (patient)
expert judgement
(historical)
Reference period estimate
EDT model (template)
Other model
Harvest expansion
???
(goals)
</t>
        </r>
        <r>
          <rPr>
            <b/>
            <u/>
            <sz val="9"/>
            <color indexed="81"/>
            <rFont val="Tahoma"/>
            <family val="2"/>
          </rPr>
          <t>Hatchery</t>
        </r>
        <r>
          <rPr>
            <b/>
            <sz val="9"/>
            <color indexed="81"/>
            <rFont val="Tahoma"/>
            <family val="2"/>
          </rPr>
          <t xml:space="preserve">
release
adult return</t>
        </r>
      </text>
    </comment>
    <comment ref="J1" authorId="0" shapeId="0" xr:uid="{6CB78C13-F32A-4B8A-97CC-7461F4D103AF}">
      <text>
        <r>
          <rPr>
            <b/>
            <sz val="9"/>
            <color indexed="81"/>
            <rFont val="Tahoma"/>
            <family val="2"/>
          </rPr>
          <t>if applicable</t>
        </r>
      </text>
    </comment>
    <comment ref="L1" authorId="0" shapeId="0" xr:uid="{70FF858B-01BC-409E-B3F7-92A276FAC9A4}">
      <text>
        <r>
          <rPr>
            <b/>
            <u/>
            <sz val="9"/>
            <color indexed="81"/>
            <rFont val="Tahoma"/>
            <family val="2"/>
          </rPr>
          <t>Reference (short form)</t>
        </r>
        <r>
          <rPr>
            <b/>
            <sz val="9"/>
            <color indexed="81"/>
            <rFont val="Tahoma"/>
            <family val="2"/>
          </rPr>
          <t xml:space="preserve">
Recovery plan
Subbasin plan
Technical report
Website
Agency unpublished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xxx</author>
  </authors>
  <commentList>
    <comment ref="D6" authorId="0" shapeId="0" xr:uid="{4D488926-E324-4D6D-81E4-B817D4CF69BE}">
      <text>
        <r>
          <rPr>
            <b/>
            <sz val="9"/>
            <color indexed="81"/>
            <rFont val="Tahoma"/>
            <family val="2"/>
          </rPr>
          <t>solved to match actual (accounts for PRD passage beyond)</t>
        </r>
      </text>
    </comment>
    <comment ref="D9" authorId="0" shapeId="0" xr:uid="{2D7D7B6F-6375-4DF6-8B53-5516032F6B57}">
      <text>
        <r>
          <rPr>
            <b/>
            <sz val="9"/>
            <color indexed="81"/>
            <rFont val="Tahoma"/>
            <family val="2"/>
          </rPr>
          <t>solved to match actual</t>
        </r>
      </text>
    </comment>
    <comment ref="D12" authorId="0" shapeId="0" xr:uid="{642EB3F2-3E37-4375-B8BE-13EA9C9D7669}">
      <text>
        <r>
          <rPr>
            <b/>
            <sz val="9"/>
            <color indexed="81"/>
            <rFont val="Tahoma"/>
            <family val="2"/>
          </rPr>
          <t>Based on pinniped predation. Note that TAC CR mouth redturn and exploitation rates do not include a coversion for this</t>
        </r>
      </text>
    </comment>
    <comment ref="K12" authorId="0" shapeId="0" xr:uid="{D32FFC49-AA50-496E-871A-6E649437C934}">
      <text>
        <r>
          <rPr>
            <b/>
            <sz val="9"/>
            <color indexed="81"/>
            <rFont val="Tahoma"/>
            <family val="2"/>
          </rPr>
          <t>Based on pinniped predation. Note that TAC CR mouth redturn and exploitation rates do not include a coversion for this</t>
        </r>
      </text>
    </comment>
    <comment ref="K39" authorId="0" shapeId="0" xr:uid="{DCE9AA3B-5487-41D5-B244-B935DBA17FEE}">
      <text>
        <r>
          <rPr>
            <b/>
            <sz val="9"/>
            <color indexed="81"/>
            <rFont val="Tahoma"/>
            <family val="2"/>
          </rPr>
          <t>Based on pinniped predation. Note that TAC CR mouth redturn and exploitation rates do not include a coversion for this</t>
        </r>
      </text>
    </comment>
    <comment ref="P41" authorId="0" shapeId="0" xr:uid="{90A7E31F-C02D-4B2D-84DF-919815219E96}">
      <text>
        <r>
          <rPr>
            <b/>
            <sz val="9"/>
            <color indexed="81"/>
            <rFont val="Tahoma"/>
            <family val="2"/>
          </rPr>
          <t>assume same SAR as current</t>
        </r>
      </text>
    </comment>
    <comment ref="T41" authorId="0" shapeId="0" xr:uid="{59B4C2A2-03D9-43EF-9F6D-89027A16A199}">
      <text>
        <r>
          <rPr>
            <b/>
            <sz val="9"/>
            <color indexed="81"/>
            <rFont val="Tahoma"/>
            <family val="2"/>
          </rPr>
          <t>assume same SAR as current</t>
        </r>
      </text>
    </comment>
    <comment ref="X41" authorId="0" shapeId="0" xr:uid="{B4F6CF97-4D59-4AA7-9020-5554F40A718B}">
      <text>
        <r>
          <rPr>
            <b/>
            <sz val="9"/>
            <color indexed="81"/>
            <rFont val="Tahoma"/>
            <family val="2"/>
          </rPr>
          <t>assume same SAR as current</t>
        </r>
      </text>
    </comment>
    <comment ref="T45" authorId="0" shapeId="0" xr:uid="{E975CBBE-B75A-4734-8B24-06BFDE78B17A}">
      <text>
        <r>
          <rPr>
            <b/>
            <sz val="9"/>
            <color indexed="81"/>
            <rFont val="Tahoma"/>
            <family val="2"/>
          </rPr>
          <t>low end of anticipated range</t>
        </r>
      </text>
    </comment>
    <comment ref="X45" authorId="0" shapeId="0" xr:uid="{7E495B77-BFA7-42D4-949A-C2E2A2FAA474}">
      <text>
        <r>
          <rPr>
            <b/>
            <sz val="9"/>
            <color indexed="81"/>
            <rFont val="Tahoma"/>
            <family val="2"/>
          </rPr>
          <t>high end of anticipated range</t>
        </r>
      </text>
    </comment>
    <comment ref="Q49" authorId="0" shapeId="0" xr:uid="{912FC800-80B7-4C77-89FB-280DBFD993E9}">
      <text>
        <r>
          <rPr>
            <b/>
            <sz val="9"/>
            <color indexed="81"/>
            <rFont val="Tahoma"/>
            <family val="2"/>
          </rPr>
          <t>assume no change in ER until after recovery goal achieved (continue to be limited by natural impacts)</t>
        </r>
      </text>
    </comment>
    <comment ref="U49" authorId="0" shapeId="0" xr:uid="{4F56D46B-1510-4195-876D-94F653780266}">
      <text>
        <r>
          <rPr>
            <b/>
            <sz val="9"/>
            <color indexed="81"/>
            <rFont val="Tahoma"/>
            <family val="2"/>
          </rPr>
          <t>assume about halfway between low and high values (in this case just used the same scalar as the wild</t>
        </r>
      </text>
    </comment>
    <comment ref="Y49" authorId="0" shapeId="0" xr:uid="{89EEDB88-79CB-4D32-B97D-B2F7CC86E022}">
      <text>
        <r>
          <rPr>
            <b/>
            <sz val="9"/>
            <color indexed="81"/>
            <rFont val="Tahoma"/>
            <family val="2"/>
          </rPr>
          <t>assume able to achieve 70% target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Conor Giorgi</author>
    <author>Casey Baldwin</author>
  </authors>
  <commentList>
    <comment ref="A12" authorId="0" shapeId="0" xr:uid="{00000000-0006-0000-0100-000001000000}">
      <text>
        <r>
          <rPr>
            <b/>
            <sz val="9"/>
            <color indexed="81"/>
            <rFont val="Tahoma"/>
            <family val="2"/>
          </rPr>
          <t>Conor Giorgi:</t>
        </r>
        <r>
          <rPr>
            <sz val="9"/>
            <color indexed="81"/>
            <rFont val="Tahoma"/>
            <family val="2"/>
          </rPr>
          <t xml:space="preserve">
Walker's 1985 estimates attributed higher populations for the tribes and higher per capita consumption rates, which were based upon historical catch records and ethnographic data.
</t>
        </r>
      </text>
    </comment>
    <comment ref="A48" authorId="1" shapeId="0" xr:uid="{00000000-0006-0000-0100-000002000000}">
      <text>
        <r>
          <rPr>
            <b/>
            <sz val="9"/>
            <color indexed="81"/>
            <rFont val="Tahoma"/>
            <family val="2"/>
          </rPr>
          <t>Casey Baldwin:</t>
        </r>
        <r>
          <rPr>
            <sz val="9"/>
            <color indexed="81"/>
            <rFont val="Tahoma"/>
            <family val="2"/>
          </rPr>
          <t xml:space="preserve">
this row was incorrectly using the yakima harvest in the previous version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Conor Giorgi</author>
  </authors>
  <commentList>
    <comment ref="C11" authorId="0" shapeId="0" xr:uid="{00000000-0006-0000-0200-000001000000}">
      <text>
        <r>
          <rPr>
            <b/>
            <sz val="9"/>
            <color indexed="81"/>
            <rFont val="Tahoma"/>
            <family val="2"/>
          </rPr>
          <t xml:space="preserve">Casey Baldwin:
</t>
        </r>
        <r>
          <rPr>
            <sz val="9"/>
            <color indexed="81"/>
            <rFont val="Tahoma"/>
            <family val="2"/>
          </rPr>
          <t>will depend on harvest allocation agreements, for now Assume 50% (treaty non-treaty) of 50% (upriver downriver) of 50% (blocked area sharing) = 12.5%</t>
        </r>
        <r>
          <rPr>
            <sz val="9"/>
            <color indexed="81"/>
            <rFont val="Tahoma"/>
            <family val="2"/>
          </rPr>
          <t xml:space="preserve">
</t>
        </r>
      </text>
    </comment>
    <comment ref="C30" authorId="0" shapeId="0" xr:uid="{00000000-0006-0000-0200-000002000000}">
      <text>
        <r>
          <rPr>
            <b/>
            <sz val="9"/>
            <color indexed="81"/>
            <rFont val="Tahoma"/>
            <family val="2"/>
          </rPr>
          <t>Conor Giorgi:</t>
        </r>
        <r>
          <rPr>
            <sz val="9"/>
            <color indexed="81"/>
            <rFont val="Tahoma"/>
            <family val="2"/>
          </rPr>
          <t xml:space="preserve">
Original value provided in Scholz et al. 1985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Ray Beamesderfer</author>
    <author>Conor Giorgi</author>
  </authors>
  <commentList>
    <comment ref="H3" authorId="0" shapeId="0" xr:uid="{00000000-0006-0000-0300-000001000000}">
      <text>
        <r>
          <rPr>
            <b/>
            <sz val="8"/>
            <color indexed="81"/>
            <rFont val="Tahoma"/>
            <family val="2"/>
          </rPr>
          <t>Approx spawning escapement goal (Hoffarth presentation). Adults &amp; jacks?</t>
        </r>
      </text>
    </comment>
    <comment ref="G15" authorId="0" shapeId="0" xr:uid="{00000000-0006-0000-0300-000002000000}">
      <text>
        <r>
          <rPr>
            <b/>
            <sz val="8"/>
            <color indexed="81"/>
            <rFont val="Tahoma"/>
            <family val="2"/>
          </rPr>
          <t>provides for escapement &amp; harvest upstream in Col R</t>
        </r>
      </text>
    </comment>
    <comment ref="H15" authorId="0" shapeId="0" xr:uid="{00000000-0006-0000-0300-000003000000}">
      <text>
        <r>
          <rPr>
            <b/>
            <sz val="8"/>
            <color indexed="81"/>
            <rFont val="Tahoma"/>
            <family val="2"/>
          </rPr>
          <t>Current US v OR goal for Hanford, lower Yakima &amp; mainstem CR above Priest Rapids in additon to current Priest Rapids Hatchery Production. This historically included a minimal run into Snake so an equivalent # including Snake would now be larger. Still works for UCR.</t>
        </r>
      </text>
    </comment>
    <comment ref="H22" authorId="1" shapeId="0" xr:uid="{00000000-0006-0000-0300-000004000000}">
      <text>
        <r>
          <rPr>
            <b/>
            <sz val="9"/>
            <color indexed="81"/>
            <rFont val="Tahoma"/>
            <family val="2"/>
          </rPr>
          <t>Conor Giorgi:</t>
        </r>
        <r>
          <rPr>
            <sz val="9"/>
            <color indexed="81"/>
            <rFont val="Tahoma"/>
            <family val="2"/>
          </rPr>
          <t xml:space="preserve">
Anticipated MAT based on geographic size and multiple spawning areas.</t>
        </r>
      </text>
    </comment>
    <comment ref="I22" authorId="1" shapeId="0" xr:uid="{00000000-0006-0000-0300-000005000000}">
      <text>
        <r>
          <rPr>
            <b/>
            <sz val="9"/>
            <color indexed="81"/>
            <rFont val="Tahoma"/>
            <family val="2"/>
          </rPr>
          <t>Conor Giorgi:</t>
        </r>
        <r>
          <rPr>
            <sz val="9"/>
            <color indexed="81"/>
            <rFont val="Tahoma"/>
            <family val="2"/>
          </rPr>
          <t xml:space="preserve">
Estimated capacity from CCT in US portion of Transboundary reach..
Golder 2017 evaluated portions of the Transboundary reach and found habitat for 93 - 565 redds in areas investigated.  Apply fish/redd for a conservative estimate of capacity given not all mainstem habitats in that reach were assessed.</t>
        </r>
      </text>
    </comment>
    <comment ref="I23" authorId="1" shapeId="0" xr:uid="{00000000-0006-0000-0300-000006000000}">
      <text>
        <r>
          <rPr>
            <b/>
            <sz val="9"/>
            <color indexed="81"/>
            <rFont val="Tahoma"/>
            <family val="2"/>
          </rPr>
          <t>Conor Giorgi:</t>
        </r>
        <r>
          <rPr>
            <sz val="9"/>
            <color indexed="81"/>
            <rFont val="Tahoma"/>
            <family val="2"/>
          </rPr>
          <t xml:space="preserve">
 Assuming 50% of summer/fall chinook EDT equilib abund for "mainstem spokane &amp; tribs" assessment unit (other 50% assigned to summer Chinook) =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xxx</author>
  </authors>
  <commentList>
    <comment ref="D16" authorId="0" shapeId="0" xr:uid="{CA002ADD-B201-4746-BA85-D4303BB960A2}">
      <text>
        <r>
          <rPr>
            <b/>
            <sz val="9"/>
            <color indexed="81"/>
            <rFont val="Tahoma"/>
            <family val="2"/>
          </rPr>
          <t>close to PSC number (years are slightly different)</t>
        </r>
      </text>
    </comment>
    <comment ref="D47" authorId="0" shapeId="0" xr:uid="{55121E7B-0FD3-42FF-A2AB-F46CCA0B8E8D}">
      <text>
        <r>
          <rPr>
            <b/>
            <sz val="9"/>
            <color indexed="81"/>
            <rFont val="Tahoma"/>
            <family val="2"/>
          </rPr>
          <t>close to PSC number (years are slightly different)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Conor Giorgi</author>
  </authors>
  <commentList>
    <comment ref="M153" authorId="0" shapeId="0" xr:uid="{00000000-0006-0000-0500-000001000000}">
      <text>
        <r>
          <rPr>
            <b/>
            <sz val="9"/>
            <color indexed="81"/>
            <rFont val="Tahoma"/>
            <family val="2"/>
          </rPr>
          <t>Conor Giorgi:</t>
        </r>
        <r>
          <rPr>
            <sz val="9"/>
            <color indexed="81"/>
            <rFont val="Tahoma"/>
            <family val="2"/>
          </rPr>
          <t xml:space="preserve">
5% of total Blocked Area harvest goal divided by a 1% SAR, rounded.  </t>
        </r>
        <r>
          <rPr>
            <b/>
            <sz val="9"/>
            <color indexed="81"/>
            <rFont val="Tahoma"/>
            <family val="2"/>
          </rPr>
          <t>Other SAR rates may be considered.</t>
        </r>
      </text>
    </comment>
    <comment ref="N153" authorId="0" shapeId="0" xr:uid="{00000000-0006-0000-0500-000002000000}">
      <text>
        <r>
          <rPr>
            <b/>
            <sz val="9"/>
            <color indexed="81"/>
            <rFont val="Tahoma"/>
            <family val="2"/>
          </rPr>
          <t>Conor Giorgi:</t>
        </r>
        <r>
          <rPr>
            <sz val="9"/>
            <color indexed="81"/>
            <rFont val="Tahoma"/>
            <family val="2"/>
          </rPr>
          <t xml:space="preserve">
33% of total Blocked Area harvest goal divided by a 1% SAR, rounded.  </t>
        </r>
        <r>
          <rPr>
            <b/>
            <sz val="9"/>
            <color indexed="81"/>
            <rFont val="Tahoma"/>
            <family val="2"/>
          </rPr>
          <t>Other SAR rates may be considered.</t>
        </r>
      </text>
    </comment>
    <comment ref="O153" authorId="0" shapeId="0" xr:uid="{00000000-0006-0000-0500-000003000000}">
      <text>
        <r>
          <rPr>
            <b/>
            <sz val="9"/>
            <color indexed="81"/>
            <rFont val="Tahoma"/>
            <family val="2"/>
          </rPr>
          <t>Conor Giorgi:</t>
        </r>
        <r>
          <rPr>
            <sz val="9"/>
            <color indexed="81"/>
            <rFont val="Tahoma"/>
            <family val="2"/>
          </rPr>
          <t xml:space="preserve">
100% of Blocked Area harvest goal divided by a 1% SAR, rounded.  </t>
        </r>
        <r>
          <rPr>
            <b/>
            <sz val="9"/>
            <color indexed="81"/>
            <rFont val="Tahoma"/>
            <family val="2"/>
          </rPr>
          <t>Other SAR rates may be considered.</t>
        </r>
      </text>
    </comment>
  </commentList>
</comments>
</file>

<file path=xl/sharedStrings.xml><?xml version="1.0" encoding="utf-8"?>
<sst xmlns="http://schemas.openxmlformats.org/spreadsheetml/2006/main" count="2026" uniqueCount="563">
  <si>
    <t>ESA: Not Listed</t>
  </si>
  <si>
    <t>Upper Columbia River Fall Chinook</t>
  </si>
  <si>
    <t>Life History: Fall Run, Ocean Type</t>
  </si>
  <si>
    <t>Natural Production</t>
  </si>
  <si>
    <t>Abundance</t>
  </si>
  <si>
    <t>Potential Goal Range</t>
  </si>
  <si>
    <t>MPG</t>
  </si>
  <si>
    <t>Population</t>
  </si>
  <si>
    <t>Historical</t>
  </si>
  <si>
    <t>Low</t>
  </si>
  <si>
    <t>Med</t>
  </si>
  <si>
    <t>High</t>
  </si>
  <si>
    <t>UCR Fall</t>
  </si>
  <si>
    <t>Hanford</t>
  </si>
  <si>
    <t>Yakima R</t>
  </si>
  <si>
    <t>Lake Chelan</t>
  </si>
  <si>
    <t>Far Upper Col</t>
  </si>
  <si>
    <t>Totals</t>
  </si>
  <si>
    <t>Hatchery Production</t>
  </si>
  <si>
    <t>Current Production</t>
  </si>
  <si>
    <t>Location (Program)</t>
  </si>
  <si>
    <t>Brood</t>
  </si>
  <si>
    <t>Yearlings</t>
  </si>
  <si>
    <t>Subyearlings</t>
  </si>
  <si>
    <t>Return</t>
  </si>
  <si>
    <t>Subtotal</t>
  </si>
  <si>
    <t>Fisheries / Harvest</t>
  </si>
  <si>
    <t>Exploitation rate</t>
  </si>
  <si>
    <t>Harvest</t>
  </si>
  <si>
    <t>Location</t>
  </si>
  <si>
    <t>Goal</t>
  </si>
  <si>
    <t>Combined Hatch / Natl</t>
  </si>
  <si>
    <t>--</t>
  </si>
  <si>
    <t>Terminal</t>
  </si>
  <si>
    <t>Blocked area</t>
  </si>
  <si>
    <t>Wild/Natural</t>
  </si>
  <si>
    <t>Total Return</t>
  </si>
  <si>
    <t>@ Goals</t>
  </si>
  <si>
    <t>@ Columbia R Mouth</t>
  </si>
  <si>
    <t>Hatchery</t>
  </si>
  <si>
    <t>% hatchery</t>
  </si>
  <si>
    <t>Harvest (Col Basin)</t>
  </si>
  <si>
    <t>PSC TCChinook15</t>
  </si>
  <si>
    <t>Appdx C12</t>
  </si>
  <si>
    <t>Percent distribution of Hanford Wild Brights total fishing mortalities among fisheries and escapement.</t>
  </si>
  <si>
    <t>Catch</t>
  </si>
  <si>
    <t># of</t>
  </si>
  <si>
    <t>Ages</t>
  </si>
  <si>
    <t>SEAK</t>
  </si>
  <si>
    <t>NBC</t>
  </si>
  <si>
    <t>WCVI</t>
  </si>
  <si>
    <t>Geo St</t>
  </si>
  <si>
    <t>Cent.</t>
  </si>
  <si>
    <t>Canada</t>
  </si>
  <si>
    <t>N Falcon</t>
  </si>
  <si>
    <t>S Falcon</t>
  </si>
  <si>
    <t>Pgt Snd</t>
  </si>
  <si>
    <t>Esc.</t>
  </si>
  <si>
    <t>Year</t>
  </si>
  <si>
    <t>CWTs</t>
  </si>
  <si>
    <t>Present</t>
  </si>
  <si>
    <t>Troll</t>
  </si>
  <si>
    <t>Net</t>
  </si>
  <si>
    <t>Sport</t>
  </si>
  <si>
    <t>Strays</t>
  </si>
  <si>
    <t>term</t>
  </si>
  <si>
    <t>vs riv rtn</t>
  </si>
  <si>
    <t>-</t>
  </si>
  <si>
    <t>Failed</t>
  </si>
  <si>
    <t>Criteria</t>
  </si>
  <si>
    <t>2,3</t>
  </si>
  <si>
    <t>2,3,4</t>
  </si>
  <si>
    <t>2,3,4,5</t>
  </si>
  <si>
    <t>3,4,5</t>
  </si>
  <si>
    <t xml:space="preserve">Total </t>
  </si>
  <si>
    <t xml:space="preserve"> </t>
  </si>
  <si>
    <t>URB</t>
  </si>
  <si>
    <t>CR run</t>
  </si>
  <si>
    <t>WDFW</t>
  </si>
  <si>
    <t>ER</t>
  </si>
  <si>
    <t>PRD-CJD</t>
  </si>
  <si>
    <t>21.5-45%</t>
  </si>
  <si>
    <t>Ocean (AK)</t>
  </si>
  <si>
    <t>Ocean (Can)</t>
  </si>
  <si>
    <t>Ocean (WA/OR)</t>
  </si>
  <si>
    <t>Col R sport</t>
  </si>
  <si>
    <t>Terminal sport</t>
  </si>
  <si>
    <t>Col mainstem sport</t>
  </si>
  <si>
    <t>Col commercial</t>
  </si>
  <si>
    <t>Col treaty</t>
  </si>
  <si>
    <t>vs CR</t>
  </si>
  <si>
    <t>vs ocn</t>
  </si>
  <si>
    <t>Col sport</t>
  </si>
  <si>
    <t>total</t>
  </si>
  <si>
    <t>MigrationYear</t>
  </si>
  <si>
    <t>Species</t>
  </si>
  <si>
    <t>RaceCode</t>
  </si>
  <si>
    <t>ReleaseSite</t>
  </si>
  <si>
    <t>AgencyCode</t>
  </si>
  <si>
    <t>ReleaseStartDate</t>
  </si>
  <si>
    <t>NumReleased</t>
  </si>
  <si>
    <t>RelRiver</t>
  </si>
  <si>
    <t>ReleaseFinishDate</t>
  </si>
  <si>
    <t>LifeStage</t>
  </si>
  <si>
    <t>LotId</t>
  </si>
  <si>
    <t>RiverZone</t>
  </si>
  <si>
    <t>Marking_Info</t>
  </si>
  <si>
    <t>Fall Chinook Subyearling</t>
  </si>
  <si>
    <t>FA</t>
  </si>
  <si>
    <t>COOP</t>
  </si>
  <si>
    <t>Sand Hollow</t>
  </si>
  <si>
    <t>Wanapum Pool</t>
  </si>
  <si>
    <t>Smolt</t>
  </si>
  <si>
    <t>UCOL</t>
  </si>
  <si>
    <t>225 UNMARKED;COOP = Quincy HS</t>
  </si>
  <si>
    <t>Wenatchee River</t>
  </si>
  <si>
    <t>175 UNMARKED;COOP = Yakima Basin Environmetal Education</t>
  </si>
  <si>
    <t>Parr</t>
  </si>
  <si>
    <t>190 UNMARKED;COOP = Yakima Basin Cooperative</t>
  </si>
  <si>
    <t>100% Unmarked; COOP = Yakima Basin Cooperative</t>
  </si>
  <si>
    <t>Crab Creek</t>
  </si>
  <si>
    <t>Priest Rapids Pool</t>
  </si>
  <si>
    <t>100% Unmarked; COOP = Quincy High School</t>
  </si>
  <si>
    <t>Fry</t>
  </si>
  <si>
    <t>100% Unmarked; Fry Release; COOP = Quincy HS</t>
  </si>
  <si>
    <t>100% Unmarked; COOP = Yakima Basin Cooperative; Transferred from Priest Rapids H</t>
  </si>
  <si>
    <t>100% Unmarked; COOP = Quincy HS; Released @ Sand Hollow; Transferred from Priest Rapids H</t>
  </si>
  <si>
    <t>Ringold Springs (Col R)</t>
  </si>
  <si>
    <t xml:space="preserve">Fall Chinook Yearling </t>
  </si>
  <si>
    <t>Bonneville Hatchery</t>
  </si>
  <si>
    <t>Pendelton Acclim Pond</t>
  </si>
  <si>
    <t>ODFW</t>
  </si>
  <si>
    <t>Umatilla River</t>
  </si>
  <si>
    <t>MCOL</t>
  </si>
  <si>
    <t>433736 AD/CWT (09-10-05); 4399 CWT (09-10-05); 1760 UNMARKED;Acclimated Release</t>
  </si>
  <si>
    <t>233360 AD/CWT (09-10-04); 941 CWT (09-10-04); 941 UNMARKED;Acclimated Release</t>
  </si>
  <si>
    <t>119438 AD/CWT (09-10-03); 1463 AD; 975 UNMARKED;Direct Release</t>
  </si>
  <si>
    <t>Umatilla Hatchery</t>
  </si>
  <si>
    <t>Reith Bridge</t>
  </si>
  <si>
    <t>310007 AD/BWT; 347523 AD/CWT (09-10-84 09-10-11);Two Groups - ~50% "Transfer" diet &amp; ~50% Standard Diet</t>
  </si>
  <si>
    <t>Klickitat Hatchery</t>
  </si>
  <si>
    <t>Klickitat River</t>
  </si>
  <si>
    <t>1000000 AD; 500000 CWT; 2500000 UNKNOWN;</t>
  </si>
  <si>
    <t>Little White Salmon NFH</t>
  </si>
  <si>
    <t>Little White Salmon Hatchery</t>
  </si>
  <si>
    <t>USFW</t>
  </si>
  <si>
    <t>Little White Salmon River</t>
  </si>
  <si>
    <t>4297331 AD; 197829 AD/CWT; 198487 CWT; 1381 UNMARKED; 15000 PIT;</t>
  </si>
  <si>
    <t>Willard Hatchery</t>
  </si>
  <si>
    <t>97906 AD/CWT (05-61-52 05-55-75 05-58-36); 1685042 AD; 381 UNMARKED; 99687 CWT (05-61-53 05-58-35 05-58-37 );</t>
  </si>
  <si>
    <t>Spring Creek NFH</t>
  </si>
  <si>
    <t>Spring Creek Hatchery</t>
  </si>
  <si>
    <t>Bonneville Pool</t>
  </si>
  <si>
    <t>6168828 AD; 204714 AD/CWT (05-58-28); 204431 CWT (05-58-29); 393 UNMARKED;Listed but not essential to recovery</t>
  </si>
  <si>
    <t>3802122 AD; 195800 AD/CWT (05-58-24); 194472 CWT (05-58-25); 4354 UNMARKED;Listed but not essential to recovery</t>
  </si>
  <si>
    <t>Above McNary Dam</t>
  </si>
  <si>
    <t>McNary Pool</t>
  </si>
  <si>
    <t>2800 UNMARKED;COOP = Franklin Conservation District</t>
  </si>
  <si>
    <t>Priest Rapids Hatchery</t>
  </si>
  <si>
    <t>3078825 OT; 605363 CWT/OT (63-69-86 63-71-48 63-71-84 63-71-85 63-71-86 63-71-87); 2717035 AD/OT; 605037 AD/CWT/OT (63-71-79 63-71-80 63-71-81 63-71-82 63-71-83); 42973 PIT;</t>
  </si>
  <si>
    <t>Ringold Springs Hatchery</t>
  </si>
  <si>
    <t>2619487 AD/OT; 419496 AD/CWT/OT (09-11-12 09-11-12); 7471 UNMARKED; 3037 PIT;</t>
  </si>
  <si>
    <t>Yakama River</t>
  </si>
  <si>
    <t>Yakima River</t>
  </si>
  <si>
    <t>136000 UNMARKED;COOP = Yakima Basin Environmental Education; Released throughout Yakima R Basin (Ahtanum Cr-Cowiche Cr-Naches R-Toppenish Cr-Wide Hollow-Yakima R)</t>
  </si>
  <si>
    <t>3975 UNMARKED;COOP = Yakima Basin Environmental Education; Released into Columbia River</t>
  </si>
  <si>
    <t>1361075 AD; 99698 AD/CWT (05-59-23); 577 UNMARKED; 99462 CWT (05-59-24);</t>
  </si>
  <si>
    <t>483071 AD/CWT (09-09-44); 975 CWT (09-09-44); 3412 UNMARKED;1st Acclimated Release</t>
  </si>
  <si>
    <t>229560 AD/CWT (09-09-45); 1154 UNMARKED;2nd Acclimated Release</t>
  </si>
  <si>
    <t>105561 AD/CWT (09-09-46); 531 CWT (09-09-46); 213 UNMARKED;Direct Release near pond</t>
  </si>
  <si>
    <t>343688 AD/CWT (09-10-10 09-09-81); 201672 AD/BWT;266085 were experimental "salt-infused transfer" diet; Remainder were standard diet</t>
  </si>
  <si>
    <t>5941689 AD; 203461 AD/CWT (05-57-60); 2278 UNMARKED; 201944 CWT (05-57-61); 9000 PIT;</t>
  </si>
  <si>
    <t>3425802 AD; 194817 AD/CWT (05-56-25); 197966 CWT (05-56-26); 391 UNMARKED; 5995 PIT;</t>
  </si>
  <si>
    <t>3565052 AD; 196105 AD/CWT (05-58-43 05-59-21); 196772 CWT (05-58-42 05-59-22); 3186 UNMARKED;</t>
  </si>
  <si>
    <t>Presmolt</t>
  </si>
  <si>
    <t>3850 UNMARKED;COOP = Franklin Conservation District</t>
  </si>
  <si>
    <t>3133480 AD/OT; 469673 AD/CWT/OT (09-09-821 09-09-83); 7925 OT; 3000 PIT;5 Acre pond (~1.1 M) 6/21-6/29; 9 acre pond (~2.5 M) 6/29-7/4</t>
  </si>
  <si>
    <t>605056 CWT/OT (63-69-08); 605429 AD/CWT/OT (63-69-67 ); 2735146 AD/OT; 3295535 OT; 43000 PIT;PIT-tagged fish were OT only</t>
  </si>
  <si>
    <t>910 UNMARKED;COOP = Grant County Conserv. Dist.</t>
  </si>
  <si>
    <t>10320 UNMARKED;COOP = Yakima Basin Cooperative; Released into Yakima River and Tributaries (Ahtanum Cr-Cowiche-Naches R-Wide Hollow Cr-Wilson Cr-Toppenish Cr)</t>
  </si>
  <si>
    <t>2906 UNMARKED;COOP = Yakima Basin Cooperative</t>
  </si>
  <si>
    <t>1511523 AD; 444678 AD/CWT (63-69-65);</t>
  </si>
  <si>
    <t>Prosser Acclim. Pond</t>
  </si>
  <si>
    <t>Prosser Acclim Pond</t>
  </si>
  <si>
    <t>YATR</t>
  </si>
  <si>
    <t>170000 AD/CWT; 1530000 AD;Transferred from Little White Salmon NFH</t>
  </si>
  <si>
    <t>362472 UNMARKED;</t>
  </si>
  <si>
    <t>180000 UNMARKED; 4000 PIT;</t>
  </si>
  <si>
    <t>20000 UNMARKED; 4000 PIT;Experimental release from three sites below Prosser Dam</t>
  </si>
  <si>
    <t>Marion Drain Hatchery</t>
  </si>
  <si>
    <t>Roza Acclim Pond</t>
  </si>
  <si>
    <t>37000 UNMARKED; 37000 PIT;</t>
  </si>
  <si>
    <t>445 AD; 428594 AD/CWT; 1271 CWT Only; 12494 AD/BWT; 800 Unmarked; Acclimated since Feb 11; 4958 PIT; CWT Codes ( 09-08-66 -67 -68 -69 -70)</t>
  </si>
  <si>
    <t>11409 AD/CWT (09-09-17); 491796 AD/BWT</t>
  </si>
  <si>
    <t>99.6% AD; 99.4% CWT (09-08-71); Direct release to pond</t>
  </si>
  <si>
    <t>6279534 AD Only; 205703 AD/CWT (05-57-30); 205103 CWT Only (05-57-29); 8949 PIT</t>
  </si>
  <si>
    <t>3654057 AD Only; 191205 AD/CWT; 191210 CWT Only; 5983 PIT</t>
  </si>
  <si>
    <t>AD (Total TBD); 500000 CWT</t>
  </si>
  <si>
    <t>4085000 AD Only; 200000 AD/CWT;  200000 CWT Only; 15000 PIT</t>
  </si>
  <si>
    <t>100% Unmarked; COOP = Franklin Conservation</t>
  </si>
  <si>
    <t>3351895 AD; 227619 AD/CWT; 357 CWT Only; 5292 Unmarked; CWT Code (09-09-21)</t>
  </si>
  <si>
    <t>44% Otolith Only; 9% OT/CWT; 8% AD/CWT/OT; 39% AD/OT; PIT</t>
  </si>
  <si>
    <t>100% Unmarked; COOP = Yakima Basin Cooperative; Released throughout Yakima Basin</t>
  </si>
  <si>
    <t>479078 Unmarked; 4044 PIT</t>
  </si>
  <si>
    <t>1488145 AD; 165350 AD/CWT; Transferred from Little White Salmon NFH</t>
  </si>
  <si>
    <t>584397 Unmarked; 4025 PIT</t>
  </si>
  <si>
    <t>52848 Unmarked; 10043 PIT</t>
  </si>
  <si>
    <t>70000 Unmarked; 10052 PIT</t>
  </si>
  <si>
    <t>Nelson Springs</t>
  </si>
  <si>
    <t>99600 Unmarked; 10332 PIT</t>
  </si>
  <si>
    <t>90% AD Only; 5% AD/CWT; 5% CWT Only</t>
  </si>
  <si>
    <t>55000 Unmarked; 4030 PIT</t>
  </si>
  <si>
    <t>50% AD/CWT (09-06-83 09-06-84 09-06-85 09-06-86); 48% CWT Only (09-06-82); 2% AD/BWT; 3930 PIT</t>
  </si>
  <si>
    <t>99.7% AD; 45.3% BWT; 53.2% CWT (09-08-16 09-08-17)</t>
  </si>
  <si>
    <t>100% AD; 10% CWT; Transferred from Little White Salmon NFH</t>
  </si>
  <si>
    <t>100% Unmarked</t>
  </si>
  <si>
    <t>100% Unmarked; 4024 PIT</t>
  </si>
  <si>
    <t>10088 PIT</t>
  </si>
  <si>
    <t>10109 PIT</t>
  </si>
  <si>
    <t>10081 PIT</t>
  </si>
  <si>
    <t>1660790 AD Only; 99059 AD/CWT (05-38-71 05-38-72); 99702 CWT Only (05-38-73 05-38-78); 290 Unmarked; 14932 PIT (AD/CWT)</t>
  </si>
  <si>
    <t>2377763 AD Only; 168780 AD/CWT (09-08-65)</t>
  </si>
  <si>
    <t>99979 CWT Only (05-50-75 -76 05-52-64 -65); 99962 AD/CWT (05-54-16 05-52-62 05-50-73 05-50-74); 1673321 AD Only</t>
  </si>
  <si>
    <t>5757948 AD Only; 205922 AD/CWT(05-56-86); 205548 CWT Only (05-56-87); 8980 PIT</t>
  </si>
  <si>
    <t>4186873 AD Only; 199060 AD/CWT (05-54-33); 198350 CWT Only (05-55-29); 781 Unmarked; 5995 PIT</t>
  </si>
  <si>
    <t>100% Unmarked; COOP = Franklin Conservation District; Rel near Pasco</t>
  </si>
  <si>
    <t>3095507 AD; 219956 AD/CWT; 2784 CWT; 44132 Unmarked; CWT 63-08-63; Rel early due to Ich Outbreak; Rel total includes 528 retained for loss rel 7/16</t>
  </si>
  <si>
    <t>100% OT; 2713196 AD Only; 600883 AD/CWT (63-66-81); 606733 CWT Only (63-66-82); 3345901 Unmarked</t>
  </si>
  <si>
    <t>100% Unmarked; COOP = Yakima Basin Cooperative; Released into tribs throughout Yakima basin</t>
  </si>
  <si>
    <t>457474 AD/CWT (63-66-63 63-66-76); 1542326 AD Only; 468335 Unmarked</t>
  </si>
  <si>
    <t>49.6% AD/CWT (09-06-54 09-06-55 09-06-56 09-06-57); 49.4%  CWT Only (09-06-58 - Conservation Group); 1.7% PIT</t>
  </si>
  <si>
    <t>100% AD; 51% CWT (09-07-04 09-07-05); 49% BWT; Released at Reith Bridge</t>
  </si>
  <si>
    <t>1525532 AD Only; 199802 AD/CWT (05-54-27 05-54-26); 198443 CWT Only (05-54-28 05-54-29); 769 Unmarked; 25000 PIT</t>
  </si>
  <si>
    <t>2328219 AD Only; 168813 AD/CWT (09-06-80)</t>
  </si>
  <si>
    <t>1660690 AD Only; 202423 AD/CWT (05-54-10 05-54-09); Transferred from Spring Creek NFH</t>
  </si>
  <si>
    <t>6047421 AD Only; 189500 AD/CWT (05-56-23); 203834 CWT Only (05-56-24); 820 Unmarked; 8979 PIT</t>
  </si>
  <si>
    <t>4405755 AD Only; 193893 AD/CWT (05-54-07); 201463 CWT Only (05-54-08); 5976 PIT</t>
  </si>
  <si>
    <t>2960333 AD Only; 214874 AD/CWT; 5942 CWT Only; 66224 Unmarked; CWT Code 09-06-81</t>
  </si>
  <si>
    <t>2712228 AD Only; 601009 CWT Only (63-65-08); 603930 AD/CWT (63-65-07); 2905694 Unmarked; PIT</t>
  </si>
  <si>
    <t>100% Unmarked; COOP = Yakima Basin Cooperative; Released into tributaries throughout Yakima Basin; Transferred from Priest Rapids H</t>
  </si>
  <si>
    <t>57.4% AD Only; 13.4% AD/CWT; 29.1% Unmarked; CWT Code 63-65-06</t>
  </si>
  <si>
    <t>90% AD Only; 10% AD/CWT; Transferred from Little White Salmon NFH</t>
  </si>
  <si>
    <t>100% PIT</t>
  </si>
  <si>
    <t>100% CWT Only; 15063 PIT; Transferred from Wells H</t>
  </si>
  <si>
    <t>100% CWT Only; 10053 PIT</t>
  </si>
  <si>
    <t>Wells Hatchery</t>
  </si>
  <si>
    <t>100% CWT Only; 15087 PIT; Transferred from Wells H</t>
  </si>
  <si>
    <t>100% Unmarked; COOP = Franklin Conservation District; Rel into Columbia R at Pasco</t>
  </si>
  <si>
    <t>100% CWT; 306 PIT; Rel @ Zillah boat ramp</t>
  </si>
  <si>
    <t>Row Labels</t>
  </si>
  <si>
    <t>Grand Total</t>
  </si>
  <si>
    <t>Column Labels</t>
  </si>
  <si>
    <t>Sum of NumReleased</t>
  </si>
  <si>
    <t>Natl escape</t>
  </si>
  <si>
    <t>Total escape</t>
  </si>
  <si>
    <t>Current</t>
  </si>
  <si>
    <t>Medium</t>
  </si>
  <si>
    <t>New (John Day Mitigation)</t>
  </si>
  <si>
    <t>Priest Rapids</t>
  </si>
  <si>
    <t>Total</t>
  </si>
  <si>
    <t>production</t>
  </si>
  <si>
    <t>note these escapements don't match Hoffarth presentation numbers</t>
  </si>
  <si>
    <t>US v OR esc</t>
  </si>
  <si>
    <t>Usv OR @ MCN</t>
  </si>
  <si>
    <t>To Upper Col R (MCN)</t>
  </si>
  <si>
    <t>UC Blocked</t>
  </si>
  <si>
    <t>Rufus Woods</t>
  </si>
  <si>
    <t>Spokane</t>
  </si>
  <si>
    <t>Historical harvest was calculated using values from Scholz et al. 1985 Technical Report #2 and NPPC 1986.  Proportion of UCR harvest, by species, was found in Scholz (pg. 78).  Proportion of Chinook harvest was further broken by run according to run-specific harvest totals found in NPCC 1986 (Tables 3 &amp; 4 of that document). Species &amp; run specific anadromous fish consumption from Table 3.3 (Scholz, pg. 75) were broken down for each tribe by species.  The pounds of species consumed were divided by the species' average weight to get a number of fish consumed by each tribe.  Tribal catches were assigned to geographically appropriate major population groups.  The capture efficiencies of 85% 66%, 50%, and 33% were applied to the catches within the MPGs to estimate numbers of returning adults.</t>
  </si>
  <si>
    <t>Most tables in NPPC 1986, which are derived from previously published historic run size reports, have summer chinook composing approximately 50% of the total chinook run.</t>
  </si>
  <si>
    <t>Relevant salmon/sthd consumption data using Walker (1985) estimates from Scholz et al. Table 3.3 (pg. 75)</t>
  </si>
  <si>
    <t>Tribe</t>
  </si>
  <si>
    <t>Historic Harvest/Consumption (lbs)</t>
  </si>
  <si>
    <t>Coeur d'Alene</t>
  </si>
  <si>
    <t>CCT- Okanogan</t>
  </si>
  <si>
    <t>CCT- Sanpoil, Nespelem</t>
  </si>
  <si>
    <t>CCT- Kettle Falls</t>
  </si>
  <si>
    <t>Flathead</t>
  </si>
  <si>
    <t>Kalispel</t>
  </si>
  <si>
    <t>Kootenai</t>
  </si>
  <si>
    <t>Lakes</t>
  </si>
  <si>
    <t>Pend d'Oreille</t>
  </si>
  <si>
    <t>Scholz et al. unlabeled table on pg. 78 (proportion of fish harvested in UCR).</t>
  </si>
  <si>
    <t>Proportion of UCR Historic Harvest</t>
  </si>
  <si>
    <t>Average Weight</t>
  </si>
  <si>
    <t>Tribal Consumption (lbs)</t>
  </si>
  <si>
    <t>Race</t>
  </si>
  <si>
    <t>% of catch</t>
  </si>
  <si>
    <t>Spring Chinook</t>
  </si>
  <si>
    <t>Spring</t>
  </si>
  <si>
    <t>Summer Chinook</t>
  </si>
  <si>
    <t>Summer</t>
  </si>
  <si>
    <t>Fall Chinook</t>
  </si>
  <si>
    <t>Fall</t>
  </si>
  <si>
    <t>All Chinook</t>
  </si>
  <si>
    <t>Coho</t>
  </si>
  <si>
    <t>Sockeye</t>
  </si>
  <si>
    <t>Steelhead</t>
  </si>
  <si>
    <t>Harvest by Species (lbs)</t>
  </si>
  <si>
    <t>Total (lbs)</t>
  </si>
  <si>
    <t>Total Chinook</t>
  </si>
  <si>
    <t>Historic Harvest by Species (# of fish)</t>
  </si>
  <si>
    <t>Total (# of fish)</t>
  </si>
  <si>
    <t>CCT- Okan., Met., Wen.</t>
  </si>
  <si>
    <t>Similar to Table 3.8 in Scholz et al., run estimates based on various catch rates applied to harvest estimates updated with values for entire Upper Columbia River.</t>
  </si>
  <si>
    <t>Estimated Harvest from Tribes (# of fish)</t>
  </si>
  <si>
    <t>Catch = 85%</t>
  </si>
  <si>
    <t>Catch = 66%</t>
  </si>
  <si>
    <t>Catch = 50%</t>
  </si>
  <si>
    <t>Catch = 33%</t>
  </si>
  <si>
    <t>Assumed percentage of tribal harvest from various summer Chinook MPGs and populations, a function of the Tribe's U&amp;A and use of invited fisheries.</t>
  </si>
  <si>
    <t>San/K/C</t>
  </si>
  <si>
    <t>SP</t>
  </si>
  <si>
    <t>East Cascades</t>
  </si>
  <si>
    <t>TOTAL</t>
  </si>
  <si>
    <t>Estimated Total Spring Chinook Harvest</t>
  </si>
  <si>
    <t>Sanpoil</t>
  </si>
  <si>
    <t>Kettle/Colville</t>
  </si>
  <si>
    <t>Kootenay/Transb.</t>
  </si>
  <si>
    <t>Headwaters</t>
  </si>
  <si>
    <t>Hangman Cr.</t>
  </si>
  <si>
    <t>Combined</t>
  </si>
  <si>
    <t>Estimated # of summer Chinook harvested by each tribe, assigned to various MPGs and populations per the assumed percentages above.</t>
  </si>
  <si>
    <r>
      <t xml:space="preserve">Abundance estimates under various catch efficiencies per MPG and Population based upon tribe's historic harvest of </t>
    </r>
    <r>
      <rPr>
        <b/>
        <sz val="11"/>
        <color theme="1"/>
        <rFont val="Calibri"/>
        <family val="2"/>
        <scheme val="minor"/>
      </rPr>
      <t>fall Chinook</t>
    </r>
    <r>
      <rPr>
        <sz val="11"/>
        <color theme="1"/>
        <rFont val="Calibri"/>
        <family val="2"/>
        <scheme val="minor"/>
      </rPr>
      <t>, similar to Scholz Table 3.8</t>
    </r>
  </si>
  <si>
    <t>Estimated Tribal Harvest</t>
  </si>
  <si>
    <t>SP/K/C</t>
  </si>
  <si>
    <t>RUF (Rufus Woods)</t>
  </si>
  <si>
    <t>KET (Mainstem Col./Roosevelt)</t>
  </si>
  <si>
    <t>KOO (Kootenai/Transboundary)</t>
  </si>
  <si>
    <t>AC Total</t>
  </si>
  <si>
    <t>MAI (Mainstem)</t>
  </si>
  <si>
    <t>SP Total</t>
  </si>
  <si>
    <t>Blocked Area Total</t>
  </si>
  <si>
    <t>UC</t>
  </si>
  <si>
    <t>WEN (Wenatchee)</t>
  </si>
  <si>
    <t>ENT (Entiat)</t>
  </si>
  <si>
    <t>MET (Methow)</t>
  </si>
  <si>
    <t>OKA (Okanogan)</t>
  </si>
  <si>
    <t>UC Total</t>
  </si>
  <si>
    <t>UCR Total Fall Chinook</t>
  </si>
  <si>
    <t>Roosevelt/Transboundary</t>
  </si>
  <si>
    <t>Upper Columbia (TBD)</t>
  </si>
  <si>
    <t>Draft Tribal harvest goals based on approximate 2018 human populations and various fish consumption rate objectives.  Yellow highlighted cells have not undergone tribal policy approval and should not be considered offical tribal goals.  Pounds per day includes a correction factor of 0.8 to account for 20% inedible biomass/fish.  Species specific consumption goals are based on historic species composition as estimated by Scholz and do not reflect contemporary tribal objectives for species specific harvest needs.</t>
  </si>
  <si>
    <t>Current Membership</t>
  </si>
  <si>
    <t>Fish Consumption Rate (lbs/day)</t>
  </si>
  <si>
    <t>Annual Consumption (lbs)</t>
  </si>
  <si>
    <t># spring Chinook</t>
  </si>
  <si>
    <t># summer Chinook</t>
  </si>
  <si>
    <t># fall Chinook</t>
  </si>
  <si>
    <t># Coho</t>
  </si>
  <si>
    <t># Sockeye</t>
  </si>
  <si>
    <t># Steelhead</t>
  </si>
  <si>
    <t>Colville</t>
  </si>
  <si>
    <t>Ktunaxa</t>
  </si>
  <si>
    <t>ONA</t>
  </si>
  <si>
    <t>Sport Fishery</t>
  </si>
  <si>
    <t>Assumed 12.5% of Regional Harvest</t>
  </si>
  <si>
    <t>Percentage of totals from the above table for use in setting harvest goals for the blocked area, upstream of Chief Joseph Dam</t>
  </si>
  <si>
    <t>Percent of Total</t>
  </si>
  <si>
    <t>Hatchery Production Goals</t>
  </si>
  <si>
    <t>Prosser (Yakima R)</t>
  </si>
  <si>
    <t>Passing CJD</t>
  </si>
  <si>
    <t>Low goal</t>
  </si>
  <si>
    <t>Med goal</t>
  </si>
  <si>
    <t>High goal</t>
  </si>
  <si>
    <t>Potential</t>
  </si>
  <si>
    <t>Anticipated</t>
  </si>
  <si>
    <t>40-80%</t>
  </si>
  <si>
    <t>10-yr avg</t>
  </si>
  <si>
    <t>Recent</t>
  </si>
  <si>
    <t>Escapement</t>
  </si>
  <si>
    <t>Adult</t>
  </si>
  <si>
    <t>Jack</t>
  </si>
  <si>
    <t>Includes hatchery contributions</t>
  </si>
  <si>
    <t>Return*</t>
  </si>
  <si>
    <t>Harvest (%)</t>
  </si>
  <si>
    <t>Mean</t>
  </si>
  <si>
    <t>1998-2006</t>
  </si>
  <si>
    <t>2007-12</t>
  </si>
  <si>
    <t>* includes hatchery origin fish harvested in sport fishery</t>
  </si>
  <si>
    <t>geomean</t>
  </si>
  <si>
    <t>Adults</t>
  </si>
  <si>
    <t>From Paul Hoffarth WDFW</t>
  </si>
  <si>
    <t>Limit</t>
  </si>
  <si>
    <t>Stock</t>
  </si>
  <si>
    <t>Record type</t>
  </si>
  <si>
    <t>Subject</t>
  </si>
  <si>
    <t>Variable</t>
  </si>
  <si>
    <t>Value</t>
  </si>
  <si>
    <t>Metric</t>
  </si>
  <si>
    <t>Units</t>
  </si>
  <si>
    <t>Method</t>
  </si>
  <si>
    <t>Years</t>
  </si>
  <si>
    <t>Quantitative Goal Rules</t>
  </si>
  <si>
    <t>Reference</t>
  </si>
  <si>
    <t>Reference Link</t>
  </si>
  <si>
    <t>Notes</t>
  </si>
  <si>
    <t>Upper Columbia Fall Chinook</t>
  </si>
  <si>
    <t>natural origin spawners adults</t>
  </si>
  <si>
    <t>2008-2017</t>
  </si>
  <si>
    <t>not applicable</t>
  </si>
  <si>
    <t>B Bosch, YN pers. Comm.</t>
  </si>
  <si>
    <t>P Hoffarth, WDFW, pers. Comm.</t>
  </si>
  <si>
    <t>Unpublished</t>
  </si>
  <si>
    <t>average</t>
  </si>
  <si>
    <t>Equivalent to Snake River Fall Chinook Recovery Goal</t>
  </si>
  <si>
    <t>blocked area</t>
  </si>
  <si>
    <t>run reconstruction</t>
  </si>
  <si>
    <t>assumption</t>
  </si>
  <si>
    <t>Estimates are based on total returns of 6600 avg which are dominated by hatchery origin fish. No breakouts are available. Arbitrarily assumed to be at least 1,000 Natural origin</t>
  </si>
  <si>
    <t>Present condition</t>
  </si>
  <si>
    <t>C Giorgi, Spokane Tribe</t>
  </si>
  <si>
    <t>Based on downstream &amp; upstream dam counts, local harvest &amp; tributary turnoff</t>
  </si>
  <si>
    <t>L mainstem Subbasin plan:</t>
  </si>
  <si>
    <t>Expert judgement</t>
  </si>
  <si>
    <t>Based on historical Columbia River run size estimates &amp; Fall Chinook distribution</t>
  </si>
  <si>
    <t>ESA viability goal</t>
  </si>
  <si>
    <t>Minimum abundance threshold</t>
  </si>
  <si>
    <t>Anticipated MAT based on geographic size and multiple spawning areas.</t>
  </si>
  <si>
    <t>Historically part of mainstem aggregate that includes Hanford reach</t>
  </si>
  <si>
    <t>UCR Regional Technical Team</t>
  </si>
  <si>
    <t>https://www.researchgate.net/publication/318596688_Hanford_Reach_Upriver_Bright_Productivity_Analysis_Update/download</t>
  </si>
  <si>
    <t>Current capacity estimate</t>
  </si>
  <si>
    <t>Stock-Recruitment analysis</t>
  </si>
  <si>
    <t xml:space="preserve"> Harnish, R. A.  2017. Hanford Reac upriver bright productivity analysis update</t>
  </si>
  <si>
    <t>Model analysis</t>
  </si>
  <si>
    <t>Low range - 1</t>
  </si>
  <si>
    <t>Low range - 2</t>
  </si>
  <si>
    <t>High range - 3</t>
  </si>
  <si>
    <t>Mainstem: Estimated capacity from CCT in US portion of Transboundary reach. Golder 2017 evaluated portions of the Transboundary reach and found habitat for 93 - 565 redds in areas investigated.  Apply fish/redd for a conservative estimate of capacity given not all mainstem habitats in that reach were assessed. Spokane: Assuming 50% of summer/fall chinook EDT equilib abund for "mainstem spokane &amp; tribs" assessment unit (other 50% assigned to summer Chinook)</t>
  </si>
  <si>
    <t>Mid-way between low- and high-range goals</t>
  </si>
  <si>
    <t>3x MAT</t>
  </si>
  <si>
    <t>High range - 2</t>
  </si>
  <si>
    <t>Mid range - 2</t>
  </si>
  <si>
    <t>Mid range - 3</t>
  </si>
  <si>
    <t>High range - 4</t>
  </si>
  <si>
    <t>current</t>
  </si>
  <si>
    <t>historical</t>
  </si>
  <si>
    <t>Based on assumed historical numbers available to tribal fisheries</t>
  </si>
  <si>
    <t>forwards</t>
  </si>
  <si>
    <t>backwards</t>
  </si>
  <si>
    <t>actual</t>
  </si>
  <si>
    <t>mort</t>
  </si>
  <si>
    <t>surv</t>
  </si>
  <si>
    <t>cummul</t>
  </si>
  <si>
    <t>#</t>
  </si>
  <si>
    <t>diff</t>
  </si>
  <si>
    <t>wild</t>
  </si>
  <si>
    <t>terminal run</t>
  </si>
  <si>
    <t>Natl loss from BON to MCN</t>
  </si>
  <si>
    <t>Harvest from BON to MCN</t>
  </si>
  <si>
    <t>Natl loss from mouth to BON</t>
  </si>
  <si>
    <t>Harvest from mouth to BON</t>
  </si>
  <si>
    <t>ER v mouth</t>
  </si>
  <si>
    <t>Conversion loss</t>
  </si>
  <si>
    <t>%</t>
  </si>
  <si>
    <t>ER goal</t>
  </si>
  <si>
    <t>hatchery</t>
  </si>
  <si>
    <t>Subjective assumptions for how much hatchery harvest rates might increase relative to wild rates</t>
  </si>
  <si>
    <t>@BON</t>
  </si>
  <si>
    <t>These are aspirational harvest rates identified to provide progressively reasonable opportunity</t>
  </si>
  <si>
    <t>scalar</t>
  </si>
  <si>
    <t>harv rates adjusted to maintain similar hatchery escapement</t>
  </si>
  <si>
    <t>releases</t>
  </si>
  <si>
    <t>ocn harv total</t>
  </si>
  <si>
    <t>ocn abundance</t>
  </si>
  <si>
    <t>ocn ER total</t>
  </si>
  <si>
    <t>check 2</t>
  </si>
  <si>
    <t>check 1</t>
  </si>
  <si>
    <t>close</t>
  </si>
  <si>
    <t>Harvest from MCN to terminal area</t>
  </si>
  <si>
    <t>Natl loss from MCN to terminal area</t>
  </si>
  <si>
    <t>@ MCN</t>
  </si>
  <si>
    <t>does not account for mark selective fisheries</t>
  </si>
  <si>
    <t>@ Bonneville Dam</t>
  </si>
  <si>
    <t>Harvest (Total)</t>
  </si>
  <si>
    <t>Catch Year</t>
  </si>
  <si>
    <t>Est</t>
  </si>
  <si>
    <t>CWT</t>
  </si>
  <si>
    <t>AABM Fishery</t>
  </si>
  <si>
    <t>ISBM Fishery</t>
  </si>
  <si>
    <t>Terminal Fishery</t>
  </si>
  <si>
    <t>T</t>
  </si>
  <si>
    <t>N</t>
  </si>
  <si>
    <t>S</t>
  </si>
  <si>
    <t>NBC &amp; CBC</t>
  </si>
  <si>
    <t>Puget Sd</t>
  </si>
  <si>
    <t>Southern US</t>
  </si>
  <si>
    <t>Stray</t>
  </si>
  <si>
    <t>NA</t>
  </si>
  <si>
    <t>85–95</t>
  </si>
  <si>
    <t>96–98</t>
  </si>
  <si>
    <t>99–08</t>
  </si>
  <si>
    <t>09–16</t>
  </si>
  <si>
    <t>tcchinook 18-1 v2</t>
  </si>
  <si>
    <t>Appendix C15–Percent distribution of Hanford Wild Brights total fishing mortalities among fisheries and escapement.</t>
  </si>
  <si>
    <t>Southern BC</t>
  </si>
  <si>
    <t>WAC</t>
  </si>
  <si>
    <t>2003-2012</t>
  </si>
  <si>
    <t>calc</t>
  </si>
  <si>
    <t>TAC</t>
  </si>
  <si>
    <t>PSC</t>
  </si>
  <si>
    <t>Avg (v ocn)</t>
  </si>
  <si>
    <t>Avg (v CR)</t>
  </si>
  <si>
    <t>Col R total</t>
  </si>
  <si>
    <t>Ocean total</t>
  </si>
  <si>
    <t>2006-2015</t>
  </si>
  <si>
    <t>06-15</t>
  </si>
  <si>
    <t>(less esc)</t>
  </si>
  <si>
    <t>Columbia River mouth return</t>
  </si>
  <si>
    <t>BON</t>
  </si>
  <si>
    <t>Exploitation rates (v CR)</t>
  </si>
  <si>
    <t>sport</t>
  </si>
  <si>
    <t xml:space="preserve">Hanford  </t>
  </si>
  <si>
    <t>% Hat</t>
  </si>
  <si>
    <t>MCR origin</t>
  </si>
  <si>
    <t>Snake origin</t>
  </si>
  <si>
    <t>UCR origin</t>
  </si>
  <si>
    <t>NI comm</t>
  </si>
  <si>
    <t>Treaty</t>
  </si>
  <si>
    <t>spt &gt; Mcn</t>
  </si>
  <si>
    <t>LCR v CR</t>
  </si>
  <si>
    <t>Zn 6 v BON</t>
  </si>
  <si>
    <t>&gt;MCN v MCN</t>
  </si>
  <si>
    <t>LCR total</t>
  </si>
  <si>
    <t>Zn 6 total</t>
  </si>
  <si>
    <t xml:space="preserve"> (McN-H395)</t>
  </si>
  <si>
    <t>rtn to Yakima</t>
  </si>
  <si>
    <t>Yak spt harv</t>
  </si>
  <si>
    <t>Yak esc</t>
  </si>
  <si>
    <t>return</t>
  </si>
  <si>
    <t>sport harv</t>
  </si>
  <si>
    <t>escape</t>
  </si>
  <si>
    <t>pHOS</t>
  </si>
  <si>
    <t>swim ins</t>
  </si>
  <si>
    <t>in return</t>
  </si>
  <si>
    <t>PRD count</t>
  </si>
  <si>
    <t>From run reconstruction spreadsheet</t>
  </si>
  <si>
    <t>HOS</t>
  </si>
  <si>
    <t>NOS</t>
  </si>
  <si>
    <t>for plot</t>
  </si>
  <si>
    <t>Recent avg</t>
  </si>
  <si>
    <t>(2008-2017)</t>
  </si>
  <si>
    <t>Hat SAR</t>
  </si>
  <si>
    <t>UCR return</t>
  </si>
  <si>
    <t>Escape (MCN-PRD)</t>
  </si>
  <si>
    <t>SAR</t>
  </si>
  <si>
    <t>% hat =</t>
  </si>
  <si>
    <t>Total harvest CR</t>
  </si>
  <si>
    <t>Harvest in ocean</t>
  </si>
  <si>
    <t>Ocn abundance</t>
  </si>
  <si>
    <t>Total harvest (incl ocean)</t>
  </si>
  <si>
    <t>ER v ocean</t>
  </si>
  <si>
    <t>RID</t>
  </si>
  <si>
    <t>dam count</t>
  </si>
  <si>
    <t>Rock Island Dam count</t>
  </si>
  <si>
    <t>0.27-0.54 mil</t>
  </si>
  <si>
    <t xml:space="preserve">Ringold </t>
  </si>
  <si>
    <t>John Day Mitigation</t>
  </si>
  <si>
    <t>Prosser</t>
  </si>
  <si>
    <t>I-82 age 1</t>
  </si>
  <si>
    <t>I-82 age 0</t>
  </si>
  <si>
    <t>21.6-26.7 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</si>
</sst>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00"/>
  </numFmts>
  <fonts count="2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color rgb="FFFF0000"/>
      <name val="Calibri"/>
      <family val="2"/>
      <scheme val="minor"/>
    </font>
    <font>
      <sz val="11"/>
      <name val="Calibri"/>
      <family val="2"/>
      <scheme val="minor"/>
    </font>
    <font>
      <b/>
      <sz val="11"/>
      <name val="Calibri"/>
      <family val="2"/>
      <scheme val="minor"/>
    </font>
    <font>
      <b/>
      <u/>
      <sz val="11"/>
      <color theme="1"/>
      <name val="Calibri"/>
      <family val="2"/>
      <scheme val="minor"/>
    </font>
    <font>
      <b/>
      <sz val="8"/>
      <color indexed="81"/>
      <name val="Tahoma"/>
      <family val="2"/>
    </font>
    <font>
      <b/>
      <i/>
      <sz val="11"/>
      <color theme="1"/>
      <name val="Calibri"/>
      <family val="2"/>
      <scheme val="minor"/>
    </font>
    <font>
      <b/>
      <sz val="9"/>
      <color indexed="81"/>
      <name val="Tahoma"/>
      <family val="2"/>
    </font>
    <font>
      <sz val="11"/>
      <color indexed="8"/>
      <name val="Calibri"/>
      <family val="2"/>
      <scheme val="minor"/>
    </font>
    <font>
      <sz val="10"/>
      <color theme="1"/>
      <name val="Arial"/>
      <family val="2"/>
    </font>
    <font>
      <sz val="9"/>
      <color indexed="81"/>
      <name val="Tahoma"/>
      <family val="2"/>
    </font>
    <font>
      <i/>
      <sz val="11"/>
      <color theme="1"/>
      <name val="Calibri"/>
      <family val="2"/>
      <scheme val="minor"/>
    </font>
    <font>
      <sz val="11"/>
      <color theme="1"/>
      <name val="Times New Roman"/>
      <family val="1"/>
    </font>
    <font>
      <b/>
      <sz val="11"/>
      <name val="Times New Roman"/>
      <family val="1"/>
    </font>
    <font>
      <sz val="11"/>
      <name val="Times New Roman"/>
      <family val="1"/>
    </font>
    <font>
      <b/>
      <sz val="11"/>
      <color rgb="FFFF0000"/>
      <name val="Times New Roman"/>
      <family val="1"/>
    </font>
    <font>
      <b/>
      <u/>
      <sz val="9"/>
      <color indexed="81"/>
      <name val="Tahoma"/>
      <family val="2"/>
    </font>
    <font>
      <u/>
      <sz val="11"/>
      <color theme="10"/>
      <name val="Calibri"/>
      <family val="2"/>
      <scheme val="minor"/>
    </font>
    <font>
      <sz val="11"/>
      <color rgb="FF000000"/>
      <name val="Calibri"/>
      <family val="2"/>
    </font>
    <font>
      <u/>
      <sz val="11"/>
      <color theme="1"/>
      <name val="Calibri"/>
      <family val="2"/>
      <scheme val="minor"/>
    </font>
    <font>
      <sz val="14"/>
      <color theme="1"/>
      <name val="Calibri"/>
      <family val="2"/>
      <scheme val="minor"/>
    </font>
    <font>
      <b/>
      <sz val="14"/>
      <color theme="1"/>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ADADA"/>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C0C0C0"/>
        <bgColor indexed="64"/>
      </patternFill>
    </fill>
    <fill>
      <patternFill patternType="solid">
        <fgColor rgb="FF008D85"/>
        <bgColor indexed="64"/>
      </patternFill>
    </fill>
    <fill>
      <patternFill patternType="solid">
        <fgColor rgb="FFCDFFFD"/>
        <bgColor indexed="64"/>
      </patternFill>
    </fill>
    <fill>
      <patternFill patternType="solid">
        <fgColor rgb="FFEBFFFE"/>
        <bgColor indexed="64"/>
      </patternFill>
    </fill>
  </fills>
  <borders count="7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s>
  <cellStyleXfs count="5">
    <xf numFmtId="0" fontId="0" fillId="0" borderId="0"/>
    <xf numFmtId="9" fontId="1" fillId="0" borderId="0" applyFont="0" applyFill="0" applyBorder="0" applyAlignment="0" applyProtection="0"/>
    <xf numFmtId="0" fontId="14" fillId="0" borderId="0"/>
    <xf numFmtId="43" fontId="1" fillId="0" borderId="0" applyFont="0" applyFill="0" applyBorder="0" applyAlignment="0" applyProtection="0"/>
    <xf numFmtId="0" fontId="22" fillId="0" borderId="0" applyNumberFormat="0" applyFill="0" applyBorder="0" applyAlignment="0" applyProtection="0"/>
  </cellStyleXfs>
  <cellXfs count="557">
    <xf numFmtId="0" fontId="0" fillId="0" borderId="0" xfId="0"/>
    <xf numFmtId="0" fontId="0" fillId="3" borderId="0" xfId="0" applyFill="1"/>
    <xf numFmtId="0" fontId="7" fillId="0" borderId="0" xfId="0" applyFont="1"/>
    <xf numFmtId="0" fontId="0" fillId="0" borderId="6" xfId="0" applyBorder="1"/>
    <xf numFmtId="0" fontId="4" fillId="5" borderId="1" xfId="0" applyFont="1" applyFill="1" applyBorder="1"/>
    <xf numFmtId="0" fontId="4" fillId="6" borderId="1" xfId="0" applyFont="1" applyFill="1" applyBorder="1"/>
    <xf numFmtId="0" fontId="4" fillId="6" borderId="8" xfId="0" applyFont="1" applyFill="1" applyBorder="1"/>
    <xf numFmtId="0" fontId="4" fillId="6" borderId="11" xfId="0" applyFont="1" applyFill="1" applyBorder="1" applyAlignment="1">
      <alignment horizontal="center"/>
    </xf>
    <xf numFmtId="0" fontId="4" fillId="6" borderId="10" xfId="0" applyFont="1" applyFill="1" applyBorder="1" applyAlignment="1">
      <alignment horizontal="center"/>
    </xf>
    <xf numFmtId="0" fontId="3" fillId="0" borderId="0" xfId="0" applyFont="1"/>
    <xf numFmtId="0" fontId="4" fillId="4" borderId="1" xfId="0" applyFont="1" applyFill="1" applyBorder="1"/>
    <xf numFmtId="0" fontId="9" fillId="7" borderId="5" xfId="0" applyFont="1" applyFill="1" applyBorder="1" applyAlignment="1">
      <alignment horizontal="centerContinuous"/>
    </xf>
    <xf numFmtId="0" fontId="9" fillId="7" borderId="4" xfId="0" applyFont="1" applyFill="1" applyBorder="1" applyAlignment="1">
      <alignment horizontal="centerContinuous"/>
    </xf>
    <xf numFmtId="0" fontId="4" fillId="7" borderId="9" xfId="0" applyFont="1" applyFill="1" applyBorder="1"/>
    <xf numFmtId="0" fontId="4" fillId="7" borderId="11" xfId="0" applyFont="1" applyFill="1" applyBorder="1"/>
    <xf numFmtId="0" fontId="4" fillId="7" borderId="11" xfId="0" applyFont="1" applyFill="1" applyBorder="1" applyAlignment="1">
      <alignment horizontal="center"/>
    </xf>
    <xf numFmtId="0" fontId="4" fillId="7" borderId="10" xfId="0" applyFont="1" applyFill="1" applyBorder="1" applyAlignment="1">
      <alignment horizontal="center"/>
    </xf>
    <xf numFmtId="164" fontId="0" fillId="0" borderId="0" xfId="1" applyNumberFormat="1" applyFont="1" applyAlignment="1">
      <alignment horizontal="center"/>
    </xf>
    <xf numFmtId="0" fontId="0" fillId="0" borderId="0" xfId="0" quotePrefix="1" applyAlignment="1">
      <alignment horizontal="center"/>
    </xf>
    <xf numFmtId="0" fontId="0" fillId="0" borderId="11" xfId="0" quotePrefix="1" applyBorder="1" applyAlignment="1">
      <alignment horizontal="center"/>
    </xf>
    <xf numFmtId="0" fontId="0" fillId="0" borderId="9" xfId="0" applyBorder="1"/>
    <xf numFmtId="0" fontId="0" fillId="0" borderId="11" xfId="0" applyBorder="1"/>
    <xf numFmtId="0" fontId="4" fillId="0" borderId="6" xfId="0" applyFont="1" applyBorder="1"/>
    <xf numFmtId="0" fontId="4" fillId="0" borderId="3" xfId="0" applyFont="1" applyBorder="1"/>
    <xf numFmtId="0" fontId="0" fillId="0" borderId="5" xfId="0" applyBorder="1"/>
    <xf numFmtId="0" fontId="13" fillId="9" borderId="14" xfId="0" applyFont="1" applyFill="1" applyBorder="1" applyAlignment="1">
      <alignment horizontal="center" vertical="top" wrapText="1"/>
    </xf>
    <xf numFmtId="0" fontId="13" fillId="9" borderId="15" xfId="0" applyFont="1" applyFill="1" applyBorder="1" applyAlignment="1">
      <alignment horizontal="left" vertical="top" wrapText="1" indent="1"/>
    </xf>
    <xf numFmtId="0" fontId="13" fillId="9" borderId="15" xfId="0" applyFont="1" applyFill="1" applyBorder="1" applyAlignment="1">
      <alignment horizontal="left" vertical="top" wrapText="1"/>
    </xf>
    <xf numFmtId="0" fontId="7" fillId="9" borderId="16" xfId="0" applyFont="1" applyFill="1" applyBorder="1" applyAlignment="1">
      <alignment horizontal="left" vertical="top" wrapText="1"/>
    </xf>
    <xf numFmtId="0" fontId="13" fillId="9" borderId="17" xfId="0" applyFont="1" applyFill="1" applyBorder="1" applyAlignment="1">
      <alignment horizontal="left" vertical="top" wrapText="1" indent="1"/>
    </xf>
    <xf numFmtId="0" fontId="7" fillId="9" borderId="18" xfId="0" applyFont="1" applyFill="1" applyBorder="1" applyAlignment="1">
      <alignment horizontal="left" vertical="top" wrapText="1"/>
    </xf>
    <xf numFmtId="0" fontId="13" fillId="9" borderId="16" xfId="0" applyFont="1" applyFill="1" applyBorder="1" applyAlignment="1">
      <alignment horizontal="right" vertical="top" wrapText="1"/>
    </xf>
    <xf numFmtId="0" fontId="13" fillId="9" borderId="17" xfId="0" applyFont="1" applyFill="1" applyBorder="1" applyAlignment="1">
      <alignment horizontal="right" vertical="top" wrapText="1"/>
    </xf>
    <xf numFmtId="0" fontId="13" fillId="9" borderId="18" xfId="0" applyFont="1" applyFill="1" applyBorder="1" applyAlignment="1">
      <alignment horizontal="right" vertical="top" wrapText="1" indent="1"/>
    </xf>
    <xf numFmtId="0" fontId="13" fillId="9" borderId="0" xfId="0" applyFont="1" applyFill="1" applyAlignment="1">
      <alignment horizontal="left" wrapText="1" indent="1"/>
    </xf>
    <xf numFmtId="0" fontId="13" fillId="9" borderId="19" xfId="0" applyFont="1" applyFill="1" applyBorder="1" applyAlignment="1">
      <alignment horizontal="center" vertical="top" wrapText="1"/>
    </xf>
    <xf numFmtId="0" fontId="13" fillId="9" borderId="20" xfId="0" applyFont="1" applyFill="1" applyBorder="1" applyAlignment="1">
      <alignment horizontal="left" vertical="top" wrapText="1" indent="1"/>
    </xf>
    <xf numFmtId="0" fontId="13" fillId="9" borderId="20" xfId="0" applyFont="1" applyFill="1" applyBorder="1" applyAlignment="1">
      <alignment horizontal="left" vertical="top" wrapText="1"/>
    </xf>
    <xf numFmtId="0" fontId="13" fillId="9" borderId="21" xfId="0" applyFont="1" applyFill="1" applyBorder="1" applyAlignment="1">
      <alignment horizontal="right" vertical="top" wrapText="1" indent="1"/>
    </xf>
    <xf numFmtId="0" fontId="13" fillId="9" borderId="22" xfId="0" applyFont="1" applyFill="1" applyBorder="1" applyAlignment="1">
      <alignment horizontal="left" vertical="top" wrapText="1" indent="1"/>
    </xf>
    <xf numFmtId="0" fontId="13" fillId="9" borderId="19" xfId="0" applyFont="1" applyFill="1" applyBorder="1" applyAlignment="1">
      <alignment horizontal="right" vertical="top" wrapText="1"/>
    </xf>
    <xf numFmtId="0" fontId="13" fillId="9" borderId="21" xfId="0" applyFont="1" applyFill="1" applyBorder="1" applyAlignment="1">
      <alignment horizontal="right" vertical="top" wrapText="1"/>
    </xf>
    <xf numFmtId="0" fontId="13" fillId="9" borderId="22" xfId="0" applyFont="1" applyFill="1" applyBorder="1" applyAlignment="1">
      <alignment horizontal="right" vertical="top" wrapText="1"/>
    </xf>
    <xf numFmtId="1" fontId="13" fillId="0" borderId="0" xfId="0" applyNumberFormat="1" applyFont="1" applyAlignment="1">
      <alignment horizontal="center" vertical="top" wrapText="1"/>
    </xf>
    <xf numFmtId="0" fontId="13" fillId="0" borderId="0" xfId="0" applyFont="1" applyAlignment="1">
      <alignment horizontal="right" vertical="top" wrapText="1"/>
    </xf>
    <xf numFmtId="1" fontId="13" fillId="0" borderId="0" xfId="0" applyNumberFormat="1" applyFont="1" applyAlignment="1">
      <alignment horizontal="right" vertical="top" wrapText="1"/>
    </xf>
    <xf numFmtId="1" fontId="13" fillId="0" borderId="0" xfId="0" applyNumberFormat="1" applyFont="1" applyAlignment="1">
      <alignment horizontal="left" vertical="top" wrapText="1"/>
    </xf>
    <xf numFmtId="0" fontId="13" fillId="0" borderId="0" xfId="0" applyFont="1" applyAlignment="1">
      <alignment horizontal="left" vertical="top" wrapText="1"/>
    </xf>
    <xf numFmtId="164" fontId="13" fillId="0" borderId="0" xfId="0" applyNumberFormat="1" applyFont="1" applyAlignment="1">
      <alignment horizontal="right" vertical="top" wrapText="1"/>
    </xf>
    <xf numFmtId="164" fontId="0" fillId="0" borderId="0" xfId="0" applyNumberFormat="1"/>
    <xf numFmtId="3" fontId="0" fillId="0" borderId="0" xfId="0" applyNumberFormat="1"/>
    <xf numFmtId="3" fontId="3" fillId="0" borderId="0" xfId="0" applyNumberFormat="1" applyFont="1"/>
    <xf numFmtId="0" fontId="4" fillId="0" borderId="6" xfId="0" quotePrefix="1" applyFont="1" applyBorder="1" applyAlignment="1">
      <alignment horizontal="left"/>
    </xf>
    <xf numFmtId="0" fontId="0" fillId="0" borderId="0" xfId="0" applyAlignment="1">
      <alignment horizontal="center"/>
    </xf>
    <xf numFmtId="9" fontId="0" fillId="0" borderId="0" xfId="1" applyFont="1"/>
    <xf numFmtId="9" fontId="0" fillId="0" borderId="0" xfId="0" applyNumberFormat="1"/>
    <xf numFmtId="164" fontId="0" fillId="0" borderId="0" xfId="1" applyNumberFormat="1" applyFont="1"/>
    <xf numFmtId="1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4" borderId="0" xfId="0" applyFill="1" applyAlignment="1">
      <alignment horizontal="left" indent="2"/>
    </xf>
    <xf numFmtId="3" fontId="0" fillId="4" borderId="0" xfId="0" applyNumberFormat="1" applyFill="1"/>
    <xf numFmtId="0" fontId="4" fillId="6" borderId="3" xfId="0" applyFont="1" applyFill="1" applyBorder="1"/>
    <xf numFmtId="0" fontId="4" fillId="6" borderId="5" xfId="0" applyFont="1" applyFill="1" applyBorder="1"/>
    <xf numFmtId="0" fontId="3" fillId="0" borderId="5" xfId="0" applyFont="1" applyBorder="1"/>
    <xf numFmtId="0" fontId="0" fillId="5" borderId="8" xfId="0" applyFill="1" applyBorder="1"/>
    <xf numFmtId="0" fontId="9" fillId="6" borderId="3" xfId="0" applyFont="1" applyFill="1" applyBorder="1" applyAlignment="1">
      <alignment horizontal="centerContinuous"/>
    </xf>
    <xf numFmtId="0" fontId="4" fillId="6" borderId="9" xfId="0" applyFont="1" applyFill="1" applyBorder="1" applyAlignment="1">
      <alignment horizontal="center"/>
    </xf>
    <xf numFmtId="164" fontId="0" fillId="0" borderId="11" xfId="0" quotePrefix="1" applyNumberFormat="1" applyBorder="1" applyAlignment="1">
      <alignment horizontal="center"/>
    </xf>
    <xf numFmtId="0" fontId="0" fillId="0" borderId="3" xfId="0" applyBorder="1"/>
    <xf numFmtId="3" fontId="0" fillId="0" borderId="0" xfId="0" applyNumberFormat="1" applyAlignment="1">
      <alignment horizontal="center"/>
    </xf>
    <xf numFmtId="3" fontId="0" fillId="0" borderId="0" xfId="0" applyNumberFormat="1" applyAlignment="1">
      <alignment horizontal="center" vertical="center"/>
    </xf>
    <xf numFmtId="0" fontId="0" fillId="0" borderId="0" xfId="0" applyAlignment="1">
      <alignment horizontal="center" vertical="center"/>
    </xf>
    <xf numFmtId="3" fontId="4" fillId="0" borderId="5" xfId="0" applyNumberFormat="1" applyFont="1" applyBorder="1" applyAlignment="1">
      <alignment horizontal="center"/>
    </xf>
    <xf numFmtId="0" fontId="7" fillId="3" borderId="0" xfId="0" applyFont="1" applyFill="1"/>
    <xf numFmtId="0" fontId="0" fillId="0" borderId="0" xfId="0" applyAlignment="1">
      <alignment horizontal="left" vertical="top" wrapText="1"/>
    </xf>
    <xf numFmtId="0" fontId="4" fillId="0" borderId="24" xfId="0" applyFont="1" applyBorder="1"/>
    <xf numFmtId="0" fontId="4" fillId="0" borderId="25" xfId="0" applyFont="1" applyBorder="1" applyAlignment="1">
      <alignment horizontal="center"/>
    </xf>
    <xf numFmtId="0" fontId="0" fillId="0" borderId="26" xfId="0" applyBorder="1"/>
    <xf numFmtId="3" fontId="0" fillId="0" borderId="27" xfId="0" applyNumberFormat="1" applyBorder="1" applyAlignment="1">
      <alignment horizontal="center"/>
    </xf>
    <xf numFmtId="0" fontId="0" fillId="0" borderId="28" xfId="0" applyBorder="1"/>
    <xf numFmtId="3" fontId="0" fillId="0" borderId="29" xfId="0" applyNumberFormat="1" applyBorder="1" applyAlignment="1">
      <alignment horizontal="center"/>
    </xf>
    <xf numFmtId="0" fontId="4" fillId="0" borderId="30" xfId="0" applyFont="1" applyBorder="1"/>
    <xf numFmtId="3" fontId="4" fillId="0" borderId="31" xfId="0" applyNumberFormat="1" applyFont="1" applyBorder="1" applyAlignment="1">
      <alignment horizontal="center"/>
    </xf>
    <xf numFmtId="0" fontId="4" fillId="0" borderId="32" xfId="0" applyFont="1" applyBorder="1" applyAlignment="1">
      <alignment horizontal="center"/>
    </xf>
    <xf numFmtId="0" fontId="0" fillId="10" borderId="24" xfId="0" applyFill="1" applyBorder="1" applyAlignment="1">
      <alignment horizontal="center"/>
    </xf>
    <xf numFmtId="0" fontId="0" fillId="10" borderId="25" xfId="0" applyFill="1" applyBorder="1" applyAlignment="1">
      <alignment horizontal="center"/>
    </xf>
    <xf numFmtId="0" fontId="16" fillId="0" borderId="26" xfId="0" applyFont="1" applyBorder="1" applyAlignment="1">
      <alignment horizontal="right"/>
    </xf>
    <xf numFmtId="2" fontId="16" fillId="0" borderId="0" xfId="0" applyNumberFormat="1" applyFont="1"/>
    <xf numFmtId="0" fontId="16" fillId="0" borderId="0" xfId="0" applyFont="1" applyAlignment="1">
      <alignment horizontal="center"/>
    </xf>
    <xf numFmtId="3" fontId="16" fillId="0" borderId="27" xfId="0" applyNumberFormat="1" applyFont="1" applyBorder="1"/>
    <xf numFmtId="0" fontId="0" fillId="10" borderId="26" xfId="0" applyFill="1" applyBorder="1" applyAlignment="1">
      <alignment horizontal="center"/>
    </xf>
    <xf numFmtId="9" fontId="0" fillId="10" borderId="27" xfId="1" applyFont="1" applyFill="1" applyBorder="1" applyAlignment="1">
      <alignment horizontal="center"/>
    </xf>
    <xf numFmtId="0" fontId="0" fillId="10" borderId="30" xfId="0" applyFill="1" applyBorder="1" applyAlignment="1">
      <alignment horizontal="center"/>
    </xf>
    <xf numFmtId="9" fontId="0" fillId="10" borderId="31" xfId="1" applyFont="1" applyFill="1" applyBorder="1" applyAlignment="1">
      <alignment horizontal="center"/>
    </xf>
    <xf numFmtId="3" fontId="0" fillId="0" borderId="27" xfId="0" applyNumberFormat="1" applyBorder="1"/>
    <xf numFmtId="0" fontId="0" fillId="0" borderId="11" xfId="0" applyBorder="1" applyAlignment="1">
      <alignment horizontal="center"/>
    </xf>
    <xf numFmtId="3" fontId="0" fillId="0" borderId="29" xfId="0" applyNumberFormat="1" applyBorder="1"/>
    <xf numFmtId="0" fontId="4" fillId="0" borderId="33" xfId="0" applyFont="1" applyBorder="1" applyAlignment="1">
      <alignment horizontal="center"/>
    </xf>
    <xf numFmtId="0" fontId="4" fillId="0" borderId="33" xfId="0" applyFont="1" applyBorder="1"/>
    <xf numFmtId="3" fontId="4" fillId="0" borderId="31" xfId="0" applyNumberFormat="1" applyFont="1" applyBorder="1"/>
    <xf numFmtId="0" fontId="0" fillId="0" borderId="34" xfId="0" applyBorder="1"/>
    <xf numFmtId="0" fontId="4" fillId="0" borderId="28" xfId="0" applyFont="1" applyBorder="1"/>
    <xf numFmtId="0" fontId="4" fillId="0" borderId="11" xfId="0" applyFont="1" applyBorder="1" applyAlignment="1">
      <alignment horizontal="center"/>
    </xf>
    <xf numFmtId="3" fontId="4" fillId="0" borderId="27" xfId="0" applyNumberFormat="1" applyFont="1" applyBorder="1"/>
    <xf numFmtId="3" fontId="0" fillId="0" borderId="11" xfId="0" applyNumberFormat="1" applyBorder="1" applyAlignment="1">
      <alignment horizontal="center"/>
    </xf>
    <xf numFmtId="3" fontId="4" fillId="0" borderId="29" xfId="0" applyNumberFormat="1" applyFont="1" applyBorder="1"/>
    <xf numFmtId="3" fontId="4" fillId="0" borderId="33" xfId="0" applyNumberFormat="1" applyFont="1" applyBorder="1" applyAlignment="1">
      <alignment horizontal="center"/>
    </xf>
    <xf numFmtId="3" fontId="0" fillId="0" borderId="5" xfId="0" applyNumberFormat="1" applyBorder="1" applyAlignment="1">
      <alignment horizontal="center"/>
    </xf>
    <xf numFmtId="3" fontId="4" fillId="0" borderId="27" xfId="0" applyNumberFormat="1" applyFont="1" applyBorder="1" applyAlignment="1">
      <alignment horizontal="center"/>
    </xf>
    <xf numFmtId="3" fontId="4" fillId="0" borderId="29" xfId="0" applyNumberFormat="1" applyFont="1" applyBorder="1" applyAlignment="1">
      <alignment horizontal="center"/>
    </xf>
    <xf numFmtId="3" fontId="16" fillId="0" borderId="0" xfId="0" applyNumberFormat="1" applyFont="1" applyAlignment="1">
      <alignment horizontal="center"/>
    </xf>
    <xf numFmtId="3" fontId="16" fillId="0" borderId="27" xfId="0" applyNumberFormat="1" applyFont="1" applyBorder="1" applyAlignment="1">
      <alignment horizontal="center"/>
    </xf>
    <xf numFmtId="0" fontId="4" fillId="0" borderId="0" xfId="0" applyFont="1"/>
    <xf numFmtId="3" fontId="4" fillId="0" borderId="0" xfId="0" applyNumberFormat="1" applyFont="1" applyAlignment="1">
      <alignment horizontal="center"/>
    </xf>
    <xf numFmtId="0" fontId="0" fillId="10" borderId="0" xfId="0" applyFill="1"/>
    <xf numFmtId="0" fontId="4" fillId="10" borderId="34" xfId="0" applyFont="1" applyFill="1" applyBorder="1"/>
    <xf numFmtId="0" fontId="4" fillId="10" borderId="35" xfId="0" applyFont="1" applyFill="1" applyBorder="1"/>
    <xf numFmtId="3" fontId="4" fillId="10" borderId="39" xfId="0" applyNumberFormat="1" applyFont="1" applyFill="1" applyBorder="1" applyAlignment="1">
      <alignment horizontal="center"/>
    </xf>
    <xf numFmtId="0" fontId="4" fillId="10" borderId="28" xfId="0" applyFont="1" applyFill="1" applyBorder="1"/>
    <xf numFmtId="0" fontId="4" fillId="10" borderId="11" xfId="0" applyFont="1" applyFill="1" applyBorder="1"/>
    <xf numFmtId="0" fontId="0" fillId="10" borderId="9" xfId="0" applyFill="1" applyBorder="1" applyAlignment="1">
      <alignment horizontal="center"/>
    </xf>
    <xf numFmtId="0" fontId="0" fillId="10" borderId="11" xfId="0" applyFill="1" applyBorder="1" applyAlignment="1">
      <alignment horizontal="center"/>
    </xf>
    <xf numFmtId="0" fontId="0" fillId="10" borderId="10" xfId="0" applyFill="1" applyBorder="1" applyAlignment="1">
      <alignment horizontal="center"/>
    </xf>
    <xf numFmtId="3" fontId="4" fillId="10" borderId="13" xfId="0" applyNumberFormat="1" applyFont="1" applyFill="1" applyBorder="1" applyAlignment="1">
      <alignment horizontal="center"/>
    </xf>
    <xf numFmtId="0" fontId="0" fillId="10" borderId="26" xfId="0" applyFill="1" applyBorder="1"/>
    <xf numFmtId="3" fontId="0" fillId="10" borderId="0" xfId="0" applyNumberFormat="1" applyFill="1"/>
    <xf numFmtId="9" fontId="1" fillId="10" borderId="6" xfId="1" applyFill="1" applyBorder="1" applyAlignment="1">
      <alignment horizontal="center"/>
    </xf>
    <xf numFmtId="9" fontId="1" fillId="10" borderId="0" xfId="1" applyFill="1" applyAlignment="1">
      <alignment horizontal="center"/>
    </xf>
    <xf numFmtId="9" fontId="1" fillId="10" borderId="7" xfId="1" applyFill="1" applyBorder="1" applyAlignment="1">
      <alignment horizontal="center"/>
    </xf>
    <xf numFmtId="9" fontId="4" fillId="10" borderId="0" xfId="1" applyFont="1" applyFill="1" applyAlignment="1">
      <alignment horizontal="center"/>
    </xf>
    <xf numFmtId="9" fontId="1" fillId="10" borderId="12" xfId="1" applyFill="1" applyBorder="1" applyAlignment="1">
      <alignment horizontal="center"/>
    </xf>
    <xf numFmtId="9" fontId="0" fillId="10" borderId="27" xfId="0" applyNumberFormat="1" applyFill="1" applyBorder="1"/>
    <xf numFmtId="9" fontId="4" fillId="10" borderId="12" xfId="1" applyFont="1" applyFill="1" applyBorder="1" applyAlignment="1">
      <alignment horizontal="center"/>
    </xf>
    <xf numFmtId="9" fontId="4" fillId="10" borderId="7" xfId="1" applyFont="1" applyFill="1" applyBorder="1" applyAlignment="1">
      <alignment horizontal="center"/>
    </xf>
    <xf numFmtId="0" fontId="0" fillId="10" borderId="28" xfId="0" applyFill="1" applyBorder="1"/>
    <xf numFmtId="3" fontId="0" fillId="10" borderId="10" xfId="0" applyNumberFormat="1" applyFill="1" applyBorder="1"/>
    <xf numFmtId="9" fontId="1" fillId="10" borderId="9" xfId="1" applyFill="1" applyBorder="1" applyAlignment="1">
      <alignment horizontal="center"/>
    </xf>
    <xf numFmtId="9" fontId="1" fillId="10" borderId="11" xfId="1" applyFill="1" applyBorder="1" applyAlignment="1">
      <alignment horizontal="center"/>
    </xf>
    <xf numFmtId="9" fontId="1" fillId="10" borderId="10" xfId="1" applyFill="1" applyBorder="1" applyAlignment="1">
      <alignment horizontal="center"/>
    </xf>
    <xf numFmtId="9" fontId="4" fillId="10" borderId="11" xfId="1" applyFont="1" applyFill="1" applyBorder="1" applyAlignment="1">
      <alignment horizontal="center"/>
    </xf>
    <xf numFmtId="9" fontId="1" fillId="10" borderId="13" xfId="1" applyFill="1" applyBorder="1" applyAlignment="1">
      <alignment horizontal="center"/>
    </xf>
    <xf numFmtId="9" fontId="0" fillId="10" borderId="29" xfId="0" applyNumberFormat="1" applyFill="1" applyBorder="1"/>
    <xf numFmtId="0" fontId="4" fillId="10" borderId="30" xfId="0" applyFont="1" applyFill="1" applyBorder="1"/>
    <xf numFmtId="3" fontId="4" fillId="10" borderId="42" xfId="0" applyNumberFormat="1" applyFont="1" applyFill="1" applyBorder="1"/>
    <xf numFmtId="9" fontId="1" fillId="10" borderId="33" xfId="1" applyFill="1" applyBorder="1" applyAlignment="1">
      <alignment horizontal="center"/>
    </xf>
    <xf numFmtId="9" fontId="1" fillId="10" borderId="42" xfId="1" applyFill="1" applyBorder="1" applyAlignment="1">
      <alignment horizontal="center"/>
    </xf>
    <xf numFmtId="9" fontId="0" fillId="10" borderId="31" xfId="0" applyNumberFormat="1" applyFill="1" applyBorder="1"/>
    <xf numFmtId="3" fontId="4" fillId="0" borderId="0" xfId="0" applyNumberFormat="1" applyFont="1"/>
    <xf numFmtId="9" fontId="1" fillId="0" borderId="0" xfId="1"/>
    <xf numFmtId="0" fontId="4" fillId="10" borderId="38" xfId="0" applyFont="1" applyFill="1" applyBorder="1"/>
    <xf numFmtId="3" fontId="4" fillId="10" borderId="38" xfId="0" applyNumberFormat="1" applyFont="1" applyFill="1" applyBorder="1" applyAlignment="1">
      <alignment horizontal="center"/>
    </xf>
    <xf numFmtId="0" fontId="4" fillId="10" borderId="10" xfId="0" applyFont="1" applyFill="1" applyBorder="1"/>
    <xf numFmtId="3" fontId="4" fillId="10" borderId="10" xfId="0" applyNumberFormat="1" applyFont="1" applyFill="1" applyBorder="1" applyAlignment="1">
      <alignment horizontal="center"/>
    </xf>
    <xf numFmtId="3" fontId="0" fillId="10" borderId="7" xfId="0" applyNumberFormat="1" applyFill="1" applyBorder="1"/>
    <xf numFmtId="3" fontId="1" fillId="10" borderId="0" xfId="1" applyNumberFormat="1" applyFill="1" applyAlignment="1">
      <alignment horizontal="center"/>
    </xf>
    <xf numFmtId="3" fontId="1" fillId="10" borderId="7" xfId="1" applyNumberFormat="1" applyFill="1" applyBorder="1" applyAlignment="1">
      <alignment horizontal="center"/>
    </xf>
    <xf numFmtId="3" fontId="0" fillId="10" borderId="27" xfId="0" applyNumberFormat="1" applyFill="1" applyBorder="1"/>
    <xf numFmtId="3" fontId="1" fillId="10" borderId="11" xfId="1" applyNumberFormat="1" applyFill="1" applyBorder="1" applyAlignment="1">
      <alignment horizontal="center"/>
    </xf>
    <xf numFmtId="3" fontId="1" fillId="10" borderId="10" xfId="1" applyNumberFormat="1" applyFill="1" applyBorder="1" applyAlignment="1">
      <alignment horizontal="center"/>
    </xf>
    <xf numFmtId="3" fontId="0" fillId="10" borderId="29" xfId="0" applyNumberFormat="1" applyFill="1" applyBorder="1"/>
    <xf numFmtId="3" fontId="1" fillId="10" borderId="33" xfId="1" applyNumberFormat="1" applyFill="1" applyBorder="1" applyAlignment="1">
      <alignment horizontal="center"/>
    </xf>
    <xf numFmtId="3" fontId="1" fillId="10" borderId="42" xfId="1" applyNumberFormat="1" applyFill="1" applyBorder="1" applyAlignment="1">
      <alignment horizontal="center"/>
    </xf>
    <xf numFmtId="3" fontId="0" fillId="10" borderId="31" xfId="0" applyNumberFormat="1" applyFill="1" applyBorder="1"/>
    <xf numFmtId="0" fontId="4" fillId="11" borderId="24" xfId="0" applyFont="1" applyFill="1" applyBorder="1"/>
    <xf numFmtId="0" fontId="4" fillId="11" borderId="32" xfId="0" applyFont="1" applyFill="1" applyBorder="1"/>
    <xf numFmtId="0" fontId="4" fillId="11" borderId="32" xfId="0" applyFont="1" applyFill="1" applyBorder="1" applyAlignment="1">
      <alignment horizontal="center"/>
    </xf>
    <xf numFmtId="0" fontId="4" fillId="11" borderId="25" xfId="0" applyFont="1" applyFill="1" applyBorder="1" applyAlignment="1">
      <alignment horizontal="center"/>
    </xf>
    <xf numFmtId="0" fontId="0" fillId="11" borderId="0" xfId="0" applyFill="1"/>
    <xf numFmtId="3" fontId="0" fillId="11" borderId="0" xfId="0" applyNumberFormat="1" applyFill="1" applyAlignment="1">
      <alignment horizontal="center"/>
    </xf>
    <xf numFmtId="3" fontId="0" fillId="11" borderId="27" xfId="0" applyNumberFormat="1" applyFill="1" applyBorder="1" applyAlignment="1">
      <alignment horizontal="center"/>
    </xf>
    <xf numFmtId="0" fontId="4" fillId="11" borderId="28" xfId="0" applyFont="1" applyFill="1" applyBorder="1"/>
    <xf numFmtId="0" fontId="4" fillId="11" borderId="11" xfId="0" applyFont="1" applyFill="1" applyBorder="1"/>
    <xf numFmtId="3" fontId="4" fillId="11" borderId="11" xfId="0" applyNumberFormat="1" applyFont="1" applyFill="1" applyBorder="1" applyAlignment="1">
      <alignment horizontal="center"/>
    </xf>
    <xf numFmtId="3" fontId="4" fillId="11" borderId="29" xfId="0" applyNumberFormat="1" applyFont="1" applyFill="1" applyBorder="1" applyAlignment="1">
      <alignment horizontal="center"/>
    </xf>
    <xf numFmtId="0" fontId="0" fillId="11" borderId="26" xfId="0" applyFill="1" applyBorder="1" applyAlignment="1">
      <alignment horizontal="left" vertical="center"/>
    </xf>
    <xf numFmtId="0" fontId="4" fillId="11" borderId="43" xfId="0" applyFont="1" applyFill="1" applyBorder="1"/>
    <xf numFmtId="0" fontId="4" fillId="11" borderId="8" xfId="0" applyFont="1" applyFill="1" applyBorder="1"/>
    <xf numFmtId="3" fontId="4" fillId="11" borderId="8" xfId="0" applyNumberFormat="1" applyFont="1" applyFill="1" applyBorder="1" applyAlignment="1">
      <alignment horizontal="center"/>
    </xf>
    <xf numFmtId="3" fontId="4" fillId="11" borderId="44" xfId="0" applyNumberFormat="1" applyFont="1" applyFill="1" applyBorder="1" applyAlignment="1">
      <alignment horizontal="center"/>
    </xf>
    <xf numFmtId="0" fontId="4" fillId="11" borderId="30" xfId="0" applyFont="1" applyFill="1" applyBorder="1"/>
    <xf numFmtId="0" fontId="0" fillId="11" borderId="33" xfId="0" applyFill="1" applyBorder="1"/>
    <xf numFmtId="3" fontId="4" fillId="11" borderId="33" xfId="0" applyNumberFormat="1" applyFont="1" applyFill="1" applyBorder="1" applyAlignment="1">
      <alignment horizontal="center"/>
    </xf>
    <xf numFmtId="3" fontId="4" fillId="11" borderId="31" xfId="0" applyNumberFormat="1" applyFont="1" applyFill="1" applyBorder="1" applyAlignment="1">
      <alignment horizontal="center"/>
    </xf>
    <xf numFmtId="165" fontId="0" fillId="0" borderId="0" xfId="3" applyNumberFormat="1" applyFont="1" applyAlignment="1">
      <alignment horizontal="center"/>
    </xf>
    <xf numFmtId="0" fontId="4" fillId="6" borderId="4" xfId="0" applyFont="1" applyFill="1" applyBorder="1" applyAlignment="1">
      <alignment horizontal="centerContinuous"/>
    </xf>
    <xf numFmtId="3" fontId="7" fillId="0" borderId="7" xfId="0" applyNumberFormat="1" applyFont="1" applyBorder="1" applyAlignment="1">
      <alignment horizontal="center"/>
    </xf>
    <xf numFmtId="3" fontId="4" fillId="6" borderId="8" xfId="0" applyNumberFormat="1" applyFont="1" applyFill="1" applyBorder="1" applyAlignment="1">
      <alignment horizontal="center"/>
    </xf>
    <xf numFmtId="3" fontId="4" fillId="6" borderId="2" xfId="0" applyNumberFormat="1" applyFont="1" applyFill="1" applyBorder="1" applyAlignment="1">
      <alignment horizontal="center"/>
    </xf>
    <xf numFmtId="0" fontId="4" fillId="11" borderId="25" xfId="0" applyFont="1" applyFill="1" applyBorder="1"/>
    <xf numFmtId="0" fontId="0" fillId="11" borderId="26" xfId="0" applyFill="1" applyBorder="1"/>
    <xf numFmtId="3" fontId="0" fillId="11" borderId="0" xfId="0" applyNumberFormat="1" applyFill="1"/>
    <xf numFmtId="4" fontId="0" fillId="11" borderId="0" xfId="0" applyNumberFormat="1" applyFill="1"/>
    <xf numFmtId="3" fontId="0" fillId="11" borderId="27" xfId="0" applyNumberFormat="1" applyFill="1" applyBorder="1"/>
    <xf numFmtId="4" fontId="0" fillId="10" borderId="0" xfId="0" applyNumberFormat="1" applyFill="1"/>
    <xf numFmtId="0" fontId="0" fillId="11" borderId="28" xfId="0" applyFill="1" applyBorder="1"/>
    <xf numFmtId="3" fontId="0" fillId="11" borderId="11" xfId="0" applyNumberFormat="1" applyFill="1" applyBorder="1"/>
    <xf numFmtId="4" fontId="0" fillId="11" borderId="11" xfId="0" applyNumberFormat="1" applyFill="1" applyBorder="1"/>
    <xf numFmtId="3" fontId="0" fillId="11" borderId="29" xfId="0" applyNumberFormat="1" applyFill="1" applyBorder="1"/>
    <xf numFmtId="3" fontId="0" fillId="10" borderId="11" xfId="0" applyNumberFormat="1" applyFill="1" applyBorder="1"/>
    <xf numFmtId="4" fontId="0" fillId="10" borderId="11" xfId="0" applyNumberFormat="1" applyFill="1" applyBorder="1"/>
    <xf numFmtId="0" fontId="0" fillId="10" borderId="43" xfId="0" applyFill="1" applyBorder="1"/>
    <xf numFmtId="3" fontId="0" fillId="11" borderId="8" xfId="0" applyNumberFormat="1" applyFill="1" applyBorder="1"/>
    <xf numFmtId="0" fontId="4" fillId="11" borderId="33" xfId="0" applyFont="1" applyFill="1" applyBorder="1"/>
    <xf numFmtId="3" fontId="4" fillId="11" borderId="33" xfId="0" applyNumberFormat="1" applyFont="1" applyFill="1" applyBorder="1"/>
    <xf numFmtId="3" fontId="4" fillId="11" borderId="31" xfId="0" applyNumberFormat="1" applyFont="1" applyFill="1" applyBorder="1"/>
    <xf numFmtId="3" fontId="4" fillId="0" borderId="32" xfId="0" applyNumberFormat="1" applyFont="1" applyBorder="1" applyAlignment="1">
      <alignment horizontal="center"/>
    </xf>
    <xf numFmtId="3" fontId="4" fillId="0" borderId="25" xfId="0" applyNumberFormat="1" applyFont="1" applyBorder="1" applyAlignment="1">
      <alignment horizontal="center"/>
    </xf>
    <xf numFmtId="9" fontId="0" fillId="0" borderId="26" xfId="0" applyNumberFormat="1" applyBorder="1" applyAlignment="1">
      <alignment horizontal="left"/>
    </xf>
    <xf numFmtId="37" fontId="0" fillId="0" borderId="0" xfId="3" applyNumberFormat="1" applyFont="1" applyAlignment="1">
      <alignment horizontal="center"/>
    </xf>
    <xf numFmtId="37" fontId="0" fillId="11" borderId="0" xfId="3" applyNumberFormat="1" applyFont="1" applyFill="1" applyAlignment="1">
      <alignment horizontal="center"/>
    </xf>
    <xf numFmtId="37" fontId="0" fillId="0" borderId="27" xfId="3" applyNumberFormat="1" applyFont="1" applyBorder="1" applyAlignment="1">
      <alignment horizontal="center"/>
    </xf>
    <xf numFmtId="9" fontId="0" fillId="0" borderId="30" xfId="0" applyNumberFormat="1" applyBorder="1" applyAlignment="1">
      <alignment horizontal="left"/>
    </xf>
    <xf numFmtId="37" fontId="0" fillId="0" borderId="33" xfId="3" applyNumberFormat="1" applyFont="1" applyBorder="1" applyAlignment="1">
      <alignment horizontal="center"/>
    </xf>
    <xf numFmtId="37" fontId="0" fillId="11" borderId="33" xfId="3" applyNumberFormat="1" applyFont="1" applyFill="1" applyBorder="1" applyAlignment="1">
      <alignment horizontal="center"/>
    </xf>
    <xf numFmtId="37" fontId="0" fillId="0" borderId="31" xfId="3" applyNumberFormat="1" applyFont="1" applyBorder="1" applyAlignment="1">
      <alignment horizontal="center"/>
    </xf>
    <xf numFmtId="37" fontId="0" fillId="0" borderId="0" xfId="3" applyNumberFormat="1" applyFont="1"/>
    <xf numFmtId="0" fontId="16" fillId="0" borderId="27" xfId="0" applyFont="1"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4" fillId="0" borderId="31" xfId="0" applyFont="1" applyBorder="1"/>
    <xf numFmtId="0" fontId="4" fillId="6" borderId="5" xfId="0" applyFont="1" applyFill="1" applyBorder="1" applyAlignment="1">
      <alignment horizontal="centerContinuous"/>
    </xf>
    <xf numFmtId="3" fontId="4" fillId="6" borderId="8" xfId="0" applyNumberFormat="1" applyFont="1" applyFill="1" applyBorder="1"/>
    <xf numFmtId="3" fontId="4" fillId="6" borderId="2" xfId="0" applyNumberFormat="1" applyFont="1" applyFill="1" applyBorder="1"/>
    <xf numFmtId="37" fontId="7" fillId="0" borderId="0" xfId="0" applyNumberFormat="1" applyFont="1" applyAlignment="1">
      <alignment horizontal="center"/>
    </xf>
    <xf numFmtId="3" fontId="8" fillId="6" borderId="8" xfId="0" applyNumberFormat="1" applyFont="1" applyFill="1" applyBorder="1" applyAlignment="1">
      <alignment horizontal="center"/>
    </xf>
    <xf numFmtId="0" fontId="0" fillId="0" borderId="6" xfId="0" applyBorder="1" applyAlignment="1">
      <alignment horizontal="center" vertical="center"/>
    </xf>
    <xf numFmtId="3" fontId="7" fillId="0" borderId="5" xfId="0" applyNumberFormat="1" applyFont="1" applyBorder="1" applyAlignment="1">
      <alignment horizontal="center" vertical="center"/>
    </xf>
    <xf numFmtId="3" fontId="0" fillId="0" borderId="0" xfId="0" quotePrefix="1" applyNumberFormat="1" applyAlignment="1">
      <alignment horizontal="center"/>
    </xf>
    <xf numFmtId="3" fontId="0" fillId="0" borderId="7" xfId="0" quotePrefix="1" applyNumberFormat="1" applyBorder="1" applyAlignment="1">
      <alignment horizontal="center"/>
    </xf>
    <xf numFmtId="3" fontId="0" fillId="0" borderId="7" xfId="0" applyNumberFormat="1" applyBorder="1" applyAlignment="1">
      <alignment horizontal="center"/>
    </xf>
    <xf numFmtId="164" fontId="0" fillId="0" borderId="5" xfId="1" applyNumberFormat="1" applyFont="1" applyBorder="1" applyAlignment="1">
      <alignment horizontal="center"/>
    </xf>
    <xf numFmtId="0" fontId="0" fillId="0" borderId="5" xfId="0" quotePrefix="1" applyBorder="1" applyAlignment="1">
      <alignment horizontal="center"/>
    </xf>
    <xf numFmtId="0" fontId="11" fillId="0" borderId="1" xfId="0" applyFont="1" applyBorder="1"/>
    <xf numFmtId="164" fontId="11" fillId="0" borderId="8" xfId="0" applyNumberFormat="1" applyFont="1" applyBorder="1" applyAlignment="1">
      <alignment horizontal="center"/>
    </xf>
    <xf numFmtId="3" fontId="7" fillId="0" borderId="4" xfId="0" applyNumberFormat="1" applyFont="1" applyBorder="1" applyAlignment="1">
      <alignment horizontal="center" vertical="center"/>
    </xf>
    <xf numFmtId="3" fontId="7" fillId="0" borderId="0" xfId="0" applyNumberFormat="1" applyFont="1" applyAlignment="1">
      <alignment horizontal="center"/>
    </xf>
    <xf numFmtId="3" fontId="3" fillId="0" borderId="0" xfId="0" quotePrefix="1" applyNumberFormat="1" applyFont="1" applyAlignment="1">
      <alignment horizontal="center" vertical="center"/>
    </xf>
    <xf numFmtId="3" fontId="3" fillId="0" borderId="0" xfId="0" quotePrefix="1" applyNumberFormat="1" applyFont="1" applyAlignment="1">
      <alignment horizontal="center"/>
    </xf>
    <xf numFmtId="3" fontId="3" fillId="0" borderId="7" xfId="0" quotePrefix="1" applyNumberFormat="1" applyFont="1" applyBorder="1" applyAlignment="1">
      <alignment horizontal="center"/>
    </xf>
    <xf numFmtId="3" fontId="3" fillId="0" borderId="10" xfId="0" quotePrefix="1" applyNumberFormat="1" applyFont="1" applyBorder="1" applyAlignment="1">
      <alignment horizontal="center"/>
    </xf>
    <xf numFmtId="3" fontId="4" fillId="0" borderId="4" xfId="0" applyNumberFormat="1" applyFont="1" applyBorder="1" applyAlignment="1">
      <alignment horizontal="center"/>
    </xf>
    <xf numFmtId="0" fontId="3" fillId="0" borderId="7" xfId="0" applyFont="1" applyBorder="1" applyAlignment="1">
      <alignment horizontal="left" vertical="center"/>
    </xf>
    <xf numFmtId="3" fontId="3" fillId="0" borderId="7" xfId="0" applyNumberFormat="1" applyFont="1" applyBorder="1" applyAlignment="1">
      <alignment horizontal="center" vertical="center"/>
    </xf>
    <xf numFmtId="37" fontId="3" fillId="0" borderId="0" xfId="3" applyNumberFormat="1" applyFont="1" applyAlignment="1">
      <alignment horizontal="center" vertical="center"/>
    </xf>
    <xf numFmtId="37" fontId="3" fillId="0" borderId="7" xfId="3" applyNumberFormat="1" applyFont="1" applyBorder="1" applyAlignment="1">
      <alignment horizontal="center" vertical="center"/>
    </xf>
    <xf numFmtId="3" fontId="3" fillId="0" borderId="10" xfId="0" applyNumberFormat="1" applyFont="1" applyBorder="1" applyAlignment="1">
      <alignment horizontal="center" vertical="center"/>
    </xf>
    <xf numFmtId="3" fontId="0" fillId="0" borderId="6" xfId="0" applyNumberFormat="1" applyBorder="1" applyAlignment="1">
      <alignment horizontal="center"/>
    </xf>
    <xf numFmtId="0" fontId="0" fillId="0" borderId="0" xfId="0" applyAlignment="1">
      <alignment horizontal="left" vertical="center"/>
    </xf>
    <xf numFmtId="3" fontId="7" fillId="0" borderId="6" xfId="0" applyNumberFormat="1" applyFont="1" applyBorder="1" applyAlignment="1">
      <alignment horizontal="center"/>
    </xf>
    <xf numFmtId="37" fontId="0" fillId="0" borderId="6" xfId="3" applyNumberFormat="1" applyFont="1" applyBorder="1" applyAlignment="1">
      <alignment horizontal="center" vertical="center"/>
    </xf>
    <xf numFmtId="3" fontId="0" fillId="0" borderId="7" xfId="0" applyNumberFormat="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3" fontId="0" fillId="3" borderId="0" xfId="0" applyNumberFormat="1" applyFill="1"/>
    <xf numFmtId="0" fontId="0" fillId="0" borderId="9" xfId="0" applyBorder="1" applyAlignment="1">
      <alignment horizontal="center" vertical="center"/>
    </xf>
    <xf numFmtId="3" fontId="0" fillId="0" borderId="10" xfId="0" applyNumberFormat="1" applyBorder="1" applyAlignment="1">
      <alignment horizontal="center" vertical="center"/>
    </xf>
    <xf numFmtId="3" fontId="0" fillId="0" borderId="9" xfId="0" applyNumberFormat="1" applyBorder="1" applyAlignment="1">
      <alignment horizontal="center" vertical="center"/>
    </xf>
    <xf numFmtId="3" fontId="0" fillId="0" borderId="11" xfId="0" applyNumberFormat="1" applyBorder="1" applyAlignment="1">
      <alignment horizontal="center" vertical="center"/>
    </xf>
    <xf numFmtId="0" fontId="4" fillId="6" borderId="4" xfId="0" applyFont="1" applyFill="1" applyBorder="1" applyAlignment="1">
      <alignment horizontal="center"/>
    </xf>
    <xf numFmtId="0" fontId="9" fillId="6" borderId="5" xfId="0" applyFont="1" applyFill="1" applyBorder="1" applyAlignment="1">
      <alignment vertical="center"/>
    </xf>
    <xf numFmtId="0" fontId="4" fillId="6" borderId="10" xfId="0" applyFont="1" applyFill="1" applyBorder="1"/>
    <xf numFmtId="0" fontId="11" fillId="0" borderId="8" xfId="0" applyFont="1" applyBorder="1" applyAlignment="1">
      <alignment horizontal="center"/>
    </xf>
    <xf numFmtId="0" fontId="4" fillId="2" borderId="8" xfId="0" applyFont="1" applyFill="1" applyBorder="1" applyAlignment="1">
      <alignment horizontal="centerContinuous"/>
    </xf>
    <xf numFmtId="0" fontId="4" fillId="2" borderId="2" xfId="0" applyFont="1" applyFill="1" applyBorder="1" applyAlignment="1">
      <alignment horizontal="centerContinuous"/>
    </xf>
    <xf numFmtId="3" fontId="0" fillId="0" borderId="4" xfId="0" applyNumberFormat="1" applyBorder="1" applyAlignment="1">
      <alignment horizontal="center" vertical="center"/>
    </xf>
    <xf numFmtId="0" fontId="0" fillId="0" borderId="7" xfId="0" applyBorder="1" applyAlignment="1">
      <alignment horizontal="center" vertical="center"/>
    </xf>
    <xf numFmtId="0" fontId="11" fillId="0" borderId="2" xfId="0" applyFont="1" applyBorder="1" applyAlignment="1">
      <alignment horizontal="center"/>
    </xf>
    <xf numFmtId="3" fontId="7" fillId="0" borderId="6" xfId="0" applyNumberFormat="1" applyFont="1" applyBorder="1" applyAlignment="1">
      <alignment horizontal="center" vertical="center"/>
    </xf>
    <xf numFmtId="0" fontId="0" fillId="0" borderId="6" xfId="0" quotePrefix="1" applyBorder="1" applyAlignment="1">
      <alignment horizontal="center" vertical="center"/>
    </xf>
    <xf numFmtId="3" fontId="4" fillId="6" borderId="1" xfId="0" applyNumberFormat="1" applyFont="1" applyFill="1" applyBorder="1" applyAlignment="1">
      <alignment horizontal="center"/>
    </xf>
    <xf numFmtId="3" fontId="0" fillId="0" borderId="6" xfId="0" applyNumberFormat="1" applyBorder="1" applyAlignment="1">
      <alignment horizontal="center" vertical="center"/>
    </xf>
    <xf numFmtId="0" fontId="17" fillId="12" borderId="0" xfId="0" applyFont="1" applyFill="1"/>
    <xf numFmtId="0" fontId="17" fillId="0" borderId="0" xfId="0" applyFont="1"/>
    <xf numFmtId="0" fontId="18" fillId="0" borderId="45" xfId="0" applyFont="1" applyBorder="1" applyAlignment="1">
      <alignment horizontal="center"/>
    </xf>
    <xf numFmtId="3" fontId="18" fillId="0" borderId="23" xfId="0" applyNumberFormat="1" applyFont="1" applyBorder="1" applyAlignment="1">
      <alignment horizontal="center"/>
    </xf>
    <xf numFmtId="0" fontId="18" fillId="0" borderId="23" xfId="0" applyFont="1" applyBorder="1" applyAlignment="1">
      <alignment horizontal="center"/>
    </xf>
    <xf numFmtId="0" fontId="18" fillId="0" borderId="46" xfId="0" applyFont="1" applyBorder="1" applyAlignment="1">
      <alignment horizontal="center"/>
    </xf>
    <xf numFmtId="3" fontId="18" fillId="0" borderId="2" xfId="0" applyNumberFormat="1" applyFont="1" applyBorder="1" applyAlignment="1">
      <alignment horizontal="center"/>
    </xf>
    <xf numFmtId="0" fontId="18" fillId="0" borderId="1" xfId="0" applyFont="1" applyBorder="1" applyAlignment="1">
      <alignment horizontal="center"/>
    </xf>
    <xf numFmtId="3" fontId="18" fillId="0" borderId="45" xfId="0" applyNumberFormat="1" applyFont="1" applyBorder="1" applyAlignment="1">
      <alignment horizontal="center"/>
    </xf>
    <xf numFmtId="0" fontId="17" fillId="0" borderId="45" xfId="0" applyFont="1" applyBorder="1" applyAlignment="1">
      <alignment horizontal="center"/>
    </xf>
    <xf numFmtId="3" fontId="17" fillId="0" borderId="23" xfId="0" applyNumberFormat="1" applyFont="1" applyBorder="1" applyAlignment="1">
      <alignment horizontal="right" vertical="center"/>
    </xf>
    <xf numFmtId="3" fontId="17" fillId="0" borderId="46" xfId="0" applyNumberFormat="1" applyFont="1" applyBorder="1" applyAlignment="1">
      <alignment horizontal="right" vertical="center"/>
    </xf>
    <xf numFmtId="3" fontId="17" fillId="0" borderId="23" xfId="0" applyNumberFormat="1" applyFont="1" applyBorder="1" applyAlignment="1">
      <alignment horizontal="right"/>
    </xf>
    <xf numFmtId="3" fontId="19" fillId="0" borderId="23" xfId="0" applyNumberFormat="1" applyFont="1" applyBorder="1" applyAlignment="1">
      <alignment horizontal="right" vertical="top" wrapText="1"/>
    </xf>
    <xf numFmtId="3" fontId="17" fillId="0" borderId="46" xfId="0" applyNumberFormat="1" applyFont="1" applyBorder="1" applyAlignment="1">
      <alignment horizontal="right"/>
    </xf>
    <xf numFmtId="3" fontId="19" fillId="0" borderId="5" xfId="0" applyNumberFormat="1" applyFont="1" applyBorder="1" applyAlignment="1">
      <alignment horizontal="right" wrapText="1"/>
    </xf>
    <xf numFmtId="3" fontId="19" fillId="0" borderId="47" xfId="0" applyNumberFormat="1" applyFont="1" applyBorder="1" applyAlignment="1">
      <alignment horizontal="right" wrapText="1"/>
    </xf>
    <xf numFmtId="3" fontId="17" fillId="0" borderId="1" xfId="0" applyNumberFormat="1" applyFont="1" applyBorder="1" applyAlignment="1">
      <alignment horizontal="right"/>
    </xf>
    <xf numFmtId="164" fontId="19" fillId="0" borderId="45" xfId="0" applyNumberFormat="1" applyFont="1" applyBorder="1" applyAlignment="1">
      <alignment horizontal="right" wrapText="1"/>
    </xf>
    <xf numFmtId="164" fontId="19" fillId="0" borderId="23" xfId="0" applyNumberFormat="1" applyFont="1" applyBorder="1" applyAlignment="1">
      <alignment horizontal="right" wrapText="1"/>
    </xf>
    <xf numFmtId="164" fontId="19" fillId="0" borderId="46" xfId="0" applyNumberFormat="1" applyFont="1" applyBorder="1" applyAlignment="1">
      <alignment horizontal="right" wrapText="1"/>
    </xf>
    <xf numFmtId="0" fontId="17" fillId="12" borderId="45" xfId="0" applyFont="1" applyFill="1" applyBorder="1" applyAlignment="1">
      <alignment horizontal="center"/>
    </xf>
    <xf numFmtId="3" fontId="17" fillId="12" borderId="23" xfId="0" applyNumberFormat="1" applyFont="1" applyFill="1" applyBorder="1" applyAlignment="1">
      <alignment horizontal="right" vertical="center"/>
    </xf>
    <xf numFmtId="3" fontId="17" fillId="12" borderId="46" xfId="0" applyNumberFormat="1" applyFont="1" applyFill="1" applyBorder="1" applyAlignment="1">
      <alignment horizontal="right" vertical="center"/>
    </xf>
    <xf numFmtId="0" fontId="19" fillId="0" borderId="47" xfId="0" applyFont="1" applyBorder="1" applyAlignment="1">
      <alignment horizontal="right" wrapText="1"/>
    </xf>
    <xf numFmtId="0" fontId="17" fillId="12" borderId="48" xfId="0" applyFont="1" applyFill="1" applyBorder="1" applyAlignment="1">
      <alignment horizontal="center"/>
    </xf>
    <xf numFmtId="3" fontId="17" fillId="12" borderId="49" xfId="0" applyNumberFormat="1" applyFont="1" applyFill="1" applyBorder="1" applyAlignment="1">
      <alignment horizontal="right" vertical="center"/>
    </xf>
    <xf numFmtId="3" fontId="17" fillId="12" borderId="50" xfId="0" applyNumberFormat="1" applyFont="1" applyFill="1" applyBorder="1" applyAlignment="1">
      <alignment horizontal="right" vertical="center"/>
    </xf>
    <xf numFmtId="0" fontId="17" fillId="0" borderId="48" xfId="0" applyFont="1" applyBorder="1" applyAlignment="1">
      <alignment horizontal="center"/>
    </xf>
    <xf numFmtId="3" fontId="17" fillId="0" borderId="49" xfId="0" applyNumberFormat="1" applyFont="1" applyBorder="1" applyAlignment="1">
      <alignment horizontal="right"/>
    </xf>
    <xf numFmtId="3" fontId="19" fillId="0" borderId="49" xfId="0" applyNumberFormat="1" applyFont="1" applyBorder="1" applyAlignment="1">
      <alignment horizontal="right" vertical="top" wrapText="1"/>
    </xf>
    <xf numFmtId="3" fontId="17" fillId="0" borderId="50" xfId="0" applyNumberFormat="1" applyFont="1" applyBorder="1" applyAlignment="1">
      <alignment horizontal="right"/>
    </xf>
    <xf numFmtId="3" fontId="19" fillId="0" borderId="51" xfId="0" applyNumberFormat="1" applyFont="1" applyBorder="1" applyAlignment="1">
      <alignment horizontal="right" wrapText="1"/>
    </xf>
    <xf numFmtId="3" fontId="19" fillId="0" borderId="49" xfId="0" applyNumberFormat="1" applyFont="1" applyBorder="1" applyAlignment="1">
      <alignment horizontal="right" wrapText="1"/>
    </xf>
    <xf numFmtId="3" fontId="17" fillId="0" borderId="52" xfId="0" applyNumberFormat="1" applyFont="1" applyBorder="1" applyAlignment="1">
      <alignment horizontal="right"/>
    </xf>
    <xf numFmtId="164" fontId="19" fillId="0" borderId="48" xfId="0" applyNumberFormat="1" applyFont="1" applyBorder="1" applyAlignment="1">
      <alignment horizontal="right" wrapText="1"/>
    </xf>
    <xf numFmtId="164" fontId="19" fillId="0" borderId="49" xfId="0" applyNumberFormat="1" applyFont="1" applyBorder="1" applyAlignment="1">
      <alignment horizontal="right" wrapText="1"/>
    </xf>
    <xf numFmtId="164" fontId="19" fillId="0" borderId="50" xfId="0" applyNumberFormat="1" applyFont="1" applyBorder="1" applyAlignment="1">
      <alignment horizontal="right" wrapText="1"/>
    </xf>
    <xf numFmtId="0" fontId="18" fillId="0" borderId="13" xfId="0" applyFont="1" applyBorder="1" applyAlignment="1">
      <alignment horizontal="center" vertical="center"/>
    </xf>
    <xf numFmtId="3" fontId="18" fillId="0" borderId="13" xfId="0" applyNumberFormat="1" applyFont="1" applyBorder="1" applyAlignment="1">
      <alignment horizontal="right" vertical="center"/>
    </xf>
    <xf numFmtId="0" fontId="18" fillId="0" borderId="53" xfId="0" applyFont="1" applyBorder="1" applyAlignment="1">
      <alignment horizontal="center" vertical="center"/>
    </xf>
    <xf numFmtId="164" fontId="18" fillId="0" borderId="13" xfId="0" applyNumberFormat="1" applyFont="1" applyBorder="1" applyAlignment="1">
      <alignment horizontal="right" vertical="center"/>
    </xf>
    <xf numFmtId="164" fontId="18" fillId="0" borderId="41" xfId="0" applyNumberFormat="1" applyFont="1" applyBorder="1" applyAlignment="1">
      <alignment horizontal="right" vertical="center"/>
    </xf>
    <xf numFmtId="3" fontId="18" fillId="0" borderId="23" xfId="0" applyNumberFormat="1" applyFont="1" applyBorder="1" applyAlignment="1">
      <alignment horizontal="center" vertical="center"/>
    </xf>
    <xf numFmtId="3" fontId="18" fillId="0" borderId="23" xfId="0" applyNumberFormat="1" applyFont="1" applyBorder="1" applyAlignment="1">
      <alignment horizontal="right" vertical="center"/>
    </xf>
    <xf numFmtId="3" fontId="18" fillId="0" borderId="45" xfId="0" applyNumberFormat="1" applyFont="1" applyBorder="1" applyAlignment="1">
      <alignment horizontal="center" vertical="center"/>
    </xf>
    <xf numFmtId="164" fontId="18" fillId="0" borderId="23" xfId="0" applyNumberFormat="1" applyFont="1" applyBorder="1" applyAlignment="1">
      <alignment horizontal="right" vertical="center"/>
    </xf>
    <xf numFmtId="164" fontId="18" fillId="0" borderId="46" xfId="0" applyNumberFormat="1" applyFont="1" applyBorder="1" applyAlignment="1">
      <alignment horizontal="right" vertical="center"/>
    </xf>
    <xf numFmtId="3" fontId="18" fillId="0" borderId="54" xfId="0" applyNumberFormat="1" applyFont="1" applyBorder="1" applyAlignment="1">
      <alignment horizontal="center" vertical="center"/>
    </xf>
    <xf numFmtId="3" fontId="18" fillId="0" borderId="55" xfId="0" applyNumberFormat="1" applyFont="1" applyBorder="1" applyAlignment="1">
      <alignment horizontal="right" vertical="center"/>
    </xf>
    <xf numFmtId="164" fontId="18" fillId="0" borderId="55" xfId="0" applyNumberFormat="1" applyFont="1" applyBorder="1" applyAlignment="1">
      <alignment horizontal="right" vertical="center"/>
    </xf>
    <xf numFmtId="164" fontId="18" fillId="0" borderId="56" xfId="0" applyNumberFormat="1" applyFont="1" applyBorder="1" applyAlignment="1">
      <alignment horizontal="right" vertical="center"/>
    </xf>
    <xf numFmtId="0" fontId="19" fillId="0" borderId="0" xfId="0" applyFont="1"/>
    <xf numFmtId="3" fontId="17" fillId="0" borderId="0" xfId="0" applyNumberFormat="1" applyFont="1"/>
    <xf numFmtId="0" fontId="20" fillId="0" borderId="0" xfId="0" applyFont="1" applyAlignment="1">
      <alignment horizontal="center"/>
    </xf>
    <xf numFmtId="3" fontId="17" fillId="0" borderId="45" xfId="0" applyNumberFormat="1" applyFont="1" applyBorder="1" applyAlignment="1">
      <alignment horizontal="right" vertical="center"/>
    </xf>
    <xf numFmtId="9" fontId="17" fillId="0" borderId="45" xfId="0" applyNumberFormat="1" applyFont="1" applyBorder="1" applyAlignment="1">
      <alignment horizontal="right" vertical="center"/>
    </xf>
    <xf numFmtId="9" fontId="17" fillId="0" borderId="23" xfId="0" applyNumberFormat="1" applyFont="1" applyBorder="1" applyAlignment="1">
      <alignment horizontal="right" vertical="center"/>
    </xf>
    <xf numFmtId="9" fontId="17" fillId="0" borderId="46" xfId="0" applyNumberFormat="1" applyFont="1" applyBorder="1" applyAlignment="1">
      <alignment horizontal="right" vertical="center"/>
    </xf>
    <xf numFmtId="0" fontId="17" fillId="0" borderId="57" xfId="0" applyFont="1" applyBorder="1" applyAlignment="1">
      <alignment horizontal="center"/>
    </xf>
    <xf numFmtId="3" fontId="17" fillId="0" borderId="47" xfId="0" applyNumberFormat="1" applyFont="1" applyBorder="1" applyAlignment="1">
      <alignment horizontal="right" vertical="center"/>
    </xf>
    <xf numFmtId="3" fontId="17" fillId="0" borderId="58" xfId="0" applyNumberFormat="1" applyFont="1" applyBorder="1" applyAlignment="1">
      <alignment horizontal="right" vertical="center"/>
    </xf>
    <xf numFmtId="3" fontId="17" fillId="0" borderId="57" xfId="0" applyNumberFormat="1" applyFont="1" applyBorder="1" applyAlignment="1">
      <alignment horizontal="right" vertical="center"/>
    </xf>
    <xf numFmtId="3" fontId="17" fillId="0" borderId="47" xfId="0" applyNumberFormat="1" applyFont="1" applyBorder="1" applyAlignment="1">
      <alignment horizontal="right"/>
    </xf>
    <xf numFmtId="3" fontId="19" fillId="0" borderId="47" xfId="0" applyNumberFormat="1" applyFont="1" applyBorder="1" applyAlignment="1">
      <alignment horizontal="right" vertical="top" wrapText="1"/>
    </xf>
    <xf numFmtId="3" fontId="17" fillId="0" borderId="58" xfId="0" applyNumberFormat="1" applyFont="1" applyBorder="1" applyAlignment="1">
      <alignment horizontal="right"/>
    </xf>
    <xf numFmtId="9" fontId="17" fillId="0" borderId="57" xfId="0" applyNumberFormat="1" applyFont="1" applyBorder="1" applyAlignment="1">
      <alignment horizontal="right" vertical="center"/>
    </xf>
    <xf numFmtId="9" fontId="17" fillId="0" borderId="47" xfId="0" applyNumberFormat="1" applyFont="1" applyBorder="1" applyAlignment="1">
      <alignment horizontal="right" vertical="center"/>
    </xf>
    <xf numFmtId="9" fontId="17" fillId="0" borderId="58" xfId="0" applyNumberFormat="1" applyFont="1" applyBorder="1" applyAlignment="1">
      <alignment horizontal="right" vertical="center"/>
    </xf>
    <xf numFmtId="3" fontId="17" fillId="0" borderId="49" xfId="0" applyNumberFormat="1" applyFont="1" applyBorder="1" applyAlignment="1">
      <alignment horizontal="right" vertical="center"/>
    </xf>
    <xf numFmtId="3" fontId="17" fillId="0" borderId="50" xfId="0" applyNumberFormat="1" applyFont="1" applyBorder="1" applyAlignment="1">
      <alignment horizontal="right" vertical="center"/>
    </xf>
    <xf numFmtId="3" fontId="17" fillId="0" borderId="48" xfId="0" applyNumberFormat="1" applyFont="1" applyBorder="1" applyAlignment="1">
      <alignment horizontal="right" vertical="center"/>
    </xf>
    <xf numFmtId="3" fontId="18" fillId="0" borderId="41" xfId="0" applyNumberFormat="1" applyFont="1" applyBorder="1" applyAlignment="1">
      <alignment horizontal="right" vertical="center"/>
    </xf>
    <xf numFmtId="0" fontId="17" fillId="0" borderId="26" xfId="0" applyFont="1" applyBorder="1"/>
    <xf numFmtId="0" fontId="17" fillId="0" borderId="27" xfId="0" applyFont="1" applyBorder="1"/>
    <xf numFmtId="3" fontId="18" fillId="0" borderId="56" xfId="0" applyNumberFormat="1" applyFont="1" applyBorder="1" applyAlignment="1">
      <alignment horizontal="right" vertical="center"/>
    </xf>
    <xf numFmtId="0" fontId="17" fillId="0" borderId="30" xfId="0" applyFont="1" applyBorder="1"/>
    <xf numFmtId="3" fontId="17" fillId="0" borderId="33" xfId="0" applyNumberFormat="1" applyFont="1" applyBorder="1"/>
    <xf numFmtId="0" fontId="17" fillId="0" borderId="33" xfId="0" applyFont="1" applyBorder="1"/>
    <xf numFmtId="0" fontId="17" fillId="0" borderId="31" xfId="0" applyFont="1" applyBorder="1"/>
    <xf numFmtId="9" fontId="17" fillId="0" borderId="0" xfId="1" applyFont="1" applyAlignment="1">
      <alignment horizontal="center"/>
    </xf>
    <xf numFmtId="0" fontId="4" fillId="13" borderId="0" xfId="0" applyFont="1" applyFill="1"/>
    <xf numFmtId="0" fontId="4" fillId="13" borderId="0" xfId="0" applyFont="1" applyFill="1" applyAlignment="1">
      <alignment horizontal="center"/>
    </xf>
    <xf numFmtId="37" fontId="0" fillId="0" borderId="0" xfId="0" applyNumberFormat="1"/>
    <xf numFmtId="0" fontId="3" fillId="0" borderId="6" xfId="0" applyFont="1" applyBorder="1" applyAlignment="1">
      <alignment horizontal="center" vertical="center"/>
    </xf>
    <xf numFmtId="0" fontId="0" fillId="0" borderId="11" xfId="0" applyBorder="1" applyAlignment="1">
      <alignment horizontal="left" vertical="center"/>
    </xf>
    <xf numFmtId="37" fontId="0" fillId="0" borderId="11" xfId="0" applyNumberFormat="1" applyBorder="1"/>
    <xf numFmtId="3" fontId="0" fillId="0" borderId="11" xfId="0" applyNumberFormat="1" applyBorder="1"/>
    <xf numFmtId="0" fontId="22" fillId="0" borderId="0" xfId="4"/>
    <xf numFmtId="9" fontId="3" fillId="0" borderId="0" xfId="1" applyFont="1" applyAlignment="1">
      <alignment horizontal="right"/>
    </xf>
    <xf numFmtId="0" fontId="4" fillId="7" borderId="0" xfId="0" applyFont="1" applyFill="1" applyAlignment="1">
      <alignment horizontal="center"/>
    </xf>
    <xf numFmtId="0" fontId="4" fillId="7" borderId="7" xfId="0" applyFont="1" applyFill="1" applyBorder="1" applyAlignment="1">
      <alignment horizontal="center"/>
    </xf>
    <xf numFmtId="3" fontId="11" fillId="0" borderId="11" xfId="0" applyNumberFormat="1" applyFont="1" applyBorder="1" applyAlignment="1">
      <alignment horizontal="center"/>
    </xf>
    <xf numFmtId="3" fontId="0" fillId="0" borderId="3" xfId="0" quotePrefix="1" applyNumberFormat="1" applyBorder="1" applyAlignment="1">
      <alignment horizontal="center"/>
    </xf>
    <xf numFmtId="3" fontId="0" fillId="0" borderId="6" xfId="0" quotePrefix="1" applyNumberFormat="1" applyBorder="1" applyAlignment="1">
      <alignment horizontal="center"/>
    </xf>
    <xf numFmtId="0" fontId="0" fillId="0" borderId="9" xfId="0" quotePrefix="1" applyBorder="1" applyAlignment="1">
      <alignment horizontal="center"/>
    </xf>
    <xf numFmtId="0" fontId="4" fillId="0" borderId="3" xfId="0" quotePrefix="1" applyFont="1" applyBorder="1"/>
    <xf numFmtId="0" fontId="7" fillId="0" borderId="47" xfId="0" applyFont="1" applyBorder="1"/>
    <xf numFmtId="0" fontId="7" fillId="0" borderId="12" xfId="0" applyFont="1" applyBorder="1"/>
    <xf numFmtId="0" fontId="0" fillId="0" borderId="12" xfId="0" applyBorder="1"/>
    <xf numFmtId="0" fontId="0" fillId="0" borderId="13" xfId="0" applyBorder="1"/>
    <xf numFmtId="164" fontId="0" fillId="0" borderId="0" xfId="1" quotePrefix="1" applyNumberFormat="1" applyFont="1" applyAlignment="1">
      <alignment horizontal="center"/>
    </xf>
    <xf numFmtId="0" fontId="23" fillId="15" borderId="63" xfId="0" applyFont="1" applyFill="1" applyBorder="1" applyAlignment="1">
      <alignment horizontal="center" vertical="center" wrapText="1"/>
    </xf>
    <xf numFmtId="0" fontId="23" fillId="15" borderId="60" xfId="0" applyFont="1" applyFill="1" applyBorder="1" applyAlignment="1">
      <alignment horizontal="center" vertical="center" wrapText="1"/>
    </xf>
    <xf numFmtId="0" fontId="23" fillId="15" borderId="59" xfId="0" applyFont="1" applyFill="1" applyBorder="1" applyAlignment="1">
      <alignment horizontal="center" vertical="center" wrapText="1"/>
    </xf>
    <xf numFmtId="0" fontId="23" fillId="15" borderId="60" xfId="0" applyFont="1" applyFill="1" applyBorder="1" applyAlignment="1">
      <alignment horizontal="right" vertical="center" wrapText="1"/>
    </xf>
    <xf numFmtId="0" fontId="23" fillId="15" borderId="0" xfId="0" applyFont="1" applyFill="1" applyAlignment="1">
      <alignment vertical="center" wrapText="1"/>
    </xf>
    <xf numFmtId="0" fontId="23" fillId="15" borderId="60" xfId="0" applyFont="1" applyFill="1" applyBorder="1" applyAlignment="1">
      <alignment vertical="center" wrapText="1"/>
    </xf>
    <xf numFmtId="0" fontId="23" fillId="0" borderId="59" xfId="0" applyFont="1" applyBorder="1" applyAlignment="1">
      <alignment horizontal="center" vertical="center" wrapText="1"/>
    </xf>
    <xf numFmtId="0" fontId="23" fillId="0" borderId="60" xfId="0" applyFont="1" applyBorder="1" applyAlignment="1">
      <alignment horizontal="right" vertical="center" wrapText="1"/>
    </xf>
    <xf numFmtId="0" fontId="23" fillId="0" borderId="0" xfId="0" applyFont="1" applyAlignment="1">
      <alignment vertical="center" wrapText="1"/>
    </xf>
    <xf numFmtId="0" fontId="23" fillId="0" borderId="60" xfId="0" applyFont="1" applyBorder="1" applyAlignment="1">
      <alignment vertical="center" wrapText="1"/>
    </xf>
    <xf numFmtId="0" fontId="23" fillId="0" borderId="62" xfId="0" applyFont="1" applyBorder="1" applyAlignment="1">
      <alignment horizontal="center" vertical="center" wrapText="1"/>
    </xf>
    <xf numFmtId="0" fontId="23" fillId="0" borderId="64" xfId="0" applyFont="1" applyBorder="1" applyAlignment="1">
      <alignment horizontal="right" vertical="center" wrapText="1"/>
    </xf>
    <xf numFmtId="0" fontId="23" fillId="0" borderId="64" xfId="0" applyFont="1" applyBorder="1" applyAlignment="1">
      <alignment vertical="center" wrapText="1"/>
    </xf>
    <xf numFmtId="0" fontId="23" fillId="0" borderId="66" xfId="0" applyFont="1" applyBorder="1" applyAlignment="1">
      <alignment vertical="center" wrapText="1"/>
    </xf>
    <xf numFmtId="0" fontId="23" fillId="0" borderId="66" xfId="0" applyFont="1" applyBorder="1" applyAlignment="1">
      <alignment horizontal="right" vertical="center" wrapText="1"/>
    </xf>
    <xf numFmtId="0" fontId="23" fillId="0" borderId="60" xfId="0" applyFont="1" applyBorder="1" applyAlignment="1">
      <alignment horizontal="center" vertical="center" wrapText="1"/>
    </xf>
    <xf numFmtId="0" fontId="0" fillId="0" borderId="64" xfId="0" applyBorder="1" applyAlignment="1">
      <alignment horizontal="center" vertical="top" wrapText="1"/>
    </xf>
    <xf numFmtId="0" fontId="23" fillId="0" borderId="68" xfId="0" applyFont="1" applyBorder="1" applyAlignment="1">
      <alignment horizontal="center" vertical="center" wrapText="1"/>
    </xf>
    <xf numFmtId="0" fontId="0" fillId="0" borderId="66" xfId="0" applyBorder="1" applyAlignment="1">
      <alignment horizontal="center" vertical="center" wrapText="1"/>
    </xf>
    <xf numFmtId="0" fontId="0" fillId="0" borderId="64" xfId="0" applyBorder="1" applyAlignment="1">
      <alignment horizontal="center" vertical="center" wrapText="1"/>
    </xf>
    <xf numFmtId="0" fontId="23" fillId="0" borderId="66" xfId="0" applyFont="1" applyBorder="1" applyAlignment="1">
      <alignment horizontal="center" vertical="center" wrapText="1"/>
    </xf>
    <xf numFmtId="0" fontId="23" fillId="0" borderId="64" xfId="0" applyFont="1" applyBorder="1" applyAlignment="1">
      <alignment horizontal="center" vertical="center" wrapText="1"/>
    </xf>
    <xf numFmtId="0" fontId="16" fillId="0" borderId="0" xfId="0" applyFont="1"/>
    <xf numFmtId="0" fontId="24" fillId="0" borderId="0" xfId="0" quotePrefix="1" applyFont="1" applyAlignment="1">
      <alignment horizontal="centerContinuous"/>
    </xf>
    <xf numFmtId="0" fontId="24" fillId="0" borderId="0" xfId="0" applyFont="1" applyAlignment="1">
      <alignment horizontal="centerContinuous"/>
    </xf>
    <xf numFmtId="9" fontId="3" fillId="0" borderId="0" xfId="0" applyNumberFormat="1" applyFont="1"/>
    <xf numFmtId="9" fontId="3" fillId="0" borderId="0" xfId="1" applyFont="1"/>
    <xf numFmtId="164" fontId="3" fillId="0" borderId="0" xfId="0" applyNumberFormat="1" applyFont="1"/>
    <xf numFmtId="0" fontId="23" fillId="0" borderId="23" xfId="0" applyFont="1" applyBorder="1" applyAlignment="1">
      <alignment horizontal="left" vertical="center" wrapText="1"/>
    </xf>
    <xf numFmtId="16" fontId="0" fillId="0" borderId="0" xfId="0" quotePrefix="1" applyNumberFormat="1" applyAlignment="1">
      <alignment horizontal="center"/>
    </xf>
    <xf numFmtId="164" fontId="0" fillId="0" borderId="11" xfId="1" applyNumberFormat="1" applyFont="1" applyBorder="1"/>
    <xf numFmtId="0"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xf>
    <xf numFmtId="0" fontId="8" fillId="6" borderId="2" xfId="0" applyFont="1" applyFill="1" applyBorder="1" applyAlignment="1">
      <alignment horizontal="center"/>
    </xf>
    <xf numFmtId="10" fontId="0" fillId="0" borderId="0" xfId="0" applyNumberFormat="1"/>
    <xf numFmtId="0" fontId="0" fillId="0" borderId="0" xfId="0" quotePrefix="1"/>
    <xf numFmtId="0" fontId="0" fillId="0" borderId="0" xfId="0" applyAlignment="1">
      <alignment horizontal="right"/>
    </xf>
    <xf numFmtId="3" fontId="0" fillId="0" borderId="0" xfId="0" quotePrefix="1" applyNumberFormat="1"/>
    <xf numFmtId="166" fontId="0" fillId="14" borderId="0" xfId="0" applyNumberFormat="1" applyFill="1"/>
    <xf numFmtId="166" fontId="0" fillId="0" borderId="0" xfId="0" applyNumberFormat="1"/>
    <xf numFmtId="166" fontId="0" fillId="0" borderId="0" xfId="0" applyNumberFormat="1" applyAlignment="1">
      <alignment horizontal="left"/>
    </xf>
    <xf numFmtId="166" fontId="0" fillId="0" borderId="0" xfId="0" applyNumberFormat="1" applyAlignment="1">
      <alignment horizontal="center"/>
    </xf>
    <xf numFmtId="2" fontId="0" fillId="0" borderId="0" xfId="0" applyNumberFormat="1"/>
    <xf numFmtId="3" fontId="0" fillId="0" borderId="23" xfId="0" applyNumberFormat="1" applyBorder="1"/>
    <xf numFmtId="3" fontId="0" fillId="0" borderId="0" xfId="0" applyNumberFormat="1" applyAlignment="1">
      <alignment horizontal="right"/>
    </xf>
    <xf numFmtId="164" fontId="0" fillId="0" borderId="0" xfId="1" applyNumberFormat="1" applyFont="1" applyAlignment="1">
      <alignment horizontal="right"/>
    </xf>
    <xf numFmtId="9" fontId="0" fillId="0" borderId="0" xfId="1" applyFont="1" applyAlignment="1">
      <alignment horizontal="right"/>
    </xf>
    <xf numFmtId="9" fontId="0" fillId="0" borderId="11" xfId="0" applyNumberFormat="1" applyBorder="1"/>
    <xf numFmtId="9" fontId="0" fillId="0" borderId="11" xfId="1" applyFont="1" applyBorder="1"/>
    <xf numFmtId="166" fontId="0" fillId="8" borderId="0" xfId="0" applyNumberFormat="1" applyFill="1"/>
    <xf numFmtId="0" fontId="0" fillId="6" borderId="0" xfId="0" applyFill="1"/>
    <xf numFmtId="166" fontId="0" fillId="0" borderId="11" xfId="0" applyNumberFormat="1" applyBorder="1"/>
    <xf numFmtId="2" fontId="0" fillId="0" borderId="11" xfId="0" applyNumberFormat="1" applyBorder="1"/>
    <xf numFmtId="3" fontId="3" fillId="0" borderId="11" xfId="0" applyNumberFormat="1" applyFont="1" applyBorder="1"/>
    <xf numFmtId="0" fontId="3" fillId="0" borderId="11" xfId="0" applyFont="1" applyBorder="1"/>
    <xf numFmtId="9" fontId="0" fillId="0" borderId="11" xfId="1" applyFont="1" applyBorder="1" applyAlignment="1">
      <alignment horizontal="center"/>
    </xf>
    <xf numFmtId="3" fontId="4" fillId="0" borderId="3" xfId="0" applyNumberFormat="1" applyFont="1" applyBorder="1" applyAlignment="1">
      <alignment horizontal="center"/>
    </xf>
    <xf numFmtId="9" fontId="0" fillId="0" borderId="9" xfId="1" applyFont="1" applyBorder="1" applyAlignment="1">
      <alignment horizontal="center"/>
    </xf>
    <xf numFmtId="9" fontId="0" fillId="0" borderId="10" xfId="1" applyFont="1" applyBorder="1" applyAlignment="1">
      <alignment horizontal="center"/>
    </xf>
    <xf numFmtId="3" fontId="11" fillId="0" borderId="10" xfId="0" quotePrefix="1" applyNumberFormat="1" applyFont="1" applyBorder="1" applyAlignment="1">
      <alignment horizontal="center"/>
    </xf>
    <xf numFmtId="0" fontId="0" fillId="16" borderId="0" xfId="0" applyFill="1"/>
    <xf numFmtId="0" fontId="5" fillId="16" borderId="0" xfId="0" applyFont="1" applyFill="1" applyAlignment="1">
      <alignment vertical="center"/>
    </xf>
    <xf numFmtId="0" fontId="3" fillId="16" borderId="0" xfId="0" applyFont="1" applyFill="1" applyAlignment="1">
      <alignment vertical="center"/>
    </xf>
    <xf numFmtId="0" fontId="2" fillId="16" borderId="0" xfId="0" applyFont="1" applyFill="1" applyAlignment="1">
      <alignment vertical="center"/>
    </xf>
    <xf numFmtId="0" fontId="2" fillId="16" borderId="0" xfId="0" applyFont="1" applyFill="1" applyAlignment="1">
      <alignment horizontal="right" vertical="center"/>
    </xf>
    <xf numFmtId="0" fontId="2" fillId="16" borderId="0" xfId="0" applyFont="1" applyFill="1" applyAlignment="1">
      <alignment horizontal="left" vertical="center"/>
    </xf>
    <xf numFmtId="0" fontId="4" fillId="17" borderId="1" xfId="0" applyFont="1" applyFill="1" applyBorder="1"/>
    <xf numFmtId="0" fontId="0" fillId="17" borderId="2" xfId="0" applyFill="1" applyBorder="1"/>
    <xf numFmtId="0" fontId="9" fillId="18" borderId="3" xfId="0" applyFont="1" applyFill="1" applyBorder="1" applyAlignment="1">
      <alignment horizontal="centerContinuous"/>
    </xf>
    <xf numFmtId="0" fontId="0" fillId="18" borderId="4" xfId="0" applyFill="1" applyBorder="1" applyAlignment="1">
      <alignment horizontal="centerContinuous"/>
    </xf>
    <xf numFmtId="0" fontId="4" fillId="18" borderId="8" xfId="0" applyFont="1" applyFill="1" applyBorder="1" applyAlignment="1">
      <alignment horizontal="centerContinuous"/>
    </xf>
    <xf numFmtId="0" fontId="4" fillId="18" borderId="2" xfId="0" applyFont="1" applyFill="1" applyBorder="1" applyAlignment="1">
      <alignment horizontal="centerContinuous"/>
    </xf>
    <xf numFmtId="0" fontId="4" fillId="18" borderId="9" xfId="0" applyFont="1" applyFill="1" applyBorder="1" applyAlignment="1">
      <alignment horizontal="center" vertical="center"/>
    </xf>
    <xf numFmtId="0" fontId="4" fillId="18" borderId="10" xfId="0" applyFont="1" applyFill="1" applyBorder="1" applyAlignment="1">
      <alignment horizontal="center" vertical="center"/>
    </xf>
    <xf numFmtId="0" fontId="4" fillId="18" borderId="11" xfId="0" applyFont="1" applyFill="1" applyBorder="1" applyAlignment="1">
      <alignment horizontal="center" vertical="center"/>
    </xf>
    <xf numFmtId="0" fontId="4" fillId="18" borderId="2" xfId="0" applyFont="1" applyFill="1" applyBorder="1" applyAlignment="1">
      <alignment horizontal="center" vertical="center"/>
    </xf>
    <xf numFmtId="0" fontId="4" fillId="18" borderId="1" xfId="0" applyFont="1" applyFill="1" applyBorder="1"/>
    <xf numFmtId="0" fontId="4" fillId="18" borderId="8" xfId="0" applyFont="1" applyFill="1" applyBorder="1" applyAlignment="1">
      <alignment horizontal="center"/>
    </xf>
    <xf numFmtId="3" fontId="4" fillId="18" borderId="1" xfId="0" applyNumberFormat="1" applyFont="1" applyFill="1" applyBorder="1" applyAlignment="1">
      <alignment horizontal="center"/>
    </xf>
    <xf numFmtId="3" fontId="4" fillId="18" borderId="2" xfId="0" applyNumberFormat="1" applyFont="1" applyFill="1" applyBorder="1" applyAlignment="1">
      <alignment horizontal="center"/>
    </xf>
    <xf numFmtId="3" fontId="4" fillId="18" borderId="8" xfId="0" applyNumberFormat="1" applyFont="1" applyFill="1" applyBorder="1" applyAlignment="1">
      <alignment horizontal="center"/>
    </xf>
    <xf numFmtId="0" fontId="4" fillId="4" borderId="2" xfId="0" applyFont="1" applyFill="1" applyBorder="1"/>
    <xf numFmtId="0" fontId="4" fillId="2" borderId="8" xfId="0" quotePrefix="1" applyFont="1" applyFill="1" applyBorder="1" applyAlignment="1">
      <alignment horizontal="centerContinuous"/>
    </xf>
    <xf numFmtId="0" fontId="25" fillId="3" borderId="0" xfId="0" applyFont="1" applyFill="1"/>
    <xf numFmtId="0" fontId="26" fillId="3" borderId="1" xfId="0" applyFont="1" applyFill="1" applyBorder="1" applyAlignment="1">
      <alignment horizontal="center"/>
    </xf>
    <xf numFmtId="164" fontId="26" fillId="3" borderId="2" xfId="0" applyNumberFormat="1" applyFont="1" applyFill="1" applyBorder="1" applyAlignment="1">
      <alignment horizontal="center"/>
    </xf>
    <xf numFmtId="0" fontId="25" fillId="0" borderId="0" xfId="0" applyFont="1"/>
    <xf numFmtId="0" fontId="24" fillId="0" borderId="0" xfId="0" applyFont="1"/>
    <xf numFmtId="0" fontId="0" fillId="0" borderId="0" xfId="0" applyAlignment="1">
      <alignment horizontal="center"/>
    </xf>
    <xf numFmtId="3" fontId="26" fillId="3" borderId="8" xfId="0" applyNumberFormat="1" applyFont="1" applyFill="1" applyBorder="1" applyAlignment="1">
      <alignment horizontal="center"/>
    </xf>
    <xf numFmtId="3" fontId="0" fillId="0" borderId="2" xfId="0" applyNumberFormat="1" applyBorder="1" applyAlignment="1">
      <alignment horizontal="center"/>
    </xf>
    <xf numFmtId="3" fontId="0" fillId="0" borderId="4" xfId="0" quotePrefix="1" applyNumberFormat="1" applyBorder="1" applyAlignment="1">
      <alignment horizontal="center" vertical="center"/>
    </xf>
    <xf numFmtId="0" fontId="0" fillId="0" borderId="7" xfId="0" applyBorder="1" applyAlignment="1">
      <alignment horizontal="center" vertical="center"/>
    </xf>
    <xf numFmtId="3" fontId="0" fillId="0" borderId="7" xfId="0" quotePrefix="1" applyNumberFormat="1" applyBorder="1" applyAlignment="1">
      <alignment horizontal="center" vertical="center"/>
    </xf>
    <xf numFmtId="0" fontId="0" fillId="0" borderId="10" xfId="0" applyBorder="1" applyAlignment="1">
      <alignment horizontal="center" vertical="center"/>
    </xf>
    <xf numFmtId="0" fontId="4" fillId="0" borderId="12" xfId="0" applyFont="1" applyBorder="1" applyAlignment="1">
      <alignment horizontal="center" vertical="center" textRotation="90" wrapText="1"/>
    </xf>
    <xf numFmtId="0" fontId="0" fillId="0" borderId="13" xfId="0" applyBorder="1" applyAlignment="1">
      <alignment vertical="center"/>
    </xf>
    <xf numFmtId="0" fontId="4" fillId="0" borderId="12" xfId="0" applyFont="1" applyBorder="1" applyAlignment="1">
      <alignment horizontal="center" vertical="center" textRotation="90"/>
    </xf>
    <xf numFmtId="0" fontId="4" fillId="0" borderId="13" xfId="0" applyFont="1" applyBorder="1" applyAlignment="1">
      <alignment horizontal="center" vertical="center" textRotation="90"/>
    </xf>
    <xf numFmtId="0" fontId="4" fillId="14" borderId="3" xfId="0" applyFont="1" applyFill="1" applyBorder="1" applyAlignment="1">
      <alignment horizontal="center" vertical="center"/>
    </xf>
    <xf numFmtId="0" fontId="4" fillId="14" borderId="4" xfId="0" applyFont="1" applyFill="1" applyBorder="1" applyAlignment="1">
      <alignment horizontal="center" vertical="center"/>
    </xf>
    <xf numFmtId="0" fontId="4" fillId="14" borderId="9" xfId="0" applyFont="1" applyFill="1" applyBorder="1" applyAlignment="1">
      <alignment horizontal="center" vertical="center"/>
    </xf>
    <xf numFmtId="0" fontId="4" fillId="14" borderId="10" xfId="0" applyFont="1" applyFill="1" applyBorder="1" applyAlignment="1">
      <alignment horizontal="center" vertical="center"/>
    </xf>
    <xf numFmtId="3" fontId="7" fillId="0" borderId="3" xfId="0" applyNumberFormat="1" applyFont="1" applyBorder="1" applyAlignment="1">
      <alignment horizontal="center" vertical="center"/>
    </xf>
    <xf numFmtId="0" fontId="0" fillId="0" borderId="6" xfId="0"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5" xfId="0" quotePrefix="1" applyBorder="1" applyAlignment="1">
      <alignment horizontal="center" vertical="center"/>
    </xf>
    <xf numFmtId="0" fontId="0" fillId="0" borderId="11" xfId="0" applyBorder="1" applyAlignment="1">
      <alignment horizontal="center" vertical="center"/>
    </xf>
    <xf numFmtId="0" fontId="4" fillId="2" borderId="3" xfId="0" applyFont="1" applyFill="1" applyBorder="1" applyAlignment="1">
      <alignment horizontal="center"/>
    </xf>
    <xf numFmtId="0" fontId="0" fillId="2" borderId="5" xfId="0" applyFill="1" applyBorder="1"/>
    <xf numFmtId="0" fontId="4" fillId="2" borderId="9" xfId="0" applyFont="1" applyFill="1" applyBorder="1" applyAlignment="1">
      <alignment horizontal="center" vertical="center"/>
    </xf>
    <xf numFmtId="0" fontId="0" fillId="2" borderId="11" xfId="0" applyFill="1" applyBorder="1"/>
    <xf numFmtId="3" fontId="8" fillId="0" borderId="3" xfId="0" applyNumberFormat="1" applyFont="1" applyBorder="1" applyAlignment="1">
      <alignment horizontal="center"/>
    </xf>
    <xf numFmtId="0" fontId="0" fillId="0" borderId="4" xfId="0" applyBorder="1"/>
    <xf numFmtId="3" fontId="0" fillId="0" borderId="6" xfId="0" applyNumberFormat="1" applyBorder="1" applyAlignment="1">
      <alignment horizontal="center"/>
    </xf>
    <xf numFmtId="0" fontId="0" fillId="0" borderId="7" xfId="0" applyBorder="1"/>
    <xf numFmtId="9" fontId="0" fillId="0" borderId="9" xfId="1" applyFont="1" applyBorder="1" applyAlignment="1">
      <alignment horizontal="center"/>
    </xf>
    <xf numFmtId="0" fontId="0" fillId="0" borderId="10" xfId="0" applyBorder="1"/>
    <xf numFmtId="0" fontId="0" fillId="11" borderId="26" xfId="0" applyFill="1" applyBorder="1" applyAlignment="1">
      <alignment horizontal="left" vertical="center"/>
    </xf>
    <xf numFmtId="0" fontId="0" fillId="10" borderId="0" xfId="0" applyFill="1" applyAlignment="1">
      <alignment horizontal="left"/>
    </xf>
    <xf numFmtId="0" fontId="0" fillId="10" borderId="37" xfId="0" applyFill="1" applyBorder="1" applyAlignment="1">
      <alignment horizontal="center"/>
    </xf>
    <xf numFmtId="0" fontId="0" fillId="10" borderId="35" xfId="0" applyFill="1" applyBorder="1" applyAlignment="1">
      <alignment horizontal="center"/>
    </xf>
    <xf numFmtId="0" fontId="0" fillId="10" borderId="38" xfId="0" applyFill="1" applyBorder="1" applyAlignment="1">
      <alignment horizontal="center"/>
    </xf>
    <xf numFmtId="3" fontId="4" fillId="10" borderId="35" xfId="0" applyNumberFormat="1" applyFont="1" applyFill="1" applyBorder="1" applyAlignment="1">
      <alignment horizontal="center"/>
    </xf>
    <xf numFmtId="0" fontId="0" fillId="10" borderId="40" xfId="0" applyFill="1" applyBorder="1" applyAlignment="1">
      <alignment horizontal="center"/>
    </xf>
    <xf numFmtId="0" fontId="0" fillId="10" borderId="41" xfId="0" applyFill="1" applyBorder="1" applyAlignment="1">
      <alignment horizontal="center"/>
    </xf>
    <xf numFmtId="3" fontId="4" fillId="10" borderId="38" xfId="0" applyNumberFormat="1" applyFont="1" applyFill="1" applyBorder="1" applyAlignment="1">
      <alignment horizontal="center"/>
    </xf>
    <xf numFmtId="0" fontId="0" fillId="10" borderId="36" xfId="0" applyFill="1" applyBorder="1" applyAlignment="1">
      <alignment horizontal="center"/>
    </xf>
    <xf numFmtId="0" fontId="0" fillId="10" borderId="29" xfId="0" applyFill="1" applyBorder="1" applyAlignment="1">
      <alignment horizontal="center"/>
    </xf>
    <xf numFmtId="0" fontId="0" fillId="0" borderId="0" xfId="0" applyAlignment="1">
      <alignment horizontal="left" vertical="top" wrapText="1"/>
    </xf>
    <xf numFmtId="0" fontId="4" fillId="0" borderId="35" xfId="0" applyFont="1" applyBorder="1" applyAlignment="1">
      <alignment horizont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Alignment="1">
      <alignment horizontal="left" wrapText="1"/>
    </xf>
    <xf numFmtId="0" fontId="4" fillId="0" borderId="33" xfId="0" applyFont="1" applyBorder="1" applyAlignment="1">
      <alignment horizontal="left" wrapText="1"/>
    </xf>
    <xf numFmtId="3" fontId="0" fillId="10" borderId="8" xfId="0" applyNumberFormat="1" applyFill="1" applyBorder="1" applyAlignment="1">
      <alignment horizontal="center"/>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0" fillId="0" borderId="0" xfId="0" quotePrefix="1" applyAlignment="1">
      <alignment horizontal="center"/>
    </xf>
    <xf numFmtId="0" fontId="23" fillId="0" borderId="23" xfId="0" applyFont="1" applyBorder="1" applyAlignment="1">
      <alignment horizontal="center" vertical="center" wrapText="1"/>
    </xf>
    <xf numFmtId="0" fontId="0" fillId="0" borderId="23" xfId="0" applyBorder="1" applyAlignment="1">
      <alignment horizontal="center" vertical="center" wrapText="1"/>
    </xf>
    <xf numFmtId="0" fontId="23" fillId="15" borderId="61" xfId="0" applyFont="1" applyFill="1" applyBorder="1" applyAlignment="1">
      <alignment vertical="center" wrapText="1"/>
    </xf>
    <xf numFmtId="0" fontId="23" fillId="15" borderId="59" xfId="0" applyFont="1" applyFill="1" applyBorder="1" applyAlignment="1">
      <alignment vertical="center" wrapText="1"/>
    </xf>
    <xf numFmtId="0" fontId="23" fillId="15" borderId="62" xfId="0" applyFont="1" applyFill="1" applyBorder="1" applyAlignment="1">
      <alignment vertical="center" wrapText="1"/>
    </xf>
    <xf numFmtId="0" fontId="23" fillId="15" borderId="61" xfId="0" applyFont="1" applyFill="1" applyBorder="1" applyAlignment="1">
      <alignment horizontal="right" vertical="center" wrapText="1"/>
    </xf>
    <xf numFmtId="0" fontId="23" fillId="15" borderId="59" xfId="0" applyFont="1" applyFill="1" applyBorder="1" applyAlignment="1">
      <alignment horizontal="right" vertical="center" wrapText="1"/>
    </xf>
    <xf numFmtId="0" fontId="23" fillId="15" borderId="69" xfId="0" applyFont="1" applyFill="1" applyBorder="1" applyAlignment="1">
      <alignment horizontal="right" vertical="center" wrapText="1"/>
    </xf>
    <xf numFmtId="0" fontId="23" fillId="15" borderId="62" xfId="0" applyFont="1" applyFill="1" applyBorder="1" applyAlignment="1">
      <alignment horizontal="right" vertical="center" wrapText="1"/>
    </xf>
    <xf numFmtId="0" fontId="23" fillId="15" borderId="67" xfId="0" applyFont="1" applyFill="1" applyBorder="1" applyAlignment="1">
      <alignment vertical="center" wrapText="1"/>
    </xf>
    <xf numFmtId="0" fontId="23" fillId="15" borderId="69" xfId="0" applyFont="1" applyFill="1" applyBorder="1" applyAlignment="1">
      <alignment vertical="center" wrapText="1"/>
    </xf>
    <xf numFmtId="0" fontId="23" fillId="15" borderId="65" xfId="0" applyFont="1" applyFill="1" applyBorder="1" applyAlignment="1">
      <alignment vertical="center" wrapText="1"/>
    </xf>
    <xf numFmtId="0" fontId="23" fillId="15" borderId="0" xfId="0" applyFont="1" applyFill="1" applyAlignment="1">
      <alignment vertical="center" wrapText="1"/>
    </xf>
    <xf numFmtId="0" fontId="23" fillId="0" borderId="65" xfId="0" applyFont="1" applyBorder="1" applyAlignment="1">
      <alignment horizontal="right" vertical="center" wrapText="1"/>
    </xf>
    <xf numFmtId="0" fontId="23" fillId="0" borderId="68" xfId="0" applyFont="1" applyBorder="1" applyAlignment="1">
      <alignment horizontal="right" vertical="center" wrapText="1"/>
    </xf>
    <xf numFmtId="0" fontId="23" fillId="0" borderId="63" xfId="0" applyFont="1" applyBorder="1" applyAlignment="1">
      <alignment horizontal="right" vertical="center" wrapText="1"/>
    </xf>
    <xf numFmtId="0" fontId="23" fillId="0" borderId="64" xfId="0" applyFont="1" applyBorder="1" applyAlignment="1">
      <alignment horizontal="right" vertical="center" wrapText="1"/>
    </xf>
    <xf numFmtId="0" fontId="23" fillId="15" borderId="65" xfId="0" applyFont="1" applyFill="1" applyBorder="1" applyAlignment="1">
      <alignment horizontal="right" vertical="center" wrapText="1"/>
    </xf>
    <xf numFmtId="0" fontId="23" fillId="15" borderId="0" xfId="0" applyFont="1" applyFill="1" applyAlignment="1">
      <alignment horizontal="right" vertical="center" wrapText="1"/>
    </xf>
    <xf numFmtId="0" fontId="23" fillId="15" borderId="63" xfId="0" applyFont="1" applyFill="1" applyBorder="1" applyAlignment="1">
      <alignment vertical="center" wrapText="1"/>
    </xf>
    <xf numFmtId="0" fontId="23" fillId="15" borderId="60" xfId="0" applyFont="1" applyFill="1" applyBorder="1" applyAlignment="1">
      <alignment vertical="center" wrapText="1"/>
    </xf>
    <xf numFmtId="0" fontId="23" fillId="15" borderId="67" xfId="0" applyFont="1" applyFill="1" applyBorder="1" applyAlignment="1">
      <alignment horizontal="center" vertical="center" wrapText="1"/>
    </xf>
    <xf numFmtId="0" fontId="23" fillId="15" borderId="63" xfId="0" applyFont="1" applyFill="1" applyBorder="1" applyAlignment="1">
      <alignment horizontal="center" vertical="center" wrapText="1"/>
    </xf>
    <xf numFmtId="0" fontId="23" fillId="15" borderId="68" xfId="0" applyFont="1" applyFill="1" applyBorder="1" applyAlignment="1">
      <alignment horizontal="center" vertical="center" wrapText="1"/>
    </xf>
    <xf numFmtId="0" fontId="23" fillId="15" borderId="64" xfId="0" applyFont="1" applyFill="1" applyBorder="1" applyAlignment="1">
      <alignment horizontal="center" vertical="center" wrapText="1"/>
    </xf>
    <xf numFmtId="0" fontId="23" fillId="15" borderId="65" xfId="0" applyFont="1" applyFill="1" applyBorder="1" applyAlignment="1">
      <alignment horizontal="center" vertical="center" wrapText="1"/>
    </xf>
    <xf numFmtId="0" fontId="23" fillId="15" borderId="0" xfId="0" applyFont="1" applyFill="1" applyAlignment="1">
      <alignment horizontal="center" vertical="center" wrapText="1"/>
    </xf>
    <xf numFmtId="0" fontId="13" fillId="9" borderId="17" xfId="0" applyFont="1" applyFill="1" applyBorder="1" applyAlignment="1">
      <alignment horizontal="left" vertical="top" wrapText="1" indent="2"/>
    </xf>
    <xf numFmtId="0" fontId="13" fillId="9" borderId="15" xfId="0" applyFont="1" applyFill="1" applyBorder="1" applyAlignment="1">
      <alignment horizontal="left" wrapText="1" indent="1"/>
    </xf>
    <xf numFmtId="0" fontId="13" fillId="9" borderId="20" xfId="0" applyFont="1" applyFill="1" applyBorder="1" applyAlignment="1">
      <alignment horizontal="left" wrapText="1" indent="1"/>
    </xf>
    <xf numFmtId="0" fontId="13" fillId="9" borderId="16" xfId="0" applyFont="1" applyFill="1" applyBorder="1" applyAlignment="1">
      <alignment horizontal="center" vertical="top" wrapText="1"/>
    </xf>
    <xf numFmtId="0" fontId="13" fillId="9" borderId="18" xfId="0" applyFont="1" applyFill="1" applyBorder="1" applyAlignment="1">
      <alignment horizontal="center" vertical="top" wrapText="1"/>
    </xf>
    <xf numFmtId="0" fontId="13" fillId="9" borderId="16" xfId="0" applyFont="1" applyFill="1" applyBorder="1" applyAlignment="1">
      <alignment horizontal="left" vertical="top" wrapText="1" indent="2"/>
    </xf>
    <xf numFmtId="0" fontId="13" fillId="9" borderId="18" xfId="0" applyFont="1" applyFill="1" applyBorder="1" applyAlignment="1">
      <alignment horizontal="left" vertical="top" wrapText="1" indent="2"/>
    </xf>
    <xf numFmtId="0" fontId="13" fillId="9" borderId="16" xfId="0" applyFont="1" applyFill="1" applyBorder="1" applyAlignment="1">
      <alignment horizontal="left" vertical="top" wrapText="1" indent="1"/>
    </xf>
    <xf numFmtId="0" fontId="13" fillId="9" borderId="18" xfId="0" applyFont="1" applyFill="1" applyBorder="1" applyAlignment="1">
      <alignment horizontal="left" vertical="top" wrapText="1" indent="1"/>
    </xf>
    <xf numFmtId="0" fontId="18" fillId="0" borderId="24" xfId="0" applyFont="1" applyBorder="1" applyAlignment="1">
      <alignment horizontal="center"/>
    </xf>
    <xf numFmtId="0" fontId="18" fillId="0" borderId="32" xfId="0" applyFont="1" applyBorder="1" applyAlignment="1">
      <alignment horizontal="center"/>
    </xf>
    <xf numFmtId="0" fontId="18" fillId="0" borderId="25" xfId="0" applyFont="1" applyBorder="1" applyAlignment="1">
      <alignment horizontal="center"/>
    </xf>
  </cellXfs>
  <cellStyles count="5">
    <cellStyle name="Comma" xfId="3" builtinId="3"/>
    <cellStyle name="Hyperlink" xfId="4" builtinId="8"/>
    <cellStyle name="Normal" xfId="0" builtinId="0"/>
    <cellStyle name="Normal 2" xfId="2" xr:uid="{00000000-0005-0000-0000-000002000000}"/>
    <cellStyle name="Percent" xfId="1" builtinId="5"/>
  </cellStyles>
  <dxfs count="12">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none">
          <bgColor auto="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3" formatCode="#,##0"/>
    </dxf>
  </dxfs>
  <tableStyles count="0" defaultTableStyle="TableStyleMedium2" defaultPivotStyle="PivotStyleLight16"/>
  <colors>
    <mruColors>
      <color rgb="FFCDFFFD"/>
      <color rgb="FF00C4BB"/>
      <color rgb="FF008D85"/>
      <color rgb="FFEBFFFE"/>
      <color rgb="FF00605B"/>
      <color rgb="FF81FFF9"/>
      <color rgb="FF01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10387379588023"/>
          <c:y val="2.917508303906716E-2"/>
          <c:w val="0.87898124252793008"/>
          <c:h val="0.86679797797630742"/>
        </c:manualLayout>
      </c:layout>
      <c:barChart>
        <c:barDir val="col"/>
        <c:grouping val="stacked"/>
        <c:varyColors val="0"/>
        <c:ser>
          <c:idx val="1"/>
          <c:order val="0"/>
          <c:tx>
            <c:v>Hanford Escape</c:v>
          </c:tx>
          <c:spPr>
            <a:solidFill>
              <a:srgbClr val="00605B"/>
            </a:solidFill>
            <a:ln>
              <a:solidFill>
                <a:schemeClr val="tx1"/>
              </a:solidFill>
            </a:ln>
            <a:effectLst/>
          </c:spPr>
          <c:invertIfNegative val="0"/>
          <c:cat>
            <c:numRef>
              <c:f>Run!$B$4:$B$35</c:f>
              <c:numCache>
                <c:formatCode>General</c:formatCode>
                <c:ptCount val="32"/>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numCache>
            </c:numRef>
          </c:cat>
          <c:val>
            <c:numRef>
              <c:f>Run!$AJ$4:$AJ$35</c:f>
              <c:numCache>
                <c:formatCode>#,##0</c:formatCode>
                <c:ptCount val="32"/>
                <c:pt idx="0">
                  <c:v>75928</c:v>
                </c:pt>
                <c:pt idx="1">
                  <c:v>90553</c:v>
                </c:pt>
                <c:pt idx="2">
                  <c:v>73717</c:v>
                </c:pt>
                <c:pt idx="3">
                  <c:v>70000</c:v>
                </c:pt>
                <c:pt idx="4">
                  <c:v>45000</c:v>
                </c:pt>
                <c:pt idx="5">
                  <c:v>40000</c:v>
                </c:pt>
                <c:pt idx="6">
                  <c:v>35000</c:v>
                </c:pt>
                <c:pt idx="7">
                  <c:v>40000</c:v>
                </c:pt>
                <c:pt idx="8">
                  <c:v>50000</c:v>
                </c:pt>
                <c:pt idx="9">
                  <c:v>45000</c:v>
                </c:pt>
                <c:pt idx="10">
                  <c:v>45000</c:v>
                </c:pt>
                <c:pt idx="11">
                  <c:v>40000</c:v>
                </c:pt>
                <c:pt idx="12">
                  <c:v>29410</c:v>
                </c:pt>
                <c:pt idx="13">
                  <c:v>27012</c:v>
                </c:pt>
                <c:pt idx="14">
                  <c:v>36027</c:v>
                </c:pt>
                <c:pt idx="15">
                  <c:v>51394</c:v>
                </c:pt>
                <c:pt idx="16">
                  <c:v>69342</c:v>
                </c:pt>
                <c:pt idx="17">
                  <c:v>89312</c:v>
                </c:pt>
                <c:pt idx="18">
                  <c:v>79464.3</c:v>
                </c:pt>
                <c:pt idx="19">
                  <c:v>64355</c:v>
                </c:pt>
                <c:pt idx="20">
                  <c:v>47095</c:v>
                </c:pt>
                <c:pt idx="21">
                  <c:v>13887</c:v>
                </c:pt>
                <c:pt idx="22">
                  <c:v>23361</c:v>
                </c:pt>
                <c:pt idx="23">
                  <c:v>26346</c:v>
                </c:pt>
                <c:pt idx="24">
                  <c:v>80408.350000000006</c:v>
                </c:pt>
                <c:pt idx="25">
                  <c:v>65724</c:v>
                </c:pt>
                <c:pt idx="26">
                  <c:v>51813</c:v>
                </c:pt>
                <c:pt idx="27">
                  <c:v>157484.29756930863</c:v>
                </c:pt>
                <c:pt idx="28">
                  <c:v>152517</c:v>
                </c:pt>
                <c:pt idx="29">
                  <c:v>233927.11657345187</c:v>
                </c:pt>
                <c:pt idx="30">
                  <c:v>109860</c:v>
                </c:pt>
                <c:pt idx="31">
                  <c:v>71303</c:v>
                </c:pt>
              </c:numCache>
            </c:numRef>
          </c:val>
          <c:extLst>
            <c:ext xmlns:c16="http://schemas.microsoft.com/office/drawing/2014/chart" uri="{C3380CC4-5D6E-409C-BE32-E72D297353CC}">
              <c16:uniqueId val="{00000000-9B9E-4865-947A-3D56E7AFEECF}"/>
            </c:ext>
          </c:extLst>
        </c:ser>
        <c:ser>
          <c:idx val="0"/>
          <c:order val="1"/>
          <c:tx>
            <c:v>Col R Run</c:v>
          </c:tx>
          <c:spPr>
            <a:solidFill>
              <a:srgbClr val="00C4BB"/>
            </a:solidFill>
            <a:ln>
              <a:solidFill>
                <a:schemeClr val="tx1"/>
              </a:solidFill>
            </a:ln>
            <a:effectLst/>
          </c:spPr>
          <c:invertIfNegative val="0"/>
          <c:cat>
            <c:numRef>
              <c:f>Run!$B$4:$B$35</c:f>
              <c:numCache>
                <c:formatCode>General</c:formatCode>
                <c:ptCount val="32"/>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numCache>
            </c:numRef>
          </c:cat>
          <c:val>
            <c:numRef>
              <c:f>Run!$AU$4:$AU$35</c:f>
              <c:numCache>
                <c:formatCode>#,##0</c:formatCode>
                <c:ptCount val="32"/>
                <c:pt idx="0">
                  <c:v>187985.40005366167</c:v>
                </c:pt>
                <c:pt idx="1">
                  <c:v>308246.59932406078</c:v>
                </c:pt>
                <c:pt idx="2">
                  <c:v>240143.30022400722</c:v>
                </c:pt>
                <c:pt idx="3">
                  <c:v>175854.74232149479</c:v>
                </c:pt>
                <c:pt idx="4">
                  <c:v>102128.55582272791</c:v>
                </c:pt>
                <c:pt idx="5">
                  <c:v>53532.720503210614</c:v>
                </c:pt>
                <c:pt idx="6">
                  <c:v>40068.25992694938</c:v>
                </c:pt>
                <c:pt idx="7">
                  <c:v>50353.629050667674</c:v>
                </c:pt>
                <c:pt idx="8">
                  <c:v>70013.653936896357</c:v>
                </c:pt>
                <c:pt idx="9">
                  <c:v>46829.790677260986</c:v>
                </c:pt>
                <c:pt idx="10">
                  <c:v>81849.356318717633</c:v>
                </c:pt>
                <c:pt idx="11">
                  <c:v>92469.806874502596</c:v>
                </c:pt>
                <c:pt idx="12">
                  <c:v>87713.39792675135</c:v>
                </c:pt>
                <c:pt idx="13">
                  <c:v>120083.2375803919</c:v>
                </c:pt>
                <c:pt idx="14">
                  <c:v>105396.18328334653</c:v>
                </c:pt>
                <c:pt idx="15">
                  <c:v>140925.24351387637</c:v>
                </c:pt>
                <c:pt idx="16">
                  <c:v>172671.84580320955</c:v>
                </c:pt>
                <c:pt idx="17">
                  <c:v>248285.66725460184</c:v>
                </c:pt>
                <c:pt idx="18">
                  <c:v>244524.14378043282</c:v>
                </c:pt>
                <c:pt idx="19">
                  <c:v>171849.79386218108</c:v>
                </c:pt>
                <c:pt idx="20">
                  <c:v>148256.04502285406</c:v>
                </c:pt>
                <c:pt idx="21">
                  <c:v>61419.732323901058</c:v>
                </c:pt>
                <c:pt idx="22">
                  <c:v>128411.6866412469</c:v>
                </c:pt>
                <c:pt idx="23">
                  <c:v>97028.696860688986</c:v>
                </c:pt>
                <c:pt idx="24">
                  <c:v>159120.72131034164</c:v>
                </c:pt>
                <c:pt idx="25">
                  <c:v>177855.00135706336</c:v>
                </c:pt>
                <c:pt idx="26">
                  <c:v>165405.80522111623</c:v>
                </c:pt>
                <c:pt idx="27">
                  <c:v>501697.17754820944</c:v>
                </c:pt>
                <c:pt idx="28">
                  <c:v>410390.65123684122</c:v>
                </c:pt>
                <c:pt idx="29">
                  <c:v>448992.62648445647</c:v>
                </c:pt>
                <c:pt idx="30">
                  <c:v>231144.07891203399</c:v>
                </c:pt>
                <c:pt idx="31">
                  <c:v>176230.59772711163</c:v>
                </c:pt>
              </c:numCache>
            </c:numRef>
          </c:val>
          <c:extLst>
            <c:ext xmlns:c16="http://schemas.microsoft.com/office/drawing/2014/chart" uri="{C3380CC4-5D6E-409C-BE32-E72D297353CC}">
              <c16:uniqueId val="{00000001-9B9E-4865-947A-3D56E7AFEECF}"/>
            </c:ext>
          </c:extLst>
        </c:ser>
        <c:dLbls>
          <c:showLegendKey val="0"/>
          <c:showVal val="0"/>
          <c:showCatName val="0"/>
          <c:showSerName val="0"/>
          <c:showPercent val="0"/>
          <c:showBubbleSize val="0"/>
        </c:dLbls>
        <c:gapWidth val="5"/>
        <c:overlap val="100"/>
        <c:axId val="445106968"/>
        <c:axId val="445107360"/>
      </c:barChart>
      <c:catAx>
        <c:axId val="445106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crossAx val="445107360"/>
        <c:crosses val="autoZero"/>
        <c:auto val="1"/>
        <c:lblAlgn val="ctr"/>
        <c:lblOffset val="100"/>
        <c:tickLblSkip val="2"/>
        <c:noMultiLvlLbl val="0"/>
      </c:catAx>
      <c:valAx>
        <c:axId val="445107360"/>
        <c:scaling>
          <c:orientation val="minMax"/>
          <c:max val="7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a:t>Adult numbers</a:t>
                </a:r>
              </a:p>
            </c:rich>
          </c:tx>
          <c:layout>
            <c:manualLayout>
              <c:xMode val="edge"/>
              <c:yMode val="edge"/>
              <c:x val="1.3818790405344273E-2"/>
              <c:y val="0.2191382992887904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445106968"/>
        <c:crosses val="autoZero"/>
        <c:crossBetween val="between"/>
      </c:valAx>
      <c:spPr>
        <a:noFill/>
        <a:ln>
          <a:solidFill>
            <a:schemeClr val="tx1"/>
          </a:solidFill>
        </a:ln>
        <a:effectLst/>
      </c:spPr>
    </c:plotArea>
    <c:legend>
      <c:legendPos val="r"/>
      <c:layout>
        <c:manualLayout>
          <c:xMode val="edge"/>
          <c:yMode val="edge"/>
          <c:x val="0.12813519859183359"/>
          <c:y val="4.8905948442702601E-2"/>
          <c:w val="0.14829284913562274"/>
          <c:h val="0.2079966434191366"/>
        </c:manualLayout>
      </c:layout>
      <c:overlay val="0"/>
      <c:spPr>
        <a:solidFill>
          <a:schemeClr val="bg1"/>
        </a:solidFill>
        <a:ln>
          <a:solidFill>
            <a:schemeClr val="tx1"/>
          </a:solid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b="1">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Harvest Distribution </a:t>
            </a:r>
          </a:p>
          <a:p>
            <a:pPr>
              <a:defRPr b="1">
                <a:solidFill>
                  <a:schemeClr val="tx1"/>
                </a:solidFill>
              </a:defRPr>
            </a:pPr>
            <a:r>
              <a:rPr lang="en-US" b="1">
                <a:solidFill>
                  <a:schemeClr val="tx1"/>
                </a:solidFill>
              </a:rPr>
              <a:t>(Exploitation rate vs. Ocean Adults)</a:t>
            </a:r>
          </a:p>
        </c:rich>
      </c:tx>
      <c:layout>
        <c:manualLayout>
          <c:xMode val="edge"/>
          <c:yMode val="edge"/>
          <c:x val="0.28495603504857481"/>
          <c:y val="3.4053540845014082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8325661280647108"/>
          <c:y val="0.20934345607854427"/>
          <c:w val="0.50771597921349021"/>
          <c:h val="0.70241314340773653"/>
        </c:manualLayout>
      </c:layout>
      <c:pieChart>
        <c:varyColors val="1"/>
        <c:ser>
          <c:idx val="0"/>
          <c:order val="0"/>
          <c:spPr>
            <a:ln w="3175">
              <a:solidFill>
                <a:schemeClr val="bg1"/>
              </a:solidFill>
            </a:ln>
          </c:spPr>
          <c:dPt>
            <c:idx val="0"/>
            <c:bubble3D val="0"/>
            <c:spPr>
              <a:solidFill>
                <a:srgbClr val="00605B"/>
              </a:solidFill>
              <a:ln w="3175">
                <a:solidFill>
                  <a:schemeClr val="bg1"/>
                </a:solidFill>
              </a:ln>
              <a:effectLst/>
            </c:spPr>
            <c:extLst>
              <c:ext xmlns:c16="http://schemas.microsoft.com/office/drawing/2014/chart" uri="{C3380CC4-5D6E-409C-BE32-E72D297353CC}">
                <c16:uniqueId val="{00000001-1807-40FA-A2C8-77D6E47886C6}"/>
              </c:ext>
            </c:extLst>
          </c:dPt>
          <c:dPt>
            <c:idx val="1"/>
            <c:bubble3D val="0"/>
            <c:spPr>
              <a:solidFill>
                <a:srgbClr val="008D85"/>
              </a:solidFill>
              <a:ln w="3175">
                <a:solidFill>
                  <a:schemeClr val="bg1"/>
                </a:solidFill>
              </a:ln>
              <a:effectLst/>
            </c:spPr>
            <c:extLst>
              <c:ext xmlns:c16="http://schemas.microsoft.com/office/drawing/2014/chart" uri="{C3380CC4-5D6E-409C-BE32-E72D297353CC}">
                <c16:uniqueId val="{00000003-1807-40FA-A2C8-77D6E47886C6}"/>
              </c:ext>
            </c:extLst>
          </c:dPt>
          <c:dPt>
            <c:idx val="2"/>
            <c:bubble3D val="0"/>
            <c:spPr>
              <a:solidFill>
                <a:srgbClr val="00C4BB"/>
              </a:solidFill>
              <a:ln w="3175">
                <a:solidFill>
                  <a:schemeClr val="bg1"/>
                </a:solidFill>
              </a:ln>
              <a:effectLst/>
            </c:spPr>
            <c:extLst>
              <c:ext xmlns:c16="http://schemas.microsoft.com/office/drawing/2014/chart" uri="{C3380CC4-5D6E-409C-BE32-E72D297353CC}">
                <c16:uniqueId val="{00000005-1807-40FA-A2C8-77D6E47886C6}"/>
              </c:ext>
            </c:extLst>
          </c:dPt>
          <c:dPt>
            <c:idx val="3"/>
            <c:bubble3D val="0"/>
            <c:spPr>
              <a:solidFill>
                <a:srgbClr val="01FFF3"/>
              </a:solidFill>
              <a:ln w="3175">
                <a:solidFill>
                  <a:schemeClr val="bg1"/>
                </a:solidFill>
              </a:ln>
              <a:effectLst/>
            </c:spPr>
            <c:extLst>
              <c:ext xmlns:c16="http://schemas.microsoft.com/office/drawing/2014/chart" uri="{C3380CC4-5D6E-409C-BE32-E72D297353CC}">
                <c16:uniqueId val="{00000007-1807-40FA-A2C8-77D6E47886C6}"/>
              </c:ext>
            </c:extLst>
          </c:dPt>
          <c:dPt>
            <c:idx val="4"/>
            <c:bubble3D val="0"/>
            <c:spPr>
              <a:solidFill>
                <a:srgbClr val="81FFF9"/>
              </a:solidFill>
              <a:ln w="3175">
                <a:solidFill>
                  <a:schemeClr val="bg1"/>
                </a:solidFill>
              </a:ln>
              <a:effectLst/>
            </c:spPr>
            <c:extLst>
              <c:ext xmlns:c16="http://schemas.microsoft.com/office/drawing/2014/chart" uri="{C3380CC4-5D6E-409C-BE32-E72D297353CC}">
                <c16:uniqueId val="{00000009-1807-40FA-A2C8-77D6E47886C6}"/>
              </c:ext>
            </c:extLst>
          </c:dPt>
          <c:dPt>
            <c:idx val="5"/>
            <c:bubble3D val="0"/>
            <c:spPr>
              <a:solidFill>
                <a:srgbClr val="CDFFFD"/>
              </a:solidFill>
              <a:ln w="3175">
                <a:solidFill>
                  <a:schemeClr val="bg1"/>
                </a:solidFill>
              </a:ln>
              <a:effectLst/>
            </c:spPr>
            <c:extLst>
              <c:ext xmlns:c16="http://schemas.microsoft.com/office/drawing/2014/chart" uri="{C3380CC4-5D6E-409C-BE32-E72D297353CC}">
                <c16:uniqueId val="{0000000B-1807-40FA-A2C8-77D6E47886C6}"/>
              </c:ext>
            </c:extLst>
          </c:dPt>
          <c:dPt>
            <c:idx val="6"/>
            <c:bubble3D val="0"/>
            <c:spPr>
              <a:solidFill>
                <a:srgbClr val="EBFFFE"/>
              </a:solidFill>
              <a:ln w="3175">
                <a:solidFill>
                  <a:schemeClr val="bg1"/>
                </a:solidFill>
              </a:ln>
              <a:effectLst/>
            </c:spPr>
            <c:extLst>
              <c:ext xmlns:c16="http://schemas.microsoft.com/office/drawing/2014/chart" uri="{C3380CC4-5D6E-409C-BE32-E72D297353CC}">
                <c16:uniqueId val="{0000000D-1807-40FA-A2C8-77D6E47886C6}"/>
              </c:ext>
            </c:extLst>
          </c:dPt>
          <c:dLbls>
            <c:dLbl>
              <c:idx val="0"/>
              <c:layout>
                <c:manualLayout>
                  <c:x val="8.2053923857405495E-3"/>
                  <c:y val="-9.046362608367886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07-40FA-A2C8-77D6E47886C6}"/>
                </c:ext>
              </c:extLst>
            </c:dLbl>
            <c:dLbl>
              <c:idx val="3"/>
              <c:layout>
                <c:manualLayout>
                  <c:x val="-2.3298382439382165E-2"/>
                  <c:y val="6.6783717698762346E-5"/>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1942182361580237"/>
                      <c:h val="0.12624584717607973"/>
                    </c:manualLayout>
                  </c15:layout>
                </c:ext>
                <c:ext xmlns:c16="http://schemas.microsoft.com/office/drawing/2014/chart" uri="{C3380CC4-5D6E-409C-BE32-E72D297353CC}">
                  <c16:uniqueId val="{00000007-1807-40FA-A2C8-77D6E47886C6}"/>
                </c:ext>
              </c:extLst>
            </c:dLbl>
            <c:dLbl>
              <c:idx val="4"/>
              <c:layout>
                <c:manualLayout>
                  <c:x val="4.9512838177103932E-2"/>
                  <c:y val="1.1792096439381452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8835922732733194"/>
                      <c:h val="0.18350596052374435"/>
                    </c:manualLayout>
                  </c15:layout>
                </c:ext>
                <c:ext xmlns:c16="http://schemas.microsoft.com/office/drawing/2014/chart" uri="{C3380CC4-5D6E-409C-BE32-E72D297353CC}">
                  <c16:uniqueId val="{00000009-1807-40FA-A2C8-77D6E47886C6}"/>
                </c:ext>
              </c:extLst>
            </c:dLbl>
            <c:dLbl>
              <c:idx val="5"/>
              <c:layout>
                <c:manualLayout>
                  <c:x val="-5.342221433920618E-2"/>
                  <c:y val="8.347780056904652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807-40FA-A2C8-77D6E47886C6}"/>
                </c:ext>
              </c:extLst>
            </c:dLbl>
            <c:dLbl>
              <c:idx val="6"/>
              <c:layout>
                <c:manualLayout>
                  <c:x val="1.3182844843393604E-2"/>
                  <c:y val="3.544307303584312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07-40FA-A2C8-77D6E47886C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Summary!$S$22:$S$28</c:f>
              <c:strCache>
                <c:ptCount val="7"/>
                <c:pt idx="0">
                  <c:v>Ocean (AK)</c:v>
                </c:pt>
                <c:pt idx="1">
                  <c:v>Ocean (Can)</c:v>
                </c:pt>
                <c:pt idx="2">
                  <c:v>Ocean (WA/OR)</c:v>
                </c:pt>
                <c:pt idx="3">
                  <c:v>Col sport</c:v>
                </c:pt>
                <c:pt idx="4">
                  <c:v>Col commercial</c:v>
                </c:pt>
                <c:pt idx="5">
                  <c:v>Col treaty</c:v>
                </c:pt>
                <c:pt idx="6">
                  <c:v>Terminal sport</c:v>
                </c:pt>
              </c:strCache>
            </c:strRef>
          </c:cat>
          <c:val>
            <c:numRef>
              <c:f>Summary!$T$22:$T$28</c:f>
              <c:numCache>
                <c:formatCode>0.0%</c:formatCode>
                <c:ptCount val="7"/>
                <c:pt idx="0">
                  <c:v>0.20799999999999993</c:v>
                </c:pt>
                <c:pt idx="1">
                  <c:v>0.12310000000000003</c:v>
                </c:pt>
                <c:pt idx="2">
                  <c:v>2.4700000000000003E-2</c:v>
                </c:pt>
                <c:pt idx="3">
                  <c:v>4.1850130753875149E-2</c:v>
                </c:pt>
                <c:pt idx="4">
                  <c:v>3.7077529240641477E-2</c:v>
                </c:pt>
                <c:pt idx="5">
                  <c:v>0.14469271446737281</c:v>
                </c:pt>
                <c:pt idx="6">
                  <c:v>3.3358636490124736E-2</c:v>
                </c:pt>
              </c:numCache>
            </c:numRef>
          </c:val>
          <c:extLst>
            <c:ext xmlns:c16="http://schemas.microsoft.com/office/drawing/2014/chart" uri="{C3380CC4-5D6E-409C-BE32-E72D297353CC}">
              <c16:uniqueId val="{0000000E-1807-40FA-A2C8-77D6E47886C6}"/>
            </c:ext>
          </c:extLst>
        </c:ser>
        <c:dLbls>
          <c:showLegendKey val="0"/>
          <c:showVal val="0"/>
          <c:showCatName val="0"/>
          <c:showSerName val="0"/>
          <c:showPercent val="0"/>
          <c:showBubbleSize val="0"/>
          <c:showLeaderLines val="0"/>
        </c:dLbls>
        <c:firstSliceAng val="44"/>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Current</a:t>
            </a:r>
            <a:r>
              <a:rPr lang="en-US" b="1" baseline="0">
                <a:solidFill>
                  <a:schemeClr val="tx1"/>
                </a:solidFill>
              </a:rPr>
              <a:t> Hatchery Production</a:t>
            </a:r>
            <a:endParaRPr lang="en-US" b="1">
              <a:solidFill>
                <a:schemeClr val="tx1"/>
              </a:solidFill>
            </a:endParaRPr>
          </a:p>
        </c:rich>
      </c:tx>
      <c:layout>
        <c:manualLayout>
          <c:xMode val="edge"/>
          <c:yMode val="edge"/>
          <c:x val="0.27512953473993268"/>
          <c:y val="2.313208237111906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2999072580257882"/>
          <c:y val="0.17434892711394767"/>
          <c:w val="0.54053016363020057"/>
          <c:h val="0.71293995002014521"/>
        </c:manualLayout>
      </c:layout>
      <c:pieChart>
        <c:varyColors val="1"/>
        <c:ser>
          <c:idx val="0"/>
          <c:order val="0"/>
          <c:dPt>
            <c:idx val="0"/>
            <c:bubble3D val="0"/>
            <c:spPr>
              <a:solidFill>
                <a:srgbClr val="CDFFFD"/>
              </a:solidFill>
              <a:ln w="19050">
                <a:solidFill>
                  <a:schemeClr val="lt1"/>
                </a:solidFill>
              </a:ln>
              <a:effectLst/>
            </c:spPr>
            <c:extLst>
              <c:ext xmlns:c16="http://schemas.microsoft.com/office/drawing/2014/chart" uri="{C3380CC4-5D6E-409C-BE32-E72D297353CC}">
                <c16:uniqueId val="{00000002-E35A-4FF3-9514-0B347F22E82D}"/>
              </c:ext>
            </c:extLst>
          </c:dPt>
          <c:dPt>
            <c:idx val="1"/>
            <c:bubble3D val="0"/>
            <c:spPr>
              <a:solidFill>
                <a:srgbClr val="00C4BB"/>
              </a:solidFill>
              <a:ln w="19050">
                <a:solidFill>
                  <a:schemeClr val="lt1"/>
                </a:solidFill>
              </a:ln>
              <a:effectLst/>
            </c:spPr>
            <c:extLst>
              <c:ext xmlns:c16="http://schemas.microsoft.com/office/drawing/2014/chart" uri="{C3380CC4-5D6E-409C-BE32-E72D297353CC}">
                <c16:uniqueId val="{00000003-E35A-4FF3-9514-0B347F22E82D}"/>
              </c:ext>
            </c:extLst>
          </c:dPt>
          <c:dPt>
            <c:idx val="2"/>
            <c:bubble3D val="0"/>
            <c:spPr>
              <a:solidFill>
                <a:srgbClr val="008D85"/>
              </a:solidFill>
              <a:ln w="19050">
                <a:solidFill>
                  <a:schemeClr val="lt1"/>
                </a:solidFill>
              </a:ln>
              <a:effectLst/>
            </c:spPr>
            <c:extLst>
              <c:ext xmlns:c16="http://schemas.microsoft.com/office/drawing/2014/chart" uri="{C3380CC4-5D6E-409C-BE32-E72D297353CC}">
                <c16:uniqueId val="{00000001-E35A-4FF3-9514-0B347F22E82D}"/>
              </c:ext>
            </c:extLst>
          </c:dPt>
          <c:dLbls>
            <c:dLbl>
              <c:idx val="0"/>
              <c:layout>
                <c:manualLayout>
                  <c:x val="0.17114253406793811"/>
                  <c:y val="-0.1299260782149009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5A-4FF3-9514-0B347F22E82D}"/>
                </c:ext>
              </c:extLst>
            </c:dLbl>
            <c:dLbl>
              <c:idx val="1"/>
              <c:layout>
                <c:manualLayout>
                  <c:x val="1.148512156774754E-3"/>
                  <c:y val="7.9008604180616296E-2"/>
                </c:manualLayout>
              </c:layout>
              <c:showLegendKey val="0"/>
              <c:showVal val="1"/>
              <c:showCatName val="1"/>
              <c:showSerName val="0"/>
              <c:showPercent val="0"/>
              <c:showBubbleSize val="0"/>
              <c:extLst>
                <c:ext xmlns:c15="http://schemas.microsoft.com/office/drawing/2012/chart" uri="{CE6537A1-D6FC-4f65-9D91-7224C49458BB}">
                  <c15:layout>
                    <c:manualLayout>
                      <c:w val="0.24980173544351303"/>
                      <c:h val="0.23799535338349068"/>
                    </c:manualLayout>
                  </c15:layout>
                </c:ext>
                <c:ext xmlns:c16="http://schemas.microsoft.com/office/drawing/2014/chart" uri="{C3380CC4-5D6E-409C-BE32-E72D297353CC}">
                  <c16:uniqueId val="{00000003-E35A-4FF3-9514-0B347F22E82D}"/>
                </c:ext>
              </c:extLst>
            </c:dLbl>
            <c:dLbl>
              <c:idx val="2"/>
              <c:layout>
                <c:manualLayout>
                  <c:x val="2.8926941018541527E-2"/>
                  <c:y val="3.109588536845137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5A-4FF3-9514-0B347F22E82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Summary!$R$13:$R$15</c:f>
              <c:strCache>
                <c:ptCount val="3"/>
                <c:pt idx="0">
                  <c:v>Priest Rapids</c:v>
                </c:pt>
                <c:pt idx="1">
                  <c:v>Ringold Springs (Col R)</c:v>
                </c:pt>
                <c:pt idx="2">
                  <c:v>Yakima R</c:v>
                </c:pt>
              </c:strCache>
            </c:strRef>
          </c:cat>
          <c:val>
            <c:numRef>
              <c:f>Summary!$AH$13:$AH$15</c:f>
              <c:numCache>
                <c:formatCode>#,##0</c:formatCode>
                <c:ptCount val="3"/>
                <c:pt idx="0">
                  <c:v>7300000</c:v>
                </c:pt>
                <c:pt idx="1">
                  <c:v>4500000</c:v>
                </c:pt>
                <c:pt idx="2">
                  <c:v>2650000</c:v>
                </c:pt>
              </c:numCache>
            </c:numRef>
          </c:val>
          <c:extLst>
            <c:ext xmlns:c16="http://schemas.microsoft.com/office/drawing/2014/chart" uri="{C3380CC4-5D6E-409C-BE32-E72D297353CC}">
              <c16:uniqueId val="{00000000-E35A-4FF3-9514-0B347F22E82D}"/>
            </c:ext>
          </c:extLst>
        </c:ser>
        <c:dLbls>
          <c:showLegendKey val="0"/>
          <c:showVal val="0"/>
          <c:showCatName val="0"/>
          <c:showSerName val="0"/>
          <c:showPercent val="0"/>
          <c:showBubbleSize val="0"/>
          <c:showLeaderLines val="0"/>
        </c:dLbls>
        <c:firstSliceAng val="69"/>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Natural Production</a:t>
            </a:r>
          </a:p>
        </c:rich>
      </c:tx>
      <c:layout>
        <c:manualLayout>
          <c:xMode val="edge"/>
          <c:yMode val="edge"/>
          <c:x val="0.53731990242946237"/>
          <c:y val="0.24434769037206089"/>
        </c:manualLayout>
      </c:layout>
      <c:overlay val="0"/>
      <c:spPr>
        <a:solidFill>
          <a:schemeClr val="bg1"/>
        </a:solid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285634260647279"/>
          <c:y val="5.6772948592715401E-2"/>
          <c:w val="0.6811302394815878"/>
          <c:h val="0.84337011378991378"/>
        </c:manualLayout>
      </c:layout>
      <c:barChart>
        <c:barDir val="bar"/>
        <c:grouping val="clustered"/>
        <c:varyColors val="0"/>
        <c:ser>
          <c:idx val="0"/>
          <c:order val="0"/>
          <c:spPr>
            <a:solidFill>
              <a:srgbClr val="008D85"/>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Summary!$C$24:$C$28</c:f>
              <c:strCache>
                <c:ptCount val="5"/>
                <c:pt idx="0">
                  <c:v>Current</c:v>
                </c:pt>
                <c:pt idx="1">
                  <c:v>Low goal</c:v>
                </c:pt>
                <c:pt idx="2">
                  <c:v>Med goal</c:v>
                </c:pt>
                <c:pt idx="3">
                  <c:v>High goal</c:v>
                </c:pt>
                <c:pt idx="4">
                  <c:v>Historical</c:v>
                </c:pt>
              </c:strCache>
            </c:strRef>
          </c:cat>
          <c:val>
            <c:numRef>
              <c:f>Summary!$D$24:$D$28</c:f>
              <c:numCache>
                <c:formatCode>#,##0</c:formatCode>
                <c:ptCount val="5"/>
                <c:pt idx="0">
                  <c:v>92400</c:v>
                </c:pt>
                <c:pt idx="1">
                  <c:v>9200</c:v>
                </c:pt>
                <c:pt idx="2">
                  <c:v>62215</c:v>
                </c:pt>
                <c:pt idx="3">
                  <c:v>87835</c:v>
                </c:pt>
                <c:pt idx="4">
                  <c:v>680000</c:v>
                </c:pt>
              </c:numCache>
            </c:numRef>
          </c:val>
          <c:extLst>
            <c:ext xmlns:c16="http://schemas.microsoft.com/office/drawing/2014/chart" uri="{C3380CC4-5D6E-409C-BE32-E72D297353CC}">
              <c16:uniqueId val="{00000000-04DB-4637-8F1E-BF40269A738C}"/>
            </c:ext>
          </c:extLst>
        </c:ser>
        <c:dLbls>
          <c:dLblPos val="outEnd"/>
          <c:showLegendKey val="0"/>
          <c:showVal val="1"/>
          <c:showCatName val="0"/>
          <c:showSerName val="0"/>
          <c:showPercent val="0"/>
          <c:showBubbleSize val="0"/>
        </c:dLbls>
        <c:gapWidth val="20"/>
        <c:axId val="338259424"/>
        <c:axId val="480467480"/>
      </c:barChart>
      <c:catAx>
        <c:axId val="338259424"/>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480467480"/>
        <c:crosses val="autoZero"/>
        <c:auto val="1"/>
        <c:lblAlgn val="ctr"/>
        <c:lblOffset val="100"/>
        <c:noMultiLvlLbl val="0"/>
      </c:catAx>
      <c:valAx>
        <c:axId val="4804674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38259424"/>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Harvest Distribution</a:t>
            </a:r>
          </a:p>
          <a:p>
            <a:pPr>
              <a:defRPr b="1"/>
            </a:pPr>
            <a:r>
              <a:rPr lang="en-US" b="1"/>
              <a:t>(Exploitation rate vs. Ocean Adults)</a:t>
            </a:r>
          </a:p>
        </c:rich>
      </c:tx>
      <c:layout>
        <c:manualLayout>
          <c:xMode val="edge"/>
          <c:yMode val="edge"/>
          <c:x val="0.23515266841644794"/>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719444444444445"/>
          <c:y val="0.2462037037037037"/>
          <c:w val="0.41894444444444445"/>
          <c:h val="0.69824074074074072"/>
        </c:manualLayout>
      </c:layout>
      <c:pieChart>
        <c:varyColors val="1"/>
        <c:ser>
          <c:idx val="0"/>
          <c:order val="0"/>
          <c:spPr>
            <a:ln w="6350">
              <a:solidFill>
                <a:schemeClr val="tx1"/>
              </a:solidFill>
            </a:ln>
          </c:spPr>
          <c:dPt>
            <c:idx val="0"/>
            <c:bubble3D val="0"/>
            <c:spPr>
              <a:solidFill>
                <a:schemeClr val="accent1"/>
              </a:solidFill>
              <a:ln w="6350">
                <a:solidFill>
                  <a:schemeClr val="tx1"/>
                </a:solidFill>
              </a:ln>
              <a:effectLst/>
            </c:spPr>
            <c:extLst>
              <c:ext xmlns:c16="http://schemas.microsoft.com/office/drawing/2014/chart" uri="{C3380CC4-5D6E-409C-BE32-E72D297353CC}">
                <c16:uniqueId val="{00000001-C7FD-46A4-84AE-DB0DA18F21F7}"/>
              </c:ext>
            </c:extLst>
          </c:dPt>
          <c:dPt>
            <c:idx val="1"/>
            <c:bubble3D val="0"/>
            <c:spPr>
              <a:solidFill>
                <a:schemeClr val="accent2"/>
              </a:solidFill>
              <a:ln w="6350">
                <a:solidFill>
                  <a:schemeClr val="tx1"/>
                </a:solidFill>
              </a:ln>
              <a:effectLst/>
            </c:spPr>
            <c:extLst>
              <c:ext xmlns:c16="http://schemas.microsoft.com/office/drawing/2014/chart" uri="{C3380CC4-5D6E-409C-BE32-E72D297353CC}">
                <c16:uniqueId val="{00000003-C7FD-46A4-84AE-DB0DA18F21F7}"/>
              </c:ext>
            </c:extLst>
          </c:dPt>
          <c:dPt>
            <c:idx val="2"/>
            <c:bubble3D val="0"/>
            <c:spPr>
              <a:solidFill>
                <a:schemeClr val="accent3"/>
              </a:solidFill>
              <a:ln w="6350">
                <a:solidFill>
                  <a:schemeClr val="tx1"/>
                </a:solidFill>
              </a:ln>
              <a:effectLst/>
            </c:spPr>
            <c:extLst>
              <c:ext xmlns:c16="http://schemas.microsoft.com/office/drawing/2014/chart" uri="{C3380CC4-5D6E-409C-BE32-E72D297353CC}">
                <c16:uniqueId val="{00000005-C7FD-46A4-84AE-DB0DA18F21F7}"/>
              </c:ext>
            </c:extLst>
          </c:dPt>
          <c:dPt>
            <c:idx val="3"/>
            <c:bubble3D val="0"/>
            <c:spPr>
              <a:solidFill>
                <a:schemeClr val="accent2">
                  <a:lumMod val="60000"/>
                  <a:lumOff val="40000"/>
                </a:schemeClr>
              </a:solidFill>
              <a:ln w="6350">
                <a:solidFill>
                  <a:schemeClr val="tx1"/>
                </a:solidFill>
              </a:ln>
              <a:effectLst/>
            </c:spPr>
            <c:extLst>
              <c:ext xmlns:c16="http://schemas.microsoft.com/office/drawing/2014/chart" uri="{C3380CC4-5D6E-409C-BE32-E72D297353CC}">
                <c16:uniqueId val="{00000007-C7FD-46A4-84AE-DB0DA18F21F7}"/>
              </c:ext>
            </c:extLst>
          </c:dPt>
          <c:dPt>
            <c:idx val="4"/>
            <c:bubble3D val="0"/>
            <c:spPr>
              <a:solidFill>
                <a:schemeClr val="accent2">
                  <a:lumMod val="75000"/>
                </a:schemeClr>
              </a:solidFill>
              <a:ln w="6350">
                <a:solidFill>
                  <a:schemeClr val="tx1"/>
                </a:solidFill>
              </a:ln>
              <a:effectLst/>
            </c:spPr>
            <c:extLst>
              <c:ext xmlns:c16="http://schemas.microsoft.com/office/drawing/2014/chart" uri="{C3380CC4-5D6E-409C-BE32-E72D297353CC}">
                <c16:uniqueId val="{00000009-C7FD-46A4-84AE-DB0DA18F21F7}"/>
              </c:ext>
            </c:extLst>
          </c:dPt>
          <c:dPt>
            <c:idx val="5"/>
            <c:bubble3D val="0"/>
            <c:spPr>
              <a:solidFill>
                <a:schemeClr val="accent6"/>
              </a:solidFill>
              <a:ln w="6350">
                <a:solidFill>
                  <a:schemeClr val="tx1"/>
                </a:solidFill>
              </a:ln>
              <a:effectLst/>
            </c:spPr>
            <c:extLst>
              <c:ext xmlns:c16="http://schemas.microsoft.com/office/drawing/2014/chart" uri="{C3380CC4-5D6E-409C-BE32-E72D297353CC}">
                <c16:uniqueId val="{0000000B-C7FD-46A4-84AE-DB0DA18F21F7}"/>
              </c:ext>
            </c:extLst>
          </c:dPt>
          <c:dPt>
            <c:idx val="6"/>
            <c:bubble3D val="0"/>
            <c:spPr>
              <a:solidFill>
                <a:schemeClr val="accent2">
                  <a:lumMod val="50000"/>
                </a:schemeClr>
              </a:solidFill>
              <a:ln w="6350">
                <a:solidFill>
                  <a:schemeClr val="tx1"/>
                </a:solidFill>
              </a:ln>
              <a:effectLst/>
            </c:spPr>
            <c:extLst>
              <c:ext xmlns:c16="http://schemas.microsoft.com/office/drawing/2014/chart" uri="{C3380CC4-5D6E-409C-BE32-E72D297353CC}">
                <c16:uniqueId val="{0000000D-C7FD-46A4-84AE-DB0DA18F21F7}"/>
              </c:ext>
            </c:extLst>
          </c:dPt>
          <c:dLbls>
            <c:dLbl>
              <c:idx val="3"/>
              <c:layout>
                <c:manualLayout>
                  <c:x val="-5.980588363954506E-2"/>
                  <c:y val="-1.24037620297462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FD-46A4-84AE-DB0DA18F21F7}"/>
                </c:ext>
              </c:extLst>
            </c:dLbl>
            <c:dLbl>
              <c:idx val="4"/>
              <c:layout>
                <c:manualLayout>
                  <c:x val="-5.2254593175853022E-2"/>
                  <c:y val="-4.260753864100320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FD-46A4-84AE-DB0DA18F21F7}"/>
                </c:ext>
              </c:extLst>
            </c:dLbl>
            <c:dLbl>
              <c:idx val="5"/>
              <c:layout>
                <c:manualLayout>
                  <c:x val="-0.10692454068241469"/>
                  <c:y val="3.702354913969087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FD-46A4-84AE-DB0DA18F21F7}"/>
                </c:ext>
              </c:extLst>
            </c:dLbl>
            <c:dLbl>
              <c:idx val="6"/>
              <c:layout>
                <c:manualLayout>
                  <c:x val="0.16139041994750655"/>
                  <c:y val="7.444699620880723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7FD-46A4-84AE-DB0DA18F21F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Fisheries!$B$8:$B$14</c:f>
              <c:strCache>
                <c:ptCount val="7"/>
                <c:pt idx="0">
                  <c:v>Ocean (AK)</c:v>
                </c:pt>
                <c:pt idx="1">
                  <c:v>Ocean (Can)</c:v>
                </c:pt>
                <c:pt idx="2">
                  <c:v>Ocean (WA/OR)</c:v>
                </c:pt>
                <c:pt idx="3">
                  <c:v>Col mainstem sport</c:v>
                </c:pt>
                <c:pt idx="4">
                  <c:v>Col commercial</c:v>
                </c:pt>
                <c:pt idx="5">
                  <c:v>Col treaty</c:v>
                </c:pt>
                <c:pt idx="6">
                  <c:v>Terminal sport</c:v>
                </c:pt>
              </c:strCache>
            </c:strRef>
          </c:cat>
          <c:val>
            <c:numRef>
              <c:f>Fisheries!$D$8:$D$14</c:f>
              <c:numCache>
                <c:formatCode>0.0%</c:formatCode>
                <c:ptCount val="7"/>
                <c:pt idx="0">
                  <c:v>0.21560000000000001</c:v>
                </c:pt>
                <c:pt idx="1">
                  <c:v>0.12749999999999997</c:v>
                </c:pt>
                <c:pt idx="2">
                  <c:v>1.83E-2</c:v>
                </c:pt>
                <c:pt idx="3" formatCode="0%">
                  <c:v>0</c:v>
                </c:pt>
                <c:pt idx="4" formatCode="0%">
                  <c:v>0</c:v>
                </c:pt>
                <c:pt idx="5" formatCode="0%">
                  <c:v>0</c:v>
                </c:pt>
                <c:pt idx="6" formatCode="0%">
                  <c:v>0.10769999999999999</c:v>
                </c:pt>
              </c:numCache>
            </c:numRef>
          </c:val>
          <c:extLst>
            <c:ext xmlns:c16="http://schemas.microsoft.com/office/drawing/2014/chart" uri="{C3380CC4-5D6E-409C-BE32-E72D297353CC}">
              <c16:uniqueId val="{0000000E-C7FD-46A4-84AE-DB0DA18F21F7}"/>
            </c:ext>
          </c:extLst>
        </c:ser>
        <c:dLbls>
          <c:showLegendKey val="0"/>
          <c:showVal val="0"/>
          <c:showCatName val="0"/>
          <c:showSerName val="0"/>
          <c:showPercent val="0"/>
          <c:showBubbleSize val="0"/>
          <c:showLeaderLines val="1"/>
        </c:dLbls>
        <c:firstSliceAng val="44"/>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0"/>
    <c:plotArea>
      <c:layout>
        <c:manualLayout>
          <c:layoutTarget val="inner"/>
          <c:xMode val="edge"/>
          <c:yMode val="edge"/>
          <c:x val="0.17120262141145401"/>
          <c:y val="3.7008398950131235E-2"/>
          <c:w val="0.79235943333170322"/>
          <c:h val="0.82797089000238611"/>
        </c:manualLayout>
      </c:layout>
      <c:barChart>
        <c:barDir val="col"/>
        <c:grouping val="stacked"/>
        <c:varyColors val="0"/>
        <c:ser>
          <c:idx val="3"/>
          <c:order val="0"/>
          <c:tx>
            <c:v>Harvest</c:v>
          </c:tx>
          <c:invertIfNegative val="0"/>
          <c:dPt>
            <c:idx val="16"/>
            <c:invertIfNegative val="0"/>
            <c:bubble3D val="0"/>
            <c:extLst>
              <c:ext xmlns:c16="http://schemas.microsoft.com/office/drawing/2014/chart" uri="{C3380CC4-5D6E-409C-BE32-E72D297353CC}">
                <c16:uniqueId val="{00000000-9E15-4EBF-94E8-CCA1345A76C2}"/>
              </c:ext>
            </c:extLst>
          </c:dPt>
          <c:cat>
            <c:numLit>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Lit>
          </c:cat>
          <c:val>
            <c:numLit>
              <c:formatCode>General</c:formatCode>
              <c:ptCount val="17"/>
              <c:pt idx="0">
                <c:v>3300</c:v>
              </c:pt>
              <c:pt idx="1">
                <c:v>5100</c:v>
              </c:pt>
              <c:pt idx="2">
                <c:v>3435</c:v>
              </c:pt>
              <c:pt idx="3">
                <c:v>5571</c:v>
              </c:pt>
              <c:pt idx="4">
                <c:v>7325</c:v>
              </c:pt>
              <c:pt idx="5">
                <c:v>6457</c:v>
              </c:pt>
              <c:pt idx="6">
                <c:v>8082</c:v>
              </c:pt>
              <c:pt idx="7">
                <c:v>7542</c:v>
              </c:pt>
              <c:pt idx="8">
                <c:v>4055</c:v>
              </c:pt>
              <c:pt idx="9">
                <c:v>4614</c:v>
              </c:pt>
              <c:pt idx="10">
                <c:v>5638</c:v>
              </c:pt>
              <c:pt idx="11">
                <c:v>6553</c:v>
              </c:pt>
              <c:pt idx="12">
                <c:v>10985</c:v>
              </c:pt>
              <c:pt idx="13">
                <c:v>11598</c:v>
              </c:pt>
              <c:pt idx="14">
                <c:v>13102</c:v>
              </c:pt>
              <c:pt idx="15">
                <c:v>24921</c:v>
              </c:pt>
              <c:pt idx="16">
                <c:v>28679</c:v>
              </c:pt>
            </c:numLit>
          </c:val>
          <c:extLst>
            <c:ext xmlns:c16="http://schemas.microsoft.com/office/drawing/2014/chart" uri="{C3380CC4-5D6E-409C-BE32-E72D297353CC}">
              <c16:uniqueId val="{00000001-9E15-4EBF-94E8-CCA1345A76C2}"/>
            </c:ext>
          </c:extLst>
        </c:ser>
        <c:ser>
          <c:idx val="1"/>
          <c:order val="1"/>
          <c:tx>
            <c:v>Escapement</c:v>
          </c:tx>
          <c:invertIfNegative val="0"/>
          <c:dPt>
            <c:idx val="16"/>
            <c:invertIfNegative val="0"/>
            <c:bubble3D val="0"/>
            <c:extLst>
              <c:ext xmlns:c16="http://schemas.microsoft.com/office/drawing/2014/chart" uri="{C3380CC4-5D6E-409C-BE32-E72D297353CC}">
                <c16:uniqueId val="{00000002-9E15-4EBF-94E8-CCA1345A76C2}"/>
              </c:ext>
            </c:extLst>
          </c:dPt>
          <c:cat>
            <c:numLit>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Lit>
          </c:cat>
          <c:val>
            <c:numLit>
              <c:formatCode>General</c:formatCode>
              <c:ptCount val="17"/>
              <c:pt idx="0">
                <c:v>29410</c:v>
              </c:pt>
              <c:pt idx="1">
                <c:v>27012</c:v>
              </c:pt>
              <c:pt idx="2">
                <c:v>36027</c:v>
              </c:pt>
              <c:pt idx="3">
                <c:v>51394</c:v>
              </c:pt>
              <c:pt idx="4">
                <c:v>69342</c:v>
              </c:pt>
              <c:pt idx="5">
                <c:v>89312</c:v>
              </c:pt>
              <c:pt idx="6">
                <c:v>79464.3</c:v>
              </c:pt>
              <c:pt idx="7">
                <c:v>64355</c:v>
              </c:pt>
              <c:pt idx="8">
                <c:v>47095</c:v>
              </c:pt>
              <c:pt idx="9">
                <c:v>13887</c:v>
              </c:pt>
              <c:pt idx="10">
                <c:v>23361</c:v>
              </c:pt>
              <c:pt idx="11">
                <c:v>26346</c:v>
              </c:pt>
              <c:pt idx="12">
                <c:v>80408.350000000006</c:v>
              </c:pt>
              <c:pt idx="13">
                <c:v>65724</c:v>
              </c:pt>
              <c:pt idx="14">
                <c:v>51813</c:v>
              </c:pt>
              <c:pt idx="15">
                <c:v>157484.29756930863</c:v>
              </c:pt>
              <c:pt idx="16">
                <c:v>152517</c:v>
              </c:pt>
            </c:numLit>
          </c:val>
          <c:extLst>
            <c:ext xmlns:c16="http://schemas.microsoft.com/office/drawing/2014/chart" uri="{C3380CC4-5D6E-409C-BE32-E72D297353CC}">
              <c16:uniqueId val="{00000003-9E15-4EBF-94E8-CCA1345A76C2}"/>
            </c:ext>
          </c:extLst>
        </c:ser>
        <c:dLbls>
          <c:showLegendKey val="0"/>
          <c:showVal val="0"/>
          <c:showCatName val="0"/>
          <c:showSerName val="0"/>
          <c:showPercent val="0"/>
          <c:showBubbleSize val="0"/>
        </c:dLbls>
        <c:gapWidth val="150"/>
        <c:overlap val="100"/>
        <c:axId val="154183936"/>
        <c:axId val="154198016"/>
      </c:barChart>
      <c:catAx>
        <c:axId val="154183936"/>
        <c:scaling>
          <c:orientation val="minMax"/>
        </c:scaling>
        <c:delete val="0"/>
        <c:axPos val="b"/>
        <c:numFmt formatCode="General" sourceLinked="1"/>
        <c:majorTickMark val="out"/>
        <c:minorTickMark val="none"/>
        <c:tickLblPos val="nextTo"/>
        <c:crossAx val="154198016"/>
        <c:crosses val="autoZero"/>
        <c:auto val="1"/>
        <c:lblAlgn val="ctr"/>
        <c:lblOffset val="100"/>
        <c:noMultiLvlLbl val="0"/>
      </c:catAx>
      <c:valAx>
        <c:axId val="154198016"/>
        <c:scaling>
          <c:orientation val="minMax"/>
          <c:max val="250000"/>
        </c:scaling>
        <c:delete val="0"/>
        <c:axPos val="l"/>
        <c:majorGridlines/>
        <c:title>
          <c:tx>
            <c:rich>
              <a:bodyPr rot="-5400000" vert="horz"/>
              <a:lstStyle/>
              <a:p>
                <a:pPr>
                  <a:defRPr/>
                </a:pPr>
                <a:r>
                  <a:rPr lang="en-US"/>
                  <a:t>Fall Chinook (#)</a:t>
                </a:r>
              </a:p>
            </c:rich>
          </c:tx>
          <c:layout>
            <c:manualLayout>
              <c:xMode val="edge"/>
              <c:yMode val="edge"/>
              <c:x val="2.2920834220046812E-2"/>
              <c:y val="0.26916797900262474"/>
            </c:manualLayout>
          </c:layout>
          <c:overlay val="0"/>
        </c:title>
        <c:numFmt formatCode="General" sourceLinked="1"/>
        <c:majorTickMark val="out"/>
        <c:minorTickMark val="none"/>
        <c:tickLblPos val="nextTo"/>
        <c:crossAx val="154183936"/>
        <c:crosses val="autoZero"/>
        <c:crossBetween val="between"/>
      </c:valAx>
    </c:plotArea>
    <c:legend>
      <c:legendPos val="r"/>
      <c:layout>
        <c:manualLayout>
          <c:xMode val="edge"/>
          <c:yMode val="edge"/>
          <c:x val="0.25453622351260147"/>
          <c:y val="0.10378192021577413"/>
          <c:w val="0.18586781382056974"/>
          <c:h val="0.16272679551419711"/>
        </c:manualLayout>
      </c:layout>
      <c:overlay val="0"/>
      <c:spPr>
        <a:solidFill>
          <a:schemeClr val="bg1"/>
        </a:solidFill>
        <a:ln>
          <a:solidFill>
            <a:schemeClr val="tx1"/>
          </a:solidFill>
        </a:ln>
      </c:spPr>
      <c:txPr>
        <a:bodyPr/>
        <a:lstStyle/>
        <a:p>
          <a:pPr>
            <a:defRPr sz="1200" b="1"/>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manualLayout>
          <c:layoutTarget val="inner"/>
          <c:xMode val="edge"/>
          <c:yMode val="edge"/>
          <c:x val="0.17120262141145401"/>
          <c:y val="3.7008398950131235E-2"/>
          <c:w val="0.7794727656465622"/>
          <c:h val="0.82797089000238611"/>
        </c:manualLayout>
      </c:layout>
      <c:barChart>
        <c:barDir val="col"/>
        <c:grouping val="stacked"/>
        <c:varyColors val="0"/>
        <c:ser>
          <c:idx val="3"/>
          <c:order val="0"/>
          <c:tx>
            <c:v>Harvest</c:v>
          </c:tx>
          <c:invertIfNegative val="0"/>
          <c:dPt>
            <c:idx val="16"/>
            <c:invertIfNegative val="0"/>
            <c:bubble3D val="0"/>
            <c:extLst>
              <c:ext xmlns:c16="http://schemas.microsoft.com/office/drawing/2014/chart" uri="{C3380CC4-5D6E-409C-BE32-E72D297353CC}">
                <c16:uniqueId val="{00000000-28EF-4001-BD20-FEAB0EC386C2}"/>
              </c:ext>
            </c:extLst>
          </c:dPt>
          <c:cat>
            <c:numLit>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Lit>
          </c:cat>
          <c:val>
            <c:numLit>
              <c:formatCode>General</c:formatCode>
              <c:ptCount val="19"/>
              <c:pt idx="0">
                <c:v>4050</c:v>
              </c:pt>
              <c:pt idx="1">
                <c:v>5600</c:v>
              </c:pt>
              <c:pt idx="2">
                <c:v>4111</c:v>
              </c:pt>
              <c:pt idx="3">
                <c:v>7001</c:v>
              </c:pt>
              <c:pt idx="4">
                <c:v>8325</c:v>
              </c:pt>
              <c:pt idx="5">
                <c:v>7190</c:v>
              </c:pt>
              <c:pt idx="6">
                <c:v>8787</c:v>
              </c:pt>
              <c:pt idx="7">
                <c:v>7974</c:v>
              </c:pt>
              <c:pt idx="8">
                <c:v>4506</c:v>
              </c:pt>
              <c:pt idx="9">
                <c:v>6466</c:v>
              </c:pt>
              <c:pt idx="10">
                <c:v>7013</c:v>
              </c:pt>
              <c:pt idx="11">
                <c:v>8806</c:v>
              </c:pt>
              <c:pt idx="12">
                <c:v>12526</c:v>
              </c:pt>
              <c:pt idx="13">
                <c:v>14247</c:v>
              </c:pt>
              <c:pt idx="14">
                <c:v>18775</c:v>
              </c:pt>
              <c:pt idx="15">
                <c:v>27630</c:v>
              </c:pt>
              <c:pt idx="16">
                <c:v>32427</c:v>
              </c:pt>
              <c:pt idx="17">
                <c:v>35438</c:v>
              </c:pt>
              <c:pt idx="18">
                <c:v>17927.431384214618</c:v>
              </c:pt>
            </c:numLit>
          </c:val>
          <c:extLst>
            <c:ext xmlns:c16="http://schemas.microsoft.com/office/drawing/2014/chart" uri="{C3380CC4-5D6E-409C-BE32-E72D297353CC}">
              <c16:uniqueId val="{00000001-28EF-4001-BD20-FEAB0EC386C2}"/>
            </c:ext>
          </c:extLst>
        </c:ser>
        <c:ser>
          <c:idx val="1"/>
          <c:order val="1"/>
          <c:tx>
            <c:v>Escapement</c:v>
          </c:tx>
          <c:invertIfNegative val="0"/>
          <c:dPt>
            <c:idx val="16"/>
            <c:invertIfNegative val="0"/>
            <c:bubble3D val="0"/>
            <c:extLst>
              <c:ext xmlns:c16="http://schemas.microsoft.com/office/drawing/2014/chart" uri="{C3380CC4-5D6E-409C-BE32-E72D297353CC}">
                <c16:uniqueId val="{00000002-28EF-4001-BD20-FEAB0EC386C2}"/>
              </c:ext>
            </c:extLst>
          </c:dPt>
          <c:cat>
            <c:numLit>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Lit>
          </c:cat>
          <c:val>
            <c:numLit>
              <c:formatCode>General</c:formatCode>
              <c:ptCount val="19"/>
              <c:pt idx="0">
                <c:v>35393</c:v>
              </c:pt>
              <c:pt idx="1">
                <c:v>29812</c:v>
              </c:pt>
              <c:pt idx="2">
                <c:v>48020</c:v>
              </c:pt>
              <c:pt idx="3">
                <c:v>67102</c:v>
              </c:pt>
              <c:pt idx="4">
                <c:v>84509</c:v>
              </c:pt>
              <c:pt idx="5">
                <c:v>100840</c:v>
              </c:pt>
              <c:pt idx="6">
                <c:v>87695.6</c:v>
              </c:pt>
              <c:pt idx="7">
                <c:v>71967</c:v>
              </c:pt>
              <c:pt idx="8">
                <c:v>51701</c:v>
              </c:pt>
              <c:pt idx="9">
                <c:v>22272</c:v>
              </c:pt>
              <c:pt idx="10">
                <c:v>29058</c:v>
              </c:pt>
              <c:pt idx="11">
                <c:v>36720</c:v>
              </c:pt>
              <c:pt idx="12">
                <c:v>87016.150000000009</c:v>
              </c:pt>
              <c:pt idx="13">
                <c:v>75256</c:v>
              </c:pt>
              <c:pt idx="14">
                <c:v>57710</c:v>
              </c:pt>
              <c:pt idx="15">
                <c:v>174840.71764389219</c:v>
              </c:pt>
              <c:pt idx="16">
                <c:v>183807</c:v>
              </c:pt>
              <c:pt idx="17">
                <c:v>266327.80546573288</c:v>
              </c:pt>
              <c:pt idx="18">
                <c:v>116287</c:v>
              </c:pt>
            </c:numLit>
          </c:val>
          <c:extLst>
            <c:ext xmlns:c16="http://schemas.microsoft.com/office/drawing/2014/chart" uri="{C3380CC4-5D6E-409C-BE32-E72D297353CC}">
              <c16:uniqueId val="{00000003-28EF-4001-BD20-FEAB0EC386C2}"/>
            </c:ext>
          </c:extLst>
        </c:ser>
        <c:dLbls>
          <c:showLegendKey val="0"/>
          <c:showVal val="0"/>
          <c:showCatName val="0"/>
          <c:showSerName val="0"/>
          <c:showPercent val="0"/>
          <c:showBubbleSize val="0"/>
        </c:dLbls>
        <c:gapWidth val="150"/>
        <c:overlap val="100"/>
        <c:axId val="153662208"/>
        <c:axId val="153663744"/>
      </c:barChart>
      <c:catAx>
        <c:axId val="153662208"/>
        <c:scaling>
          <c:orientation val="minMax"/>
        </c:scaling>
        <c:delete val="0"/>
        <c:axPos val="b"/>
        <c:numFmt formatCode="General" sourceLinked="1"/>
        <c:majorTickMark val="out"/>
        <c:minorTickMark val="none"/>
        <c:tickLblPos val="nextTo"/>
        <c:crossAx val="153663744"/>
        <c:crosses val="autoZero"/>
        <c:auto val="1"/>
        <c:lblAlgn val="ctr"/>
        <c:lblOffset val="100"/>
        <c:noMultiLvlLbl val="0"/>
      </c:catAx>
      <c:valAx>
        <c:axId val="153663744"/>
        <c:scaling>
          <c:orientation val="minMax"/>
        </c:scaling>
        <c:delete val="0"/>
        <c:axPos val="l"/>
        <c:majorGridlines/>
        <c:title>
          <c:tx>
            <c:rich>
              <a:bodyPr rot="-5400000" vert="horz"/>
              <a:lstStyle/>
              <a:p>
                <a:pPr>
                  <a:defRPr sz="1400">
                    <a:latin typeface="+mj-lt"/>
                  </a:defRPr>
                </a:pPr>
                <a:r>
                  <a:rPr lang="en-US" sz="1400">
                    <a:latin typeface="+mj-lt"/>
                  </a:rPr>
                  <a:t>Hanford Reach URBs</a:t>
                </a:r>
              </a:p>
            </c:rich>
          </c:tx>
          <c:layout>
            <c:manualLayout>
              <c:xMode val="edge"/>
              <c:yMode val="edge"/>
              <c:x val="2.1079951990537266E-2"/>
              <c:y val="0.25805686789151355"/>
            </c:manualLayout>
          </c:layout>
          <c:overlay val="0"/>
        </c:title>
        <c:numFmt formatCode="General" sourceLinked="1"/>
        <c:majorTickMark val="out"/>
        <c:minorTickMark val="none"/>
        <c:tickLblPos val="nextTo"/>
        <c:crossAx val="153662208"/>
        <c:crosses val="autoZero"/>
        <c:crossBetween val="between"/>
        <c:majorUnit val="25000"/>
      </c:valAx>
      <c:spPr>
        <a:ln>
          <a:solidFill>
            <a:schemeClr val="tx1"/>
          </a:solidFill>
        </a:ln>
      </c:spPr>
    </c:plotArea>
    <c:legend>
      <c:legendPos val="r"/>
      <c:layout>
        <c:manualLayout>
          <c:xMode val="edge"/>
          <c:yMode val="edge"/>
          <c:x val="0.20298986466897825"/>
          <c:y val="7.8781933508311461E-2"/>
          <c:w val="0.18796612949864319"/>
          <c:h val="0.1682823709536308"/>
        </c:manualLayout>
      </c:layout>
      <c:overlay val="0"/>
      <c:spPr>
        <a:solidFill>
          <a:schemeClr val="bg1"/>
        </a:solidFill>
        <a:ln>
          <a:solidFill>
            <a:schemeClr val="tx1"/>
          </a:solidFill>
        </a:ln>
      </c:spPr>
      <c:txPr>
        <a:bodyPr/>
        <a:lstStyle/>
        <a:p>
          <a:pPr>
            <a:defRPr sz="1400" b="1">
              <a:latin typeface="+mj-lt"/>
            </a:defRPr>
          </a:pPr>
          <a:endParaRPr lang="en-US"/>
        </a:p>
      </c:txPr>
    </c:legend>
    <c:plotVisOnly val="1"/>
    <c:dispBlanksAs val="gap"/>
    <c:showDLblsOverMax val="0"/>
  </c:chart>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manualLayout>
          <c:layoutTarget val="inner"/>
          <c:xMode val="edge"/>
          <c:yMode val="edge"/>
          <c:x val="0.11705098685768972"/>
          <c:y val="3.7008398950131235E-2"/>
          <c:w val="0.83362441608156379"/>
          <c:h val="0.82797089000238611"/>
        </c:manualLayout>
      </c:layout>
      <c:barChart>
        <c:barDir val="col"/>
        <c:grouping val="stacked"/>
        <c:varyColors val="0"/>
        <c:ser>
          <c:idx val="3"/>
          <c:order val="0"/>
          <c:tx>
            <c:v>Jack</c:v>
          </c:tx>
          <c:invertIfNegative val="0"/>
          <c:dPt>
            <c:idx val="16"/>
            <c:invertIfNegative val="0"/>
            <c:bubble3D val="0"/>
            <c:extLst>
              <c:ext xmlns:c16="http://schemas.microsoft.com/office/drawing/2014/chart" uri="{C3380CC4-5D6E-409C-BE32-E72D297353CC}">
                <c16:uniqueId val="{00000000-76C5-49D6-8B05-ACFA16BC0D4E}"/>
              </c:ext>
            </c:extLst>
          </c:dPt>
          <c:cat>
            <c:numLit>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Lit>
          </c:cat>
          <c:val>
            <c:numLit>
              <c:formatCode>General</c:formatCode>
              <c:ptCount val="20"/>
              <c:pt idx="0">
                <c:v>5983</c:v>
              </c:pt>
              <c:pt idx="1">
                <c:v>2800</c:v>
              </c:pt>
              <c:pt idx="2">
                <c:v>11993</c:v>
              </c:pt>
              <c:pt idx="3">
                <c:v>15708</c:v>
              </c:pt>
              <c:pt idx="4">
                <c:v>15167</c:v>
              </c:pt>
              <c:pt idx="5">
                <c:v>11196</c:v>
              </c:pt>
              <c:pt idx="6">
                <c:v>8231.2999999999993</c:v>
              </c:pt>
              <c:pt idx="7">
                <c:v>7612</c:v>
              </c:pt>
              <c:pt idx="8">
                <c:v>4606</c:v>
              </c:pt>
              <c:pt idx="9">
                <c:v>8385</c:v>
              </c:pt>
              <c:pt idx="10">
                <c:v>5697</c:v>
              </c:pt>
              <c:pt idx="11">
                <c:v>10374</c:v>
              </c:pt>
              <c:pt idx="12">
                <c:v>6607.7999999999993</c:v>
              </c:pt>
              <c:pt idx="13">
                <c:v>9532</c:v>
              </c:pt>
              <c:pt idx="14">
                <c:v>5897</c:v>
              </c:pt>
              <c:pt idx="15">
                <c:v>17356.420074583551</c:v>
              </c:pt>
              <c:pt idx="16">
                <c:v>31290</c:v>
              </c:pt>
              <c:pt idx="17">
                <c:v>32400.688892280981</c:v>
              </c:pt>
              <c:pt idx="18">
                <c:v>6427</c:v>
              </c:pt>
              <c:pt idx="19">
                <c:v>2456</c:v>
              </c:pt>
            </c:numLit>
          </c:val>
          <c:extLst>
            <c:ext xmlns:c16="http://schemas.microsoft.com/office/drawing/2014/chart" uri="{C3380CC4-5D6E-409C-BE32-E72D297353CC}">
              <c16:uniqueId val="{00000001-76C5-49D6-8B05-ACFA16BC0D4E}"/>
            </c:ext>
          </c:extLst>
        </c:ser>
        <c:ser>
          <c:idx val="1"/>
          <c:order val="1"/>
          <c:tx>
            <c:v>Adult</c:v>
          </c:tx>
          <c:invertIfNegative val="0"/>
          <c:dPt>
            <c:idx val="16"/>
            <c:invertIfNegative val="0"/>
            <c:bubble3D val="0"/>
            <c:extLst>
              <c:ext xmlns:c16="http://schemas.microsoft.com/office/drawing/2014/chart" uri="{C3380CC4-5D6E-409C-BE32-E72D297353CC}">
                <c16:uniqueId val="{00000002-76C5-49D6-8B05-ACFA16BC0D4E}"/>
              </c:ext>
            </c:extLst>
          </c:dPt>
          <c:cat>
            <c:numLit>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Lit>
          </c:cat>
          <c:val>
            <c:numLit>
              <c:formatCode>General</c:formatCode>
              <c:ptCount val="20"/>
              <c:pt idx="0">
                <c:v>29410</c:v>
              </c:pt>
              <c:pt idx="1">
                <c:v>27012</c:v>
              </c:pt>
              <c:pt idx="2">
                <c:v>36027</c:v>
              </c:pt>
              <c:pt idx="3">
                <c:v>51394</c:v>
              </c:pt>
              <c:pt idx="4">
                <c:v>69342</c:v>
              </c:pt>
              <c:pt idx="5">
                <c:v>89312</c:v>
              </c:pt>
              <c:pt idx="6">
                <c:v>79464.3</c:v>
              </c:pt>
              <c:pt idx="7">
                <c:v>64355</c:v>
              </c:pt>
              <c:pt idx="8">
                <c:v>47095</c:v>
              </c:pt>
              <c:pt idx="9">
                <c:v>13887</c:v>
              </c:pt>
              <c:pt idx="10">
                <c:v>23361</c:v>
              </c:pt>
              <c:pt idx="11">
                <c:v>26346</c:v>
              </c:pt>
              <c:pt idx="12">
                <c:v>80408.350000000006</c:v>
              </c:pt>
              <c:pt idx="13">
                <c:v>65724</c:v>
              </c:pt>
              <c:pt idx="14">
                <c:v>51813</c:v>
              </c:pt>
              <c:pt idx="15">
                <c:v>157484.29756930863</c:v>
              </c:pt>
              <c:pt idx="16">
                <c:v>152517</c:v>
              </c:pt>
              <c:pt idx="17">
                <c:v>233927.11657345187</c:v>
              </c:pt>
              <c:pt idx="18">
                <c:v>109860</c:v>
              </c:pt>
              <c:pt idx="19">
                <c:v>71303</c:v>
              </c:pt>
            </c:numLit>
          </c:val>
          <c:extLst>
            <c:ext xmlns:c16="http://schemas.microsoft.com/office/drawing/2014/chart" uri="{C3380CC4-5D6E-409C-BE32-E72D297353CC}">
              <c16:uniqueId val="{00000003-76C5-49D6-8B05-ACFA16BC0D4E}"/>
            </c:ext>
          </c:extLst>
        </c:ser>
        <c:dLbls>
          <c:showLegendKey val="0"/>
          <c:showVal val="0"/>
          <c:showCatName val="0"/>
          <c:showSerName val="0"/>
          <c:showPercent val="0"/>
          <c:showBubbleSize val="0"/>
        </c:dLbls>
        <c:gapWidth val="150"/>
        <c:overlap val="100"/>
        <c:axId val="153662208"/>
        <c:axId val="153663744"/>
      </c:barChart>
      <c:catAx>
        <c:axId val="153662208"/>
        <c:scaling>
          <c:orientation val="minMax"/>
        </c:scaling>
        <c:delete val="0"/>
        <c:axPos val="b"/>
        <c:numFmt formatCode="General" sourceLinked="1"/>
        <c:majorTickMark val="out"/>
        <c:minorTickMark val="none"/>
        <c:tickLblPos val="nextTo"/>
        <c:txPr>
          <a:bodyPr/>
          <a:lstStyle/>
          <a:p>
            <a:pPr>
              <a:defRPr b="1"/>
            </a:pPr>
            <a:endParaRPr lang="en-US"/>
          </a:p>
        </c:txPr>
        <c:crossAx val="153663744"/>
        <c:crosses val="autoZero"/>
        <c:auto val="1"/>
        <c:lblAlgn val="ctr"/>
        <c:lblOffset val="100"/>
        <c:noMultiLvlLbl val="0"/>
      </c:catAx>
      <c:valAx>
        <c:axId val="153663744"/>
        <c:scaling>
          <c:orientation val="minMax"/>
        </c:scaling>
        <c:delete val="0"/>
        <c:axPos val="l"/>
        <c:majorGridlines/>
        <c:title>
          <c:tx>
            <c:rich>
              <a:bodyPr rot="-5400000" vert="horz"/>
              <a:lstStyle/>
              <a:p>
                <a:pPr>
                  <a:defRPr sz="1400">
                    <a:latin typeface="+mj-lt"/>
                  </a:defRPr>
                </a:pPr>
                <a:r>
                  <a:rPr lang="en-US" sz="1400">
                    <a:latin typeface="+mj-lt"/>
                  </a:rPr>
                  <a:t>Hanford Reach URB Escapement</a:t>
                </a:r>
              </a:p>
            </c:rich>
          </c:tx>
          <c:layout>
            <c:manualLayout>
              <c:xMode val="edge"/>
              <c:yMode val="edge"/>
              <c:x val="2.2283275059931586E-2"/>
              <c:y val="0.15279363971470325"/>
            </c:manualLayout>
          </c:layout>
          <c:overlay val="0"/>
        </c:title>
        <c:numFmt formatCode="General" sourceLinked="1"/>
        <c:majorTickMark val="out"/>
        <c:minorTickMark val="none"/>
        <c:tickLblPos val="nextTo"/>
        <c:crossAx val="153662208"/>
        <c:crosses val="autoZero"/>
        <c:crossBetween val="between"/>
        <c:majorUnit val="25000"/>
      </c:valAx>
      <c:spPr>
        <a:solidFill>
          <a:schemeClr val="bg1">
            <a:lumMod val="95000"/>
          </a:schemeClr>
        </a:solidFill>
        <a:ln>
          <a:solidFill>
            <a:schemeClr val="tx1"/>
          </a:solidFill>
        </a:ln>
      </c:spPr>
    </c:plotArea>
    <c:legend>
      <c:legendPos val="r"/>
      <c:layout>
        <c:manualLayout>
          <c:xMode val="edge"/>
          <c:yMode val="edge"/>
          <c:x val="0.17651572434312141"/>
          <c:y val="0.12033328243941807"/>
          <c:w val="8.6883083657864069E-2"/>
          <c:h val="0.1682823709536308"/>
        </c:manualLayout>
      </c:layout>
      <c:overlay val="0"/>
      <c:spPr>
        <a:solidFill>
          <a:schemeClr val="bg1"/>
        </a:solidFill>
        <a:ln>
          <a:solidFill>
            <a:schemeClr val="tx1"/>
          </a:solidFill>
        </a:ln>
      </c:spPr>
      <c:txPr>
        <a:bodyPr/>
        <a:lstStyle/>
        <a:p>
          <a:pPr>
            <a:defRPr sz="1400" b="1">
              <a:latin typeface="+mj-lt"/>
            </a:defRPr>
          </a:pPr>
          <a:endParaRPr lang="en-US"/>
        </a:p>
      </c:txPr>
    </c:legend>
    <c:plotVisOnly val="1"/>
    <c:dispBlanksAs val="gap"/>
    <c:showDLblsOverMax val="0"/>
  </c:chart>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7</xdr:col>
      <xdr:colOff>74084</xdr:colOff>
      <xdr:row>2</xdr:row>
      <xdr:rowOff>1090</xdr:rowOff>
    </xdr:from>
    <xdr:to>
      <xdr:col>15</xdr:col>
      <xdr:colOff>550334</xdr:colOff>
      <xdr:row>37</xdr:row>
      <xdr:rowOff>16298</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644"/>
        <a:stretch/>
      </xdr:blipFill>
      <xdr:spPr bwMode="auto">
        <a:xfrm>
          <a:off x="3894667" y="329173"/>
          <a:ext cx="5302250" cy="6312292"/>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92287</xdr:colOff>
      <xdr:row>1</xdr:row>
      <xdr:rowOff>78801</xdr:rowOff>
    </xdr:from>
    <xdr:to>
      <xdr:col>7</xdr:col>
      <xdr:colOff>21167</xdr:colOff>
      <xdr:row>22</xdr:row>
      <xdr:rowOff>105833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287" y="311634"/>
          <a:ext cx="3749463" cy="3720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71450" indent="-171450">
            <a:spcAft>
              <a:spcPts val="300"/>
            </a:spcAft>
            <a:buFont typeface="Arial" panose="020B0604020202020204" pitchFamily="34" charset="0"/>
            <a:buChar char="•"/>
          </a:pPr>
          <a:r>
            <a:rPr lang="en-US" sz="1600" i="0" baseline="0"/>
            <a:t>Includes Hanford Bright fall Chinook, which are among the most abundant and most productive salmon stocks remaining in the Columbia Basin.</a:t>
          </a:r>
        </a:p>
        <a:p>
          <a:pPr marL="171450" marR="0" lvl="0" indent="-171450" defTabSz="914400" eaLnBrk="1" fontAlgn="auto" latinLnBrk="0" hangingPunct="1">
            <a:lnSpc>
              <a:spcPct val="100000"/>
            </a:lnSpc>
            <a:spcBef>
              <a:spcPts val="0"/>
            </a:spcBef>
            <a:spcAft>
              <a:spcPts val="300"/>
            </a:spcAft>
            <a:buClrTx/>
            <a:buSzTx/>
            <a:buFont typeface="Arial" panose="020B0604020202020204" pitchFamily="34" charset="0"/>
            <a:buChar char="•"/>
            <a:tabLst/>
            <a:defRPr/>
          </a:pPr>
          <a:r>
            <a:rPr lang="en-US" sz="1600" i="0" baseline="0">
              <a:solidFill>
                <a:schemeClr val="dk1"/>
              </a:solidFill>
              <a:effectLst/>
              <a:latin typeface="+mn-lt"/>
              <a:ea typeface="+mn-ea"/>
              <a:cs typeface="+mn-cs"/>
            </a:rPr>
            <a:t>This stock spawns in the unimpounded Columbia River mainstem between Richland, WA and Chief Joseph Dam.</a:t>
          </a:r>
        </a:p>
        <a:p>
          <a:pPr marL="171450" marR="0" lvl="0" indent="-171450" defTabSz="914400" eaLnBrk="1" fontAlgn="auto" latinLnBrk="0" hangingPunct="1">
            <a:lnSpc>
              <a:spcPct val="100000"/>
            </a:lnSpc>
            <a:spcBef>
              <a:spcPts val="0"/>
            </a:spcBef>
            <a:spcAft>
              <a:spcPts val="300"/>
            </a:spcAft>
            <a:buClrTx/>
            <a:buSzTx/>
            <a:buFont typeface="Arial" panose="020B0604020202020204" pitchFamily="34" charset="0"/>
            <a:buChar char="•"/>
            <a:tabLst/>
            <a:defRPr/>
          </a:pPr>
          <a:r>
            <a:rPr lang="en-US" sz="1600" i="0" baseline="0">
              <a:solidFill>
                <a:schemeClr val="dk1"/>
              </a:solidFill>
              <a:effectLst/>
              <a:latin typeface="+mn-lt"/>
              <a:ea typeface="+mn-ea"/>
              <a:cs typeface="+mn-cs"/>
            </a:rPr>
            <a:t>Fish also spawned in currently-inaccessible portions of the river upstream from Chief Joseph Dam.</a:t>
          </a:r>
          <a:endParaRPr lang="en-US" sz="1600" i="0">
            <a:effectLst/>
          </a:endParaRPr>
        </a:p>
        <a:p>
          <a:pPr marL="171450" indent="-171450">
            <a:spcAft>
              <a:spcPts val="300"/>
            </a:spcAft>
            <a:buFont typeface="Arial" panose="020B0604020202020204" pitchFamily="34" charset="0"/>
            <a:buChar char="•"/>
          </a:pPr>
          <a:r>
            <a:rPr lang="en-US" sz="1600" i="0" baseline="0"/>
            <a:t>This stock ranges widely in the ocean along the Pacific Coast where they are subject to fisheries from the Pacific Northwest to Canada and Alaska.</a:t>
          </a:r>
          <a:endParaRPr lang="en-US" sz="1600" i="0">
            <a:effectLst/>
          </a:endParaRPr>
        </a:p>
      </xdr:txBody>
    </xdr:sp>
    <xdr:clientData/>
  </xdr:twoCellAnchor>
  <xdr:twoCellAnchor>
    <xdr:from>
      <xdr:col>0</xdr:col>
      <xdr:colOff>19051</xdr:colOff>
      <xdr:row>37</xdr:row>
      <xdr:rowOff>105833</xdr:rowOff>
    </xdr:from>
    <xdr:to>
      <xdr:col>15</xdr:col>
      <xdr:colOff>455084</xdr:colOff>
      <xdr:row>54</xdr:row>
      <xdr:rowOff>21227</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483476</xdr:colOff>
      <xdr:row>28</xdr:row>
      <xdr:rowOff>64462</xdr:rowOff>
    </xdr:from>
    <xdr:to>
      <xdr:col>12</xdr:col>
      <xdr:colOff>121687</xdr:colOff>
      <xdr:row>29</xdr:row>
      <xdr:rowOff>26975</xdr:rowOff>
    </xdr:to>
    <xdr:sp macro="" textlink="">
      <xdr:nvSpPr>
        <xdr:cNvPr id="7" name="Freeform 6">
          <a:extLst>
            <a:ext uri="{FF2B5EF4-FFF2-40B4-BE49-F238E27FC236}">
              <a16:creationId xmlns:a16="http://schemas.microsoft.com/office/drawing/2014/main" id="{00000000-0008-0000-0000-000007000000}"/>
            </a:ext>
          </a:extLst>
        </xdr:cNvPr>
        <xdr:cNvSpPr/>
      </xdr:nvSpPr>
      <xdr:spPr>
        <a:xfrm>
          <a:off x="5510559" y="5070379"/>
          <a:ext cx="1447961" cy="142429"/>
        </a:xfrm>
        <a:custGeom>
          <a:avLst/>
          <a:gdLst>
            <a:gd name="connsiteX0" fmla="*/ 992830 w 992830"/>
            <a:gd name="connsiteY0" fmla="*/ 102733 h 174192"/>
            <a:gd name="connsiteX1" fmla="*/ 730893 w 992830"/>
            <a:gd name="connsiteY1" fmla="*/ 7483 h 174192"/>
            <a:gd name="connsiteX2" fmla="*/ 730893 w 992830"/>
            <a:gd name="connsiteY2" fmla="*/ 7483 h 174192"/>
            <a:gd name="connsiteX3" fmla="*/ 361799 w 992830"/>
            <a:gd name="connsiteY3" fmla="*/ 174170 h 174192"/>
            <a:gd name="connsiteX4" fmla="*/ 28424 w 992830"/>
            <a:gd name="connsiteY4" fmla="*/ 19389 h 174192"/>
            <a:gd name="connsiteX5" fmla="*/ 40330 w 992830"/>
            <a:gd name="connsiteY5" fmla="*/ 7483 h 1741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92830" h="174192">
              <a:moveTo>
                <a:pt x="992830" y="102733"/>
              </a:moveTo>
              <a:lnTo>
                <a:pt x="730893" y="7483"/>
              </a:lnTo>
              <a:lnTo>
                <a:pt x="730893" y="7483"/>
              </a:lnTo>
              <a:cubicBezTo>
                <a:pt x="669377" y="35264"/>
                <a:pt x="478877" y="172186"/>
                <a:pt x="361799" y="174170"/>
              </a:cubicBezTo>
              <a:cubicBezTo>
                <a:pt x="244721" y="176154"/>
                <a:pt x="82002" y="47170"/>
                <a:pt x="28424" y="19389"/>
              </a:cubicBezTo>
              <a:cubicBezTo>
                <a:pt x="-25154" y="-8392"/>
                <a:pt x="7588" y="-455"/>
                <a:pt x="40330" y="7483"/>
              </a:cubicBezTo>
            </a:path>
          </a:pathLst>
        </a:custGeom>
        <a:noFill/>
        <a:ln w="571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282340</xdr:colOff>
      <xdr:row>5</xdr:row>
      <xdr:rowOff>145429</xdr:rowOff>
    </xdr:from>
    <xdr:to>
      <xdr:col>13</xdr:col>
      <xdr:colOff>55060</xdr:colOff>
      <xdr:row>32</xdr:row>
      <xdr:rowOff>85153</xdr:rowOff>
    </xdr:to>
    <xdr:sp macro="" textlink="">
      <xdr:nvSpPr>
        <xdr:cNvPr id="6" name="Oval 5">
          <a:extLst>
            <a:ext uri="{FF2B5EF4-FFF2-40B4-BE49-F238E27FC236}">
              <a16:creationId xmlns:a16="http://schemas.microsoft.com/office/drawing/2014/main" id="{00000000-0008-0000-0000-000006000000}"/>
            </a:ext>
          </a:extLst>
        </xdr:cNvPr>
        <xdr:cNvSpPr/>
      </xdr:nvSpPr>
      <xdr:spPr>
        <a:xfrm rot="20757444">
          <a:off x="5309423" y="1013262"/>
          <a:ext cx="2185720" cy="4797474"/>
        </a:xfrm>
        <a:prstGeom prst="ellipse">
          <a:avLst/>
        </a:prstGeom>
        <a:noFill/>
        <a:ln w="57150">
          <a:solidFill>
            <a:srgbClr val="008D8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54</xdr:row>
      <xdr:rowOff>43240</xdr:rowOff>
    </xdr:from>
    <xdr:to>
      <xdr:col>8</xdr:col>
      <xdr:colOff>240621</xdr:colOff>
      <xdr:row>72</xdr:row>
      <xdr:rowOff>59750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10</xdr:col>
      <xdr:colOff>369638</xdr:colOff>
      <xdr:row>17</xdr:row>
      <xdr:rowOff>155702</xdr:rowOff>
    </xdr:from>
    <xdr:ext cx="1202830" cy="59323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999971" y="3182535"/>
          <a:ext cx="1202830" cy="593239"/>
        </a:xfrm>
        <a:prstGeom prst="rect">
          <a:avLst/>
        </a:prstGeom>
        <a:solidFill>
          <a:srgbClr val="008D85"/>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600" b="1">
              <a:solidFill>
                <a:schemeClr val="bg1"/>
              </a:solidFill>
            </a:rPr>
            <a:t>Current</a:t>
          </a:r>
        </a:p>
        <a:p>
          <a:pPr algn="ctr"/>
          <a:r>
            <a:rPr lang="en-US" sz="1600" b="1">
              <a:solidFill>
                <a:schemeClr val="bg1"/>
              </a:solidFill>
            </a:rPr>
            <a:t>Distribution</a:t>
          </a:r>
        </a:p>
      </xdr:txBody>
    </xdr:sp>
    <xdr:clientData/>
  </xdr:oneCellAnchor>
  <xdr:twoCellAnchor>
    <xdr:from>
      <xdr:col>8</xdr:col>
      <xdr:colOff>405583</xdr:colOff>
      <xdr:row>54</xdr:row>
      <xdr:rowOff>97216</xdr:rowOff>
    </xdr:from>
    <xdr:to>
      <xdr:col>15</xdr:col>
      <xdr:colOff>573404</xdr:colOff>
      <xdr:row>72</xdr:row>
      <xdr:rowOff>143934</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52917</xdr:colOff>
      <xdr:row>22</xdr:row>
      <xdr:rowOff>0</xdr:rowOff>
    </xdr:from>
    <xdr:to>
      <xdr:col>7</xdr:col>
      <xdr:colOff>38524</xdr:colOff>
      <xdr:row>36</xdr:row>
      <xdr:rowOff>161501</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238125</xdr:colOff>
      <xdr:row>1</xdr:row>
      <xdr:rowOff>38100</xdr:rowOff>
    </xdr:from>
    <xdr:to>
      <xdr:col>23</xdr:col>
      <xdr:colOff>91440</xdr:colOff>
      <xdr:row>41</xdr:row>
      <xdr:rowOff>20955</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4950" y="228600"/>
          <a:ext cx="5953125" cy="761047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175940</xdr:colOff>
      <xdr:row>7</xdr:row>
      <xdr:rowOff>53476</xdr:rowOff>
    </xdr:from>
    <xdr:to>
      <xdr:col>24</xdr:col>
      <xdr:colOff>480740</xdr:colOff>
      <xdr:row>21</xdr:row>
      <xdr:rowOff>129676</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114</xdr:row>
      <xdr:rowOff>0</xdr:rowOff>
    </xdr:from>
    <xdr:to>
      <xdr:col>18</xdr:col>
      <xdr:colOff>438150</xdr:colOff>
      <xdr:row>134</xdr:row>
      <xdr:rowOff>161925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21717000"/>
          <a:ext cx="6429375"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136</xdr:row>
      <xdr:rowOff>0</xdr:rowOff>
    </xdr:from>
    <xdr:to>
      <xdr:col>17</xdr:col>
      <xdr:colOff>209550</xdr:colOff>
      <xdr:row>145</xdr:row>
      <xdr:rowOff>9525</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15475" y="25908000"/>
          <a:ext cx="559117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104</xdr:row>
      <xdr:rowOff>142874</xdr:rowOff>
    </xdr:from>
    <xdr:to>
      <xdr:col>16</xdr:col>
      <xdr:colOff>313849</xdr:colOff>
      <xdr:row>112</xdr:row>
      <xdr:rowOff>57149</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39300" y="19954874"/>
          <a:ext cx="4962049"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12</xdr:col>
      <xdr:colOff>447675</xdr:colOff>
      <xdr:row>8</xdr:row>
      <xdr:rowOff>161925</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71500"/>
          <a:ext cx="715327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495300</xdr:colOff>
      <xdr:row>8</xdr:row>
      <xdr:rowOff>142875</xdr:rowOff>
    </xdr:from>
    <xdr:to>
      <xdr:col>12</xdr:col>
      <xdr:colOff>219075</xdr:colOff>
      <xdr:row>28</xdr:row>
      <xdr:rowOff>9525</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4900" y="1666875"/>
          <a:ext cx="6429375"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76200</xdr:colOff>
      <xdr:row>6</xdr:row>
      <xdr:rowOff>125730</xdr:rowOff>
    </xdr:from>
    <xdr:to>
      <xdr:col>28</xdr:col>
      <xdr:colOff>64770</xdr:colOff>
      <xdr:row>14</xdr:row>
      <xdr:rowOff>28575</xdr:rowOff>
    </xdr:to>
    <xdr:pic>
      <xdr:nvPicPr>
        <xdr:cNvPr id="4" name="Picture 3">
          <a:extLst>
            <a:ext uri="{FF2B5EF4-FFF2-40B4-BE49-F238E27FC236}">
              <a16:creationId xmlns:a16="http://schemas.microsoft.com/office/drawing/2014/main" id="{667FBBBD-5C9A-4CCB-BC20-BC9CA2BFE687}"/>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7683"/>
        <a:stretch/>
      </xdr:blipFill>
      <xdr:spPr bwMode="auto">
        <a:xfrm>
          <a:off x="11658600" y="1211580"/>
          <a:ext cx="5474970" cy="1350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38100</xdr:colOff>
      <xdr:row>32</xdr:row>
      <xdr:rowOff>25400</xdr:rowOff>
    </xdr:from>
    <xdr:to>
      <xdr:col>26</xdr:col>
      <xdr:colOff>444500</xdr:colOff>
      <xdr:row>57</xdr:row>
      <xdr:rowOff>127000</xdr:rowOff>
    </xdr:to>
    <xdr:graphicFrame macro="">
      <xdr:nvGraphicFramePr>
        <xdr:cNvPr id="2" name="Chart 1">
          <a:extLst>
            <a:ext uri="{FF2B5EF4-FFF2-40B4-BE49-F238E27FC236}">
              <a16:creationId xmlns:a16="http://schemas.microsoft.com/office/drawing/2014/main" id="{81764166-92E5-437B-A48C-1FA6DEC45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32</xdr:row>
      <xdr:rowOff>0</xdr:rowOff>
    </xdr:from>
    <xdr:to>
      <xdr:col>38</xdr:col>
      <xdr:colOff>487680</xdr:colOff>
      <xdr:row>57</xdr:row>
      <xdr:rowOff>101600</xdr:rowOff>
    </xdr:to>
    <xdr:graphicFrame macro="">
      <xdr:nvGraphicFramePr>
        <xdr:cNvPr id="3" name="Chart 2">
          <a:extLst>
            <a:ext uri="{FF2B5EF4-FFF2-40B4-BE49-F238E27FC236}">
              <a16:creationId xmlns:a16="http://schemas.microsoft.com/office/drawing/2014/main" id="{70269A27-9EF2-44F9-8D42-CCE11CF33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352425</xdr:colOff>
      <xdr:row>59</xdr:row>
      <xdr:rowOff>85725</xdr:rowOff>
    </xdr:from>
    <xdr:to>
      <xdr:col>34</xdr:col>
      <xdr:colOff>235585</xdr:colOff>
      <xdr:row>82</xdr:row>
      <xdr:rowOff>28575</xdr:rowOff>
    </xdr:to>
    <xdr:graphicFrame macro="">
      <xdr:nvGraphicFramePr>
        <xdr:cNvPr id="4" name="Chart 3">
          <a:extLst>
            <a:ext uri="{FF2B5EF4-FFF2-40B4-BE49-F238E27FC236}">
              <a16:creationId xmlns:a16="http://schemas.microsoft.com/office/drawing/2014/main" id="{2DA7482A-5EE0-4C46-949C-DF886162A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17</xdr:col>
      <xdr:colOff>295275</xdr:colOff>
      <xdr:row>3</xdr:row>
      <xdr:rowOff>161925</xdr:rowOff>
    </xdr:from>
    <xdr:to>
      <xdr:col>27</xdr:col>
      <xdr:colOff>344805</xdr:colOff>
      <xdr:row>21</xdr:row>
      <xdr:rowOff>154803</xdr:rowOff>
    </xdr:to>
    <xdr:pic>
      <xdr:nvPicPr>
        <xdr:cNvPr id="5" name="Picture 4">
          <a:extLst>
            <a:ext uri="{FF2B5EF4-FFF2-40B4-BE49-F238E27FC236}">
              <a16:creationId xmlns:a16="http://schemas.microsoft.com/office/drawing/2014/main" id="{648198D2-DBD6-4B55-B0AE-30465C982D5A}"/>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6573"/>
        <a:stretch/>
      </xdr:blipFill>
      <xdr:spPr bwMode="auto">
        <a:xfrm>
          <a:off x="10391775" y="685800"/>
          <a:ext cx="6336030" cy="3078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y Beamesderfer" refreshedDate="43157.796568981481" createdVersion="5" refreshedVersion="5" minRefreshableVersion="3" recordCount="101" xr:uid="{00000000-000A-0000-FFFF-FFFF01000000}">
  <cacheSource type="worksheet">
    <worksheetSource ref="B2:O103" sheet="Hatcheries"/>
  </cacheSource>
  <cacheFields count="14">
    <cacheField name="MigrationYear" numFmtId="0">
      <sharedItems containsSemiMixedTypes="0" containsString="0" containsNumber="1" containsInteger="1" minValue="2013" maxValue="2017" count="5">
        <n v="2017"/>
        <n v="2016"/>
        <n v="2015"/>
        <n v="2014"/>
        <n v="2013"/>
      </sharedItems>
    </cacheField>
    <cacheField name="Species" numFmtId="0">
      <sharedItems count="2">
        <s v="Fall Chinook Subyearling"/>
        <s v="Fall Chinook Yearling "/>
      </sharedItems>
    </cacheField>
    <cacheField name="RaceCode" numFmtId="0">
      <sharedItems/>
    </cacheField>
    <cacheField name="Hatchery" numFmtId="0">
      <sharedItems count="12">
        <s v="COOP"/>
        <s v="Bonneville Hatchery"/>
        <s v="Umatilla Hatchery"/>
        <s v="Klickitat Hatchery"/>
        <s v="Little White Salmon NFH"/>
        <s v="Willard Hatchery"/>
        <s v="Spring Creek NFH"/>
        <s v="Priest Rapids Hatchery"/>
        <s v="Ringold Springs Hatchery"/>
        <s v="Prosser Acclim. Pond"/>
        <s v="Marion Drain Hatchery"/>
        <s v="Wells Hatchery"/>
      </sharedItems>
    </cacheField>
    <cacheField name="ReleaseSite" numFmtId="0">
      <sharedItems count="18">
        <s v="Sand Hollow"/>
        <s v="Wenatchee River"/>
        <s v="Crab Creek"/>
        <s v="Pendelton Acclim Pond"/>
        <s v="Reith Bridge"/>
        <s v="Klickitat Hatchery"/>
        <s v="Little White Salmon Hatchery"/>
        <s v="Willard Hatchery"/>
        <s v="Spring Creek Hatchery"/>
        <s v="Above McNary Dam"/>
        <s v="Priest Rapids Hatchery"/>
        <s v="Ringold Springs Hatchery"/>
        <s v="Yakama River"/>
        <s v="Prosser Acclim Pond"/>
        <s v="Roza Acclim Pond"/>
        <s v="Klickitat River"/>
        <s v="Nelson Springs"/>
        <s v="Umatilla River"/>
      </sharedItems>
    </cacheField>
    <cacheField name="AgencyCode" numFmtId="0">
      <sharedItems/>
    </cacheField>
    <cacheField name="ReleaseStartDate" numFmtId="14">
      <sharedItems containsSemiMixedTypes="0" containsNonDate="0" containsDate="1" containsString="0" minDate="2013-03-06T00:00:00" maxDate="2017-07-13T00:00:00"/>
    </cacheField>
    <cacheField name="NumReleased" numFmtId="0">
      <sharedItems containsSemiMixedTypes="0" containsString="0" containsNumber="1" containsInteger="1" minValue="175" maxValue="7266713"/>
    </cacheField>
    <cacheField name="RelRiver" numFmtId="0">
      <sharedItems/>
    </cacheField>
    <cacheField name="ReleaseFinishDate" numFmtId="14">
      <sharedItems containsSemiMixedTypes="0" containsNonDate="0" containsDate="1" containsString="0" minDate="2013-03-06T00:00:00" maxDate="2017-07-13T00:00:00"/>
    </cacheField>
    <cacheField name="LifeStage" numFmtId="0">
      <sharedItems/>
    </cacheField>
    <cacheField name="LotId" numFmtId="0">
      <sharedItems containsSemiMixedTypes="0" containsString="0" containsNumber="1" containsInteger="1" minValue="13001" maxValue="17337"/>
    </cacheField>
    <cacheField name="RiverZone" numFmtId="0">
      <sharedItems/>
    </cacheField>
    <cacheField name="Marking_Inf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x v="0"/>
    <x v="0"/>
    <s v="FA"/>
    <x v="0"/>
    <x v="0"/>
    <s v="WDFW"/>
    <d v="2017-05-01T00:00:00"/>
    <n v="225"/>
    <s v="Wanapum Pool"/>
    <d v="2017-05-01T00:00:00"/>
    <s v="Smolt"/>
    <n v="17309"/>
    <s v="UCOL"/>
    <s v="225 UNMARKED;COOP = Quincy HS"/>
  </r>
  <r>
    <x v="0"/>
    <x v="0"/>
    <s v="FA"/>
    <x v="0"/>
    <x v="1"/>
    <s v="WDFW"/>
    <d v="2017-05-01T00:00:00"/>
    <n v="175"/>
    <s v="Wenatchee River"/>
    <d v="2017-05-01T00:00:00"/>
    <s v="Smolt"/>
    <n v="17337"/>
    <s v="UCOL"/>
    <s v="175 UNMARKED;COOP = Yakima Basin Environmetal Education"/>
  </r>
  <r>
    <x v="1"/>
    <x v="0"/>
    <s v="FA"/>
    <x v="0"/>
    <x v="1"/>
    <s v="WDFW"/>
    <d v="2016-03-10T00:00:00"/>
    <n v="190"/>
    <s v="Wenatchee River"/>
    <d v="2016-03-10T00:00:00"/>
    <s v="Parr"/>
    <n v="16304"/>
    <s v="UCOL"/>
    <s v="190 UNMARKED;COOP = Yakima Basin Cooperative"/>
  </r>
  <r>
    <x v="2"/>
    <x v="0"/>
    <s v="FA"/>
    <x v="0"/>
    <x v="1"/>
    <s v="WDFW"/>
    <d v="2015-05-15T00:00:00"/>
    <n v="175"/>
    <s v="Wenatchee River"/>
    <d v="2015-05-31T00:00:00"/>
    <s v="Smolt"/>
    <n v="15232"/>
    <s v="UCOL"/>
    <s v="100% Unmarked; COOP = Yakima Basin Cooperative"/>
  </r>
  <r>
    <x v="2"/>
    <x v="0"/>
    <s v="FA"/>
    <x v="0"/>
    <x v="2"/>
    <s v="WDFW"/>
    <d v="2015-06-12T00:00:00"/>
    <n v="225"/>
    <s v="Priest Rapids Pool"/>
    <d v="2015-06-12T00:00:00"/>
    <s v="Smolt"/>
    <n v="15233"/>
    <s v="UCOL"/>
    <s v="100% Unmarked; COOP = Quincy High School"/>
  </r>
  <r>
    <x v="3"/>
    <x v="0"/>
    <s v="FA"/>
    <x v="0"/>
    <x v="1"/>
    <s v="WDFW"/>
    <d v="2014-05-15T00:00:00"/>
    <n v="175"/>
    <s v="Wenatchee River"/>
    <d v="2014-05-15T00:00:00"/>
    <s v="Smolt"/>
    <n v="14312"/>
    <s v="UCOL"/>
    <s v="100% Unmarked; COOP = Yakima Basin Cooperative"/>
  </r>
  <r>
    <x v="3"/>
    <x v="0"/>
    <s v="FA"/>
    <x v="0"/>
    <x v="2"/>
    <s v="WDFW"/>
    <d v="2014-06-09T00:00:00"/>
    <n v="215"/>
    <s v="Priest Rapids Pool"/>
    <d v="2014-06-09T00:00:00"/>
    <s v="Fry"/>
    <n v="14313"/>
    <s v="UCOL"/>
    <s v="100% Unmarked; Fry Release; COOP = Quincy HS"/>
  </r>
  <r>
    <x v="4"/>
    <x v="0"/>
    <s v="FA"/>
    <x v="0"/>
    <x v="1"/>
    <s v="WDFW"/>
    <d v="2013-05-15T00:00:00"/>
    <n v="198"/>
    <s v="Wenatchee River"/>
    <d v="2013-05-15T00:00:00"/>
    <s v="Smolt"/>
    <n v="13195"/>
    <s v="UCOL"/>
    <s v="100% Unmarked; COOP = Yakima Basin Cooperative; Transferred from Priest Rapids H"/>
  </r>
  <r>
    <x v="4"/>
    <x v="0"/>
    <s v="FA"/>
    <x v="0"/>
    <x v="2"/>
    <s v="WDFW"/>
    <d v="2013-05-28T00:00:00"/>
    <n v="225"/>
    <s v="Priest Rapids Pool"/>
    <d v="2013-05-28T00:00:00"/>
    <s v="Smolt"/>
    <n v="13196"/>
    <s v="UCOL"/>
    <s v="100% Unmarked; COOP = Quincy HS; Released @ Sand Hollow; Transferred from Priest Rapids H"/>
  </r>
  <r>
    <x v="0"/>
    <x v="1"/>
    <s v="FA"/>
    <x v="1"/>
    <x v="3"/>
    <s v="ODFW"/>
    <d v="2017-02-28T00:00:00"/>
    <n v="439895"/>
    <s v="Umatilla River"/>
    <d v="2017-02-28T00:00:00"/>
    <s v="Smolt"/>
    <n v="17001"/>
    <s v="MCOL"/>
    <s v="433736 AD/CWT (09-10-05); 4399 CWT (09-10-05); 1760 UNMARKED;Acclimated Release"/>
  </r>
  <r>
    <x v="0"/>
    <x v="1"/>
    <s v="FA"/>
    <x v="1"/>
    <x v="3"/>
    <s v="ODFW"/>
    <d v="2017-03-17T00:00:00"/>
    <n v="235242"/>
    <s v="Umatilla River"/>
    <d v="2017-03-17T00:00:00"/>
    <s v="Smolt"/>
    <n v="17002"/>
    <s v="MCOL"/>
    <s v="233360 AD/CWT (09-10-04); 941 CWT (09-10-04); 941 UNMARKED;Acclimated Release"/>
  </r>
  <r>
    <x v="0"/>
    <x v="1"/>
    <s v="FA"/>
    <x v="1"/>
    <x v="3"/>
    <s v="ODFW"/>
    <d v="2017-03-02T00:00:00"/>
    <n v="121875"/>
    <s v="Umatilla River"/>
    <d v="2017-03-02T00:00:00"/>
    <s v="Smolt"/>
    <n v="17003"/>
    <s v="MCOL"/>
    <s v="119438 AD/CWT (09-10-03); 1463 AD; 975 UNMARKED;Direct Release"/>
  </r>
  <r>
    <x v="0"/>
    <x v="0"/>
    <s v="FA"/>
    <x v="2"/>
    <x v="4"/>
    <s v="ODFW"/>
    <d v="2017-05-16T00:00:00"/>
    <n v="657530"/>
    <s v="Umatilla River"/>
    <d v="2017-05-16T00:00:00"/>
    <s v="Smolt"/>
    <n v="17004"/>
    <s v="MCOL"/>
    <s v="310007 AD/BWT; 347523 AD/CWT (09-10-84 09-10-11);Two Groups - ~50% &quot;Transfer&quot; diet &amp; ~50% Standard Diet"/>
  </r>
  <r>
    <x v="0"/>
    <x v="0"/>
    <s v="FA"/>
    <x v="3"/>
    <x v="5"/>
    <s v="WDFW"/>
    <d v="2017-06-01T00:00:00"/>
    <n v="4000000"/>
    <s v="Klickitat River"/>
    <d v="2017-06-01T00:00:00"/>
    <s v="Smolt"/>
    <n v="17188"/>
    <s v="MCOL"/>
    <s v="1000000 AD; 500000 CWT; 2500000 UNKNOWN;"/>
  </r>
  <r>
    <x v="0"/>
    <x v="0"/>
    <s v="FA"/>
    <x v="4"/>
    <x v="6"/>
    <s v="USFW"/>
    <d v="2017-07-05T00:00:00"/>
    <n v="4695028"/>
    <s v="Little White Salmon River"/>
    <d v="2017-07-05T00:00:00"/>
    <s v="Smolt"/>
    <n v="17210"/>
    <s v="MCOL"/>
    <s v="4297331 AD; 197829 AD/CWT; 198487 CWT; 1381 UNMARKED; 15000 PIT;"/>
  </r>
  <r>
    <x v="0"/>
    <x v="0"/>
    <s v="FA"/>
    <x v="5"/>
    <x v="7"/>
    <s v="USFW"/>
    <d v="2017-07-12T00:00:00"/>
    <n v="1883016"/>
    <s v="Little White Salmon River"/>
    <d v="2017-07-12T00:00:00"/>
    <s v="Smolt"/>
    <n v="17211"/>
    <s v="MCOL"/>
    <s v="97906 AD/CWT (05-61-52 05-55-75 05-58-36); 1685042 AD; 381 UNMARKED; 99687 CWT (05-61-53 05-58-35 05-58-37 );"/>
  </r>
  <r>
    <x v="0"/>
    <x v="0"/>
    <s v="FA"/>
    <x v="6"/>
    <x v="8"/>
    <s v="USFW"/>
    <d v="2017-04-10T00:00:00"/>
    <n v="6578366"/>
    <s v="Bonneville Pool"/>
    <d v="2017-04-10T00:00:00"/>
    <s v="Smolt"/>
    <n v="17219"/>
    <s v="MCOL"/>
    <s v="6168828 AD; 204714 AD/CWT (05-58-28); 204431 CWT (05-58-29); 393 UNMARKED;Listed but not essential to recovery"/>
  </r>
  <r>
    <x v="0"/>
    <x v="0"/>
    <s v="FA"/>
    <x v="6"/>
    <x v="8"/>
    <s v="USFW"/>
    <d v="2017-05-08T00:00:00"/>
    <n v="4196748"/>
    <s v="Bonneville Pool"/>
    <d v="2017-05-08T00:00:00"/>
    <s v="Smolt"/>
    <n v="17220"/>
    <s v="MCOL"/>
    <s v="3802122 AD; 195800 AD/CWT (05-58-24); 194472 CWT (05-58-25); 4354 UNMARKED;Listed but not essential to recovery"/>
  </r>
  <r>
    <x v="0"/>
    <x v="0"/>
    <s v="FA"/>
    <x v="0"/>
    <x v="9"/>
    <s v="WDFW"/>
    <d v="2017-05-01T00:00:00"/>
    <n v="2800"/>
    <s v="McNary Pool"/>
    <d v="2017-05-01T00:00:00"/>
    <s v="Smolt"/>
    <n v="17270"/>
    <s v="MCOL"/>
    <s v="2800 UNMARKED;COOP = Franklin Conservation District"/>
  </r>
  <r>
    <x v="0"/>
    <x v="0"/>
    <s v="FA"/>
    <x v="7"/>
    <x v="10"/>
    <s v="WDFW"/>
    <d v="2017-05-23T00:00:00"/>
    <n v="7006260"/>
    <s v="McNary Pool"/>
    <d v="2017-06-19T00:00:00"/>
    <s v="Smolt"/>
    <n v="17308"/>
    <s v="MCOL"/>
    <s v="3078825 OT; 605363 CWT/OT (63-69-86 63-71-48 63-71-84 63-71-85 63-71-86 63-71-87); 2717035 AD/OT; 605037 AD/CWT/OT (63-71-79 63-71-80 63-71-81 63-71-82 63-71-83); 42973 PIT;"/>
  </r>
  <r>
    <x v="0"/>
    <x v="0"/>
    <s v="FA"/>
    <x v="8"/>
    <x v="11"/>
    <s v="WDFW"/>
    <d v="2017-06-13T00:00:00"/>
    <n v="3046454"/>
    <s v="McNary Pool"/>
    <d v="2017-06-25T00:00:00"/>
    <s v="Smolt"/>
    <n v="17312"/>
    <s v="MCOL"/>
    <s v="2619487 AD/OT; 419496 AD/CWT/OT (09-11-12 09-11-12); 7471 UNMARKED; 3037 PIT;"/>
  </r>
  <r>
    <x v="0"/>
    <x v="0"/>
    <s v="FA"/>
    <x v="0"/>
    <x v="12"/>
    <s v="WDFW"/>
    <d v="2017-05-01T00:00:00"/>
    <n v="13600"/>
    <s v="Yakima River"/>
    <d v="2017-05-01T00:00:00"/>
    <s v="Smolt"/>
    <n v="17335"/>
    <s v="MCOL"/>
    <s v="136000 UNMARKED;COOP = Yakima Basin Environmental Education; Released throughout Yakima R Basin (Ahtanum Cr-Cowiche Cr-Naches R-Toppenish Cr-Wide Hollow-Yakima R)"/>
  </r>
  <r>
    <x v="0"/>
    <x v="0"/>
    <s v="FA"/>
    <x v="0"/>
    <x v="9"/>
    <s v="WDFW"/>
    <d v="2017-05-01T00:00:00"/>
    <n v="3975"/>
    <s v="McNary Pool"/>
    <d v="2017-05-01T00:00:00"/>
    <s v="Smolt"/>
    <n v="17336"/>
    <s v="MCOL"/>
    <s v="3975 UNMARKED;COOP = Yakima Basin Environmental Education; Released into Columbia River"/>
  </r>
  <r>
    <x v="1"/>
    <x v="0"/>
    <s v="FA"/>
    <x v="5"/>
    <x v="7"/>
    <s v="USFW"/>
    <d v="2016-07-11T00:00:00"/>
    <n v="1560812"/>
    <s v="Little White Salmon River"/>
    <d v="2016-07-11T00:00:00"/>
    <s v="Smolt"/>
    <n v="16002"/>
    <s v="MCOL"/>
    <s v="1361075 AD; 99698 AD/CWT (05-59-23); 577 UNMARKED; 99462 CWT (05-59-24);"/>
  </r>
  <r>
    <x v="1"/>
    <x v="1"/>
    <s v="FA"/>
    <x v="1"/>
    <x v="3"/>
    <s v="ODFW"/>
    <d v="2016-03-01T00:00:00"/>
    <n v="487458"/>
    <s v="Umatilla River"/>
    <d v="2016-03-01T00:00:00"/>
    <s v="Smolt"/>
    <n v="16017"/>
    <s v="MCOL"/>
    <s v="483071 AD/CWT (09-09-44); 975 CWT (09-09-44); 3412 UNMARKED;1st Acclimated Release"/>
  </r>
  <r>
    <x v="1"/>
    <x v="1"/>
    <s v="FA"/>
    <x v="1"/>
    <x v="3"/>
    <s v="ODFW"/>
    <d v="2016-03-21T00:00:00"/>
    <n v="230714"/>
    <s v="Umatilla River"/>
    <d v="2016-03-21T00:00:00"/>
    <s v="Smolt"/>
    <n v="16018"/>
    <s v="MCOL"/>
    <s v="229560 AD/CWT (09-09-45); 1154 UNMARKED;2nd Acclimated Release"/>
  </r>
  <r>
    <x v="1"/>
    <x v="1"/>
    <s v="FA"/>
    <x v="1"/>
    <x v="3"/>
    <s v="ODFW"/>
    <d v="2016-03-02T00:00:00"/>
    <n v="106305"/>
    <s v="Umatilla River"/>
    <d v="2016-03-02T00:00:00"/>
    <s v="Smolt"/>
    <n v="16019"/>
    <s v="MCOL"/>
    <s v="105561 AD/CWT (09-09-46); 531 CWT (09-09-46); 213 UNMARKED;Direct Release near pond"/>
  </r>
  <r>
    <x v="1"/>
    <x v="0"/>
    <s v="FA"/>
    <x v="2"/>
    <x v="4"/>
    <s v="ODFW"/>
    <d v="2016-05-16T00:00:00"/>
    <n v="545360"/>
    <s v="Umatilla River"/>
    <d v="2016-05-16T00:00:00"/>
    <s v="Smolt"/>
    <n v="16020"/>
    <s v="MCOL"/>
    <s v="343688 AD/CWT (09-10-10 09-09-81); 201672 AD/BWT;266085 were experimental &quot;salt-infused transfer&quot; diet; Remainder were standard diet"/>
  </r>
  <r>
    <x v="1"/>
    <x v="0"/>
    <s v="FA"/>
    <x v="6"/>
    <x v="8"/>
    <s v="USFW"/>
    <d v="2016-04-11T00:00:00"/>
    <n v="6349372"/>
    <s v="Bonneville Pool"/>
    <d v="2016-04-11T00:00:00"/>
    <s v="Smolt"/>
    <n v="16043"/>
    <s v="MCOL"/>
    <s v="5941689 AD; 203461 AD/CWT (05-57-60); 2278 UNMARKED; 201944 CWT (05-57-61); 9000 PIT;"/>
  </r>
  <r>
    <x v="1"/>
    <x v="0"/>
    <s v="FA"/>
    <x v="6"/>
    <x v="8"/>
    <s v="USFW"/>
    <d v="2016-05-09T00:00:00"/>
    <n v="3818576"/>
    <s v="Bonneville Pool"/>
    <d v="2016-05-09T00:00:00"/>
    <s v="Smolt"/>
    <n v="16044"/>
    <s v="MCOL"/>
    <s v="3425802 AD; 194817 AD/CWT (05-56-25); 197966 CWT (05-56-26); 391 UNMARKED; 5995 PIT;"/>
  </r>
  <r>
    <x v="1"/>
    <x v="0"/>
    <s v="FA"/>
    <x v="4"/>
    <x v="6"/>
    <s v="USFW"/>
    <d v="2016-07-11T00:00:00"/>
    <n v="3961115"/>
    <s v="Little White Salmon River"/>
    <d v="2016-07-11T00:00:00"/>
    <s v="Smolt"/>
    <n v="16205"/>
    <s v="MCOL"/>
    <s v="3565052 AD; 196105 AD/CWT (05-58-43 05-59-21); 196772 CWT (05-58-42 05-59-22); 3186 UNMARKED;"/>
  </r>
  <r>
    <x v="1"/>
    <x v="0"/>
    <s v="FA"/>
    <x v="0"/>
    <x v="9"/>
    <s v="WDFW"/>
    <d v="2016-05-01T00:00:00"/>
    <n v="3850"/>
    <s v="McNary Pool"/>
    <d v="2016-05-31T00:00:00"/>
    <s v="Presmolt"/>
    <n v="16297"/>
    <s v="MCOL"/>
    <s v="3850 UNMARKED;COOP = Franklin Conservation District"/>
  </r>
  <r>
    <x v="1"/>
    <x v="0"/>
    <s v="FA"/>
    <x v="8"/>
    <x v="11"/>
    <s v="WDFW"/>
    <d v="2016-06-21T00:00:00"/>
    <n v="3611078"/>
    <s v="McNary Pool"/>
    <d v="2016-07-04T00:00:00"/>
    <s v="Smolt"/>
    <n v="16298"/>
    <s v="MCOL"/>
    <s v="3133480 AD/OT; 469673 AD/CWT/OT (09-09-821 09-09-83); 7925 OT; 3000 PIT;5 Acre pond (~1.1 M) 6/21-6/29; 9 acre pond (~2.5 M) 6/29-7/4"/>
  </r>
  <r>
    <x v="1"/>
    <x v="0"/>
    <s v="FA"/>
    <x v="7"/>
    <x v="10"/>
    <s v="WDFW"/>
    <d v="2016-06-16T00:00:00"/>
    <n v="7241166"/>
    <s v="McNary Pool"/>
    <d v="2016-06-23T00:00:00"/>
    <s v="Smolt"/>
    <n v="16300"/>
    <s v="MCOL"/>
    <s v="605056 CWT/OT (63-69-08); 605429 AD/CWT/OT (63-69-67 ); 2735146 AD/OT; 3295535 OT; 43000 PIT;PIT-tagged fish were OT only"/>
  </r>
  <r>
    <x v="1"/>
    <x v="0"/>
    <s v="FA"/>
    <x v="0"/>
    <x v="9"/>
    <s v="WDFW"/>
    <d v="2016-05-24T00:00:00"/>
    <n v="910"/>
    <s v="McNary Pool"/>
    <d v="2016-06-09T00:00:00"/>
    <s v="Fry"/>
    <n v="16301"/>
    <s v="MCOL"/>
    <s v="910 UNMARKED;COOP = Grant County Conserv. Dist."/>
  </r>
  <r>
    <x v="1"/>
    <x v="0"/>
    <s v="FA"/>
    <x v="0"/>
    <x v="12"/>
    <s v="WDFW"/>
    <d v="2016-03-16T00:00:00"/>
    <n v="10320"/>
    <s v="Yakima River"/>
    <d v="2016-06-17T00:00:00"/>
    <s v="Fry"/>
    <n v="16302"/>
    <s v="MCOL"/>
    <s v="10320 UNMARKED;COOP = Yakima Basin Cooperative; Released into Yakima River and Tributaries (Ahtanum Cr-Cowiche-Naches R-Wide Hollow Cr-Wilson Cr-Toppenish Cr)"/>
  </r>
  <r>
    <x v="1"/>
    <x v="0"/>
    <s v="FA"/>
    <x v="0"/>
    <x v="9"/>
    <s v="WDFW"/>
    <d v="2016-03-10T00:00:00"/>
    <n v="2906"/>
    <s v="McNary Pool"/>
    <d v="2016-06-04T00:00:00"/>
    <s v="Fry"/>
    <n v="16303"/>
    <s v="MCOL"/>
    <s v="2906 UNMARKED;COOP = Yakima Basin Cooperative"/>
  </r>
  <r>
    <x v="1"/>
    <x v="0"/>
    <s v="FA"/>
    <x v="3"/>
    <x v="5"/>
    <s v="WDFW"/>
    <d v="2016-06-20T00:00:00"/>
    <n v="1956201"/>
    <s v="Klickitat River"/>
    <d v="2016-06-22T00:00:00"/>
    <s v="Smolt"/>
    <n v="16348"/>
    <s v="MCOL"/>
    <s v="1511523 AD; 444678 AD/CWT (63-69-65);"/>
  </r>
  <r>
    <x v="1"/>
    <x v="0"/>
    <s v="FA"/>
    <x v="9"/>
    <x v="13"/>
    <s v="YATR"/>
    <d v="2016-05-04T00:00:00"/>
    <n v="1700000"/>
    <s v="Yakima River"/>
    <d v="2016-05-04T00:00:00"/>
    <s v="Smolt"/>
    <n v="16353"/>
    <s v="MCOL"/>
    <s v="170000 AD/CWT; 1530000 AD;Transferred from Little White Salmon NFH"/>
  </r>
  <r>
    <x v="1"/>
    <x v="0"/>
    <s v="FA"/>
    <x v="9"/>
    <x v="13"/>
    <s v="YATR"/>
    <d v="2016-03-15T00:00:00"/>
    <n v="362472"/>
    <s v="Yakima River"/>
    <d v="2016-03-15T00:00:00"/>
    <s v="Smolt"/>
    <n v="16354"/>
    <s v="MCOL"/>
    <s v="362472 UNMARKED;"/>
  </r>
  <r>
    <x v="1"/>
    <x v="0"/>
    <s v="FA"/>
    <x v="9"/>
    <x v="13"/>
    <s v="YATR"/>
    <d v="2016-05-06T00:00:00"/>
    <n v="180000"/>
    <s v="Yakima River"/>
    <d v="2016-05-06T00:00:00"/>
    <s v="Smolt"/>
    <n v="16355"/>
    <s v="MCOL"/>
    <s v="180000 UNMARKED; 4000 PIT;"/>
  </r>
  <r>
    <x v="1"/>
    <x v="0"/>
    <s v="FA"/>
    <x v="9"/>
    <x v="12"/>
    <s v="YATR"/>
    <d v="2016-05-06T00:00:00"/>
    <n v="20000"/>
    <s v="Yakima River"/>
    <d v="2016-05-06T00:00:00"/>
    <s v="Smolt"/>
    <n v="16356"/>
    <s v="MCOL"/>
    <s v="20000 UNMARKED; 4000 PIT;Experimental release from three sites below Prosser Dam"/>
  </r>
  <r>
    <x v="1"/>
    <x v="0"/>
    <s v="FA"/>
    <x v="10"/>
    <x v="14"/>
    <s v="YATR"/>
    <d v="2016-05-06T00:00:00"/>
    <n v="37000"/>
    <s v="Yakima River"/>
    <d v="2016-05-06T00:00:00"/>
    <s v="Smolt"/>
    <n v="16357"/>
    <s v="MCOL"/>
    <s v="37000 UNMARKED; 37000 PIT;"/>
  </r>
  <r>
    <x v="2"/>
    <x v="1"/>
    <s v="FA"/>
    <x v="1"/>
    <x v="3"/>
    <s v="ODFW"/>
    <d v="2015-02-27T00:00:00"/>
    <n v="443605"/>
    <s v="Umatilla River"/>
    <d v="2015-02-27T00:00:00"/>
    <s v="Smolt"/>
    <n v="15013"/>
    <s v="MCOL"/>
    <s v="445 AD; 428594 AD/CWT; 1271 CWT Only; 12494 AD/BWT; 800 Unmarked; Acclimated since Feb 11; 4958 PIT; CWT Codes ( 09-08-66 -67 -68 -69 -70)"/>
  </r>
  <r>
    <x v="2"/>
    <x v="0"/>
    <s v="FA"/>
    <x v="2"/>
    <x v="4"/>
    <s v="ODFW"/>
    <d v="2015-05-07T00:00:00"/>
    <n v="653205"/>
    <s v="Umatilla River"/>
    <d v="2015-05-07T00:00:00"/>
    <s v="Smolt"/>
    <n v="15092"/>
    <s v="MCOL"/>
    <s v="11409 AD/CWT (09-09-17); 491796 AD/BWT"/>
  </r>
  <r>
    <x v="2"/>
    <x v="1"/>
    <s v="FA"/>
    <x v="1"/>
    <x v="3"/>
    <s v="ODFW"/>
    <d v="2015-02-27T00:00:00"/>
    <n v="115460"/>
    <s v="Umatilla River"/>
    <d v="2015-02-27T00:00:00"/>
    <s v="Smolt"/>
    <n v="15102"/>
    <s v="MCOL"/>
    <s v="99.6% AD; 99.4% CWT (09-08-71); Direct release to pond"/>
  </r>
  <r>
    <x v="2"/>
    <x v="0"/>
    <s v="FA"/>
    <x v="6"/>
    <x v="8"/>
    <s v="USFW"/>
    <d v="2015-04-13T00:00:00"/>
    <n v="6690340"/>
    <s v="Bonneville Pool"/>
    <d v="2015-04-13T00:00:00"/>
    <s v="Smolt"/>
    <n v="15107"/>
    <s v="MCOL"/>
    <s v="6279534 AD Only; 205703 AD/CWT (05-57-30); 205103 CWT Only (05-57-29); 8949 PIT"/>
  </r>
  <r>
    <x v="2"/>
    <x v="0"/>
    <s v="FA"/>
    <x v="6"/>
    <x v="8"/>
    <s v="USFW"/>
    <d v="2015-04-27T00:00:00"/>
    <n v="4036472"/>
    <s v="Bonneville Pool"/>
    <d v="2015-04-27T00:00:00"/>
    <s v="Smolt"/>
    <n v="15108"/>
    <s v="MCOL"/>
    <s v="3654057 AD Only; 191205 AD/CWT; 191210 CWT Only; 5983 PIT"/>
  </r>
  <r>
    <x v="2"/>
    <x v="0"/>
    <s v="FA"/>
    <x v="3"/>
    <x v="15"/>
    <s v="WDFW"/>
    <d v="2015-06-22T00:00:00"/>
    <n v="3528050"/>
    <s v="Klickitat River"/>
    <d v="2015-06-26T00:00:00"/>
    <s v="Smolt"/>
    <n v="15113"/>
    <s v="MCOL"/>
    <s v="AD (Total TBD); 500000 CWT"/>
  </r>
  <r>
    <x v="2"/>
    <x v="0"/>
    <s v="FA"/>
    <x v="4"/>
    <x v="6"/>
    <s v="USFW"/>
    <d v="2015-07-02T00:00:00"/>
    <n v="3972526"/>
    <s v="Little White Salmon River"/>
    <d v="2015-07-02T00:00:00"/>
    <s v="Smolt"/>
    <n v="15123"/>
    <s v="MCOL"/>
    <s v="4085000 AD Only; 200000 AD/CWT;  200000 CWT Only; 15000 PIT"/>
  </r>
  <r>
    <x v="2"/>
    <x v="0"/>
    <s v="FA"/>
    <x v="0"/>
    <x v="9"/>
    <s v="WDFW"/>
    <d v="2015-03-26T00:00:00"/>
    <n v="3540"/>
    <s v="McNary Pool"/>
    <d v="2015-06-15T00:00:00"/>
    <s v="Smolt"/>
    <n v="15226"/>
    <s v="MCOL"/>
    <s v="100% Unmarked; COOP = Franklin Conservation"/>
  </r>
  <r>
    <x v="2"/>
    <x v="0"/>
    <s v="FA"/>
    <x v="8"/>
    <x v="11"/>
    <s v="WDFW"/>
    <d v="2015-06-22T00:00:00"/>
    <n v="3585166"/>
    <s v="McNary Pool"/>
    <d v="2015-07-03T00:00:00"/>
    <s v="Smolt"/>
    <n v="15227"/>
    <s v="MCOL"/>
    <s v="3351895 AD; 227619 AD/CWT; 357 CWT Only; 5292 Unmarked; CWT Code (09-09-21)"/>
  </r>
  <r>
    <x v="2"/>
    <x v="0"/>
    <s v="FA"/>
    <x v="7"/>
    <x v="10"/>
    <s v="WDFW"/>
    <d v="2015-06-12T00:00:00"/>
    <n v="7117709"/>
    <s v="McNary Pool"/>
    <d v="2015-06-25T00:00:00"/>
    <s v="Smolt"/>
    <n v="15229"/>
    <s v="MCOL"/>
    <s v="44% Otolith Only; 9% OT/CWT; 8% AD/CWT/OT; 39% AD/OT; PIT"/>
  </r>
  <r>
    <x v="2"/>
    <x v="0"/>
    <s v="FA"/>
    <x v="0"/>
    <x v="12"/>
    <s v="WDFW"/>
    <d v="2015-05-15T00:00:00"/>
    <n v="17000"/>
    <s v="Yakima River"/>
    <d v="2015-05-31T00:00:00"/>
    <s v="Smolt"/>
    <n v="15230"/>
    <s v="MCOL"/>
    <s v="100% Unmarked; COOP = Yakima Basin Cooperative; Released throughout Yakima Basin"/>
  </r>
  <r>
    <x v="2"/>
    <x v="0"/>
    <s v="FA"/>
    <x v="0"/>
    <x v="9"/>
    <s v="WDFW"/>
    <d v="2015-05-15T00:00:00"/>
    <n v="2575"/>
    <s v="McNary Pool"/>
    <d v="2015-05-31T00:00:00"/>
    <s v="Smolt"/>
    <n v="15231"/>
    <s v="MCOL"/>
    <s v="100% Unmarked; COOP = Yakima Basin Cooperative"/>
  </r>
  <r>
    <x v="2"/>
    <x v="0"/>
    <s v="FA"/>
    <x v="9"/>
    <x v="13"/>
    <s v="YATR"/>
    <d v="2015-05-06T00:00:00"/>
    <n v="479078"/>
    <s v="Yakima River"/>
    <d v="2015-05-06T00:00:00"/>
    <s v="Smolt"/>
    <n v="15313"/>
    <s v="MCOL"/>
    <s v="479078 Unmarked; 4044 PIT"/>
  </r>
  <r>
    <x v="2"/>
    <x v="0"/>
    <s v="FA"/>
    <x v="9"/>
    <x v="13"/>
    <s v="YATR"/>
    <d v="2015-05-04T00:00:00"/>
    <n v="1653495"/>
    <s v="Yakima River"/>
    <d v="2015-05-04T00:00:00"/>
    <s v="Smolt"/>
    <n v="15314"/>
    <s v="MCOL"/>
    <s v="1488145 AD; 165350 AD/CWT; Transferred from Little White Salmon NFH"/>
  </r>
  <r>
    <x v="2"/>
    <x v="0"/>
    <s v="FA"/>
    <x v="9"/>
    <x v="13"/>
    <s v="YATR"/>
    <d v="2015-05-06T00:00:00"/>
    <n v="584397"/>
    <s v="Yakima River"/>
    <d v="2015-05-06T00:00:00"/>
    <s v="Smolt"/>
    <n v="15315"/>
    <s v="MCOL"/>
    <s v="584397 Unmarked; 4025 PIT"/>
  </r>
  <r>
    <x v="2"/>
    <x v="0"/>
    <s v="FA"/>
    <x v="10"/>
    <x v="14"/>
    <s v="YATR"/>
    <d v="2015-04-29T00:00:00"/>
    <n v="52848"/>
    <s v="Yakima River"/>
    <d v="2015-04-29T00:00:00"/>
    <s v="Smolt"/>
    <n v="15316"/>
    <s v="MCOL"/>
    <s v="52848 Unmarked; 10043 PIT"/>
  </r>
  <r>
    <x v="2"/>
    <x v="0"/>
    <s v="FA"/>
    <x v="10"/>
    <x v="14"/>
    <s v="YATR"/>
    <d v="2015-05-16T00:00:00"/>
    <n v="70000"/>
    <s v="Yakima River"/>
    <d v="2015-05-16T00:00:00"/>
    <s v="Smolt"/>
    <n v="15317"/>
    <s v="MCOL"/>
    <s v="70000 Unmarked; 10052 PIT"/>
  </r>
  <r>
    <x v="2"/>
    <x v="0"/>
    <s v="FA"/>
    <x v="10"/>
    <x v="16"/>
    <s v="YATR"/>
    <d v="2015-05-13T00:00:00"/>
    <n v="99600"/>
    <s v="Yakima River"/>
    <d v="2015-05-13T00:00:00"/>
    <s v="Smolt"/>
    <n v="15318"/>
    <s v="MCOL"/>
    <s v="99600 Unmarked; 10332 PIT"/>
  </r>
  <r>
    <x v="2"/>
    <x v="0"/>
    <s v="FA"/>
    <x v="5"/>
    <x v="7"/>
    <s v="USFW"/>
    <d v="2015-07-01T00:00:00"/>
    <n v="1803264"/>
    <s v="Little White Salmon River"/>
    <d v="2015-07-01T00:00:00"/>
    <s v="Smolt"/>
    <n v="15321"/>
    <s v="MCOL"/>
    <s v="90% AD Only; 5% AD/CWT; 5% CWT Only"/>
  </r>
  <r>
    <x v="2"/>
    <x v="0"/>
    <s v="FA"/>
    <x v="10"/>
    <x v="13"/>
    <s v="YATR"/>
    <d v="2015-05-06T00:00:00"/>
    <n v="55000"/>
    <s v="Yakima River"/>
    <d v="2015-05-06T00:00:00"/>
    <s v="Smolt"/>
    <n v="15386"/>
    <s v="MCOL"/>
    <s v="55000 Unmarked; 4030 PIT"/>
  </r>
  <r>
    <x v="3"/>
    <x v="1"/>
    <s v="FA"/>
    <x v="1"/>
    <x v="3"/>
    <s v="ODFW"/>
    <d v="2014-03-03T00:00:00"/>
    <n v="490695"/>
    <s v="Umatilla River"/>
    <d v="2014-03-03T00:00:00"/>
    <s v="Smolt"/>
    <n v="14003"/>
    <s v="MCOL"/>
    <s v="50% AD/CWT (09-06-83 09-06-84 09-06-85 09-06-86); 48% CWT Only (09-06-82); 2% AD/BWT; 3930 PIT"/>
  </r>
  <r>
    <x v="3"/>
    <x v="0"/>
    <s v="FA"/>
    <x v="1"/>
    <x v="4"/>
    <s v="ODFW"/>
    <d v="2014-05-13T00:00:00"/>
    <n v="623162"/>
    <s v="Umatilla River"/>
    <d v="2014-05-13T00:00:00"/>
    <s v="Smolt"/>
    <n v="14004"/>
    <s v="MCOL"/>
    <s v="99.7% AD; 45.3% BWT; 53.2% CWT (09-08-16 09-08-17)"/>
  </r>
  <r>
    <x v="3"/>
    <x v="0"/>
    <s v="FA"/>
    <x v="9"/>
    <x v="13"/>
    <s v="YATR"/>
    <d v="2014-04-25T00:00:00"/>
    <n v="1542702"/>
    <s v="Yakima River"/>
    <d v="2014-04-25T00:00:00"/>
    <s v="Smolt"/>
    <n v="14021"/>
    <s v="MCOL"/>
    <s v="100% AD; 10% CWT; Transferred from Little White Salmon NFH"/>
  </r>
  <r>
    <x v="3"/>
    <x v="0"/>
    <s v="FA"/>
    <x v="9"/>
    <x v="13"/>
    <s v="YATR"/>
    <d v="2014-04-30T00:00:00"/>
    <n v="379970"/>
    <s v="Yakima River"/>
    <d v="2014-04-30T00:00:00"/>
    <s v="Smolt"/>
    <n v="14022"/>
    <s v="MCOL"/>
    <s v="100% Unmarked"/>
  </r>
  <r>
    <x v="3"/>
    <x v="0"/>
    <s v="FA"/>
    <x v="9"/>
    <x v="13"/>
    <s v="YATR"/>
    <d v="2014-05-01T00:00:00"/>
    <n v="445347"/>
    <s v="Yakima River"/>
    <d v="2014-05-01T00:00:00"/>
    <s v="Smolt"/>
    <n v="14023"/>
    <s v="MCOL"/>
    <s v="100% Unmarked; 4024 PIT"/>
  </r>
  <r>
    <x v="3"/>
    <x v="0"/>
    <s v="FA"/>
    <x v="10"/>
    <x v="16"/>
    <s v="YATR"/>
    <d v="2014-05-12T00:00:00"/>
    <n v="99970"/>
    <s v="Yakima River"/>
    <d v="2014-05-12T00:00:00"/>
    <s v="Smolt"/>
    <n v="14024"/>
    <s v="MCOL"/>
    <s v="10088 PIT"/>
  </r>
  <r>
    <x v="3"/>
    <x v="0"/>
    <s v="FA"/>
    <x v="10"/>
    <x v="16"/>
    <s v="YATR"/>
    <d v="2014-06-02T00:00:00"/>
    <n v="79931"/>
    <s v="Yakima River"/>
    <d v="2014-06-02T00:00:00"/>
    <s v="Smolt"/>
    <n v="14025"/>
    <s v="MCOL"/>
    <s v="10109 PIT"/>
  </r>
  <r>
    <x v="3"/>
    <x v="0"/>
    <s v="FA"/>
    <x v="10"/>
    <x v="14"/>
    <s v="YATR"/>
    <d v="2014-06-05T00:00:00"/>
    <n v="74980"/>
    <s v="Yakima River"/>
    <d v="2014-06-05T00:00:00"/>
    <s v="Smolt"/>
    <n v="14026"/>
    <s v="MCOL"/>
    <s v="10081 PIT"/>
  </r>
  <r>
    <x v="3"/>
    <x v="0"/>
    <s v="FA"/>
    <x v="4"/>
    <x v="6"/>
    <s v="USFW"/>
    <d v="2014-07-02T00:00:00"/>
    <n v="1859849"/>
    <s v="Little White Salmon River"/>
    <d v="2014-07-02T00:00:00"/>
    <s v="Smolt"/>
    <n v="14084"/>
    <s v="MCOL"/>
    <s v="1660790 AD Only; 99059 AD/CWT (05-38-71 05-38-72); 99702 CWT Only (05-38-73 05-38-78); 290 Unmarked; 14932 PIT (AD/CWT)"/>
  </r>
  <r>
    <x v="3"/>
    <x v="0"/>
    <s v="FA"/>
    <x v="4"/>
    <x v="6"/>
    <s v="USFW"/>
    <d v="2014-07-01T00:00:00"/>
    <n v="2546543"/>
    <s v="Little White Salmon River"/>
    <d v="2014-07-01T00:00:00"/>
    <s v="Smolt"/>
    <n v="14085"/>
    <s v="MCOL"/>
    <s v="2377763 AD Only; 168780 AD/CWT (09-08-65)"/>
  </r>
  <r>
    <x v="3"/>
    <x v="0"/>
    <s v="FA"/>
    <x v="5"/>
    <x v="7"/>
    <s v="USFW"/>
    <d v="2014-07-28T00:00:00"/>
    <n v="1873262"/>
    <s v="Little White Salmon River"/>
    <d v="2014-07-28T00:00:00"/>
    <s v="Smolt"/>
    <n v="14086"/>
    <s v="MCOL"/>
    <s v="99979 CWT Only (05-50-75 -76 05-52-64 -65); 99962 AD/CWT (05-54-16 05-52-62 05-50-73 05-50-74); 1673321 AD Only"/>
  </r>
  <r>
    <x v="3"/>
    <x v="0"/>
    <s v="FA"/>
    <x v="6"/>
    <x v="8"/>
    <s v="USFW"/>
    <d v="2014-04-11T00:00:00"/>
    <n v="6169418"/>
    <s v="Bonneville Pool"/>
    <d v="2014-04-11T00:00:00"/>
    <s v="Smolt"/>
    <n v="14090"/>
    <s v="MCOL"/>
    <s v="5757948 AD Only; 205922 AD/CWT(05-56-86); 205548 CWT Only (05-56-87); 8980 PIT"/>
  </r>
  <r>
    <x v="3"/>
    <x v="0"/>
    <s v="FA"/>
    <x v="6"/>
    <x v="8"/>
    <s v="USFW"/>
    <d v="2014-05-06T00:00:00"/>
    <n v="4585064"/>
    <s v="Bonneville Pool"/>
    <d v="2014-05-06T00:00:00"/>
    <s v="Smolt"/>
    <n v="14091"/>
    <s v="MCOL"/>
    <s v="4186873 AD Only; 199060 AD/CWT (05-54-33); 198350 CWT Only (05-55-29); 781 Unmarked; 5995 PIT"/>
  </r>
  <r>
    <x v="3"/>
    <x v="0"/>
    <s v="FA"/>
    <x v="0"/>
    <x v="9"/>
    <s v="WDFW"/>
    <d v="2014-05-20T00:00:00"/>
    <n v="4082"/>
    <s v="McNary Pool"/>
    <d v="2014-05-20T00:00:00"/>
    <s v="Smolt"/>
    <n v="14307"/>
    <s v="MCOL"/>
    <s v="100% Unmarked; COOP = Franklin Conservation District; Rel near Pasco"/>
  </r>
  <r>
    <x v="3"/>
    <x v="0"/>
    <s v="FA"/>
    <x v="8"/>
    <x v="11"/>
    <s v="WDFW"/>
    <d v="2014-06-13T00:00:00"/>
    <n v="3362379"/>
    <s v="McNary Pool"/>
    <d v="2014-06-22T00:00:00"/>
    <s v="Smolt"/>
    <n v="14308"/>
    <s v="MCOL"/>
    <s v="3095507 AD; 219956 AD/CWT; 2784 CWT; 44132 Unmarked; CWT 63-08-63; Rel early due to Ich Outbreak; Rel total includes 528 retained for loss rel 7/16"/>
  </r>
  <r>
    <x v="3"/>
    <x v="0"/>
    <s v="FA"/>
    <x v="7"/>
    <x v="10"/>
    <s v="WDFW"/>
    <d v="2014-06-12T00:00:00"/>
    <n v="7266713"/>
    <s v="McNary Pool"/>
    <d v="2014-06-27T00:00:00"/>
    <s v="Smolt"/>
    <n v="14310"/>
    <s v="MCOL"/>
    <s v="100% OT; 2713196 AD Only; 600883 AD/CWT (63-66-81); 606733 CWT Only (63-66-82); 3345901 Unmarked"/>
  </r>
  <r>
    <x v="3"/>
    <x v="0"/>
    <s v="FA"/>
    <x v="0"/>
    <x v="12"/>
    <s v="WDFW"/>
    <d v="2014-05-15T00:00:00"/>
    <n v="18975"/>
    <s v="Yakima River"/>
    <d v="2014-05-15T00:00:00"/>
    <s v="Smolt"/>
    <n v="14311"/>
    <s v="MCOL"/>
    <s v="100% Unmarked; COOP = Yakima Basin Cooperative; Released into tribs throughout Yakima basin"/>
  </r>
  <r>
    <x v="3"/>
    <x v="0"/>
    <s v="FA"/>
    <x v="3"/>
    <x v="5"/>
    <s v="WDFW"/>
    <d v="2014-06-23T00:00:00"/>
    <n v="2468135"/>
    <s v="Klickitat River"/>
    <d v="2014-06-27T00:00:00"/>
    <s v="Smolt"/>
    <n v="14340"/>
    <s v="MCOL"/>
    <s v="457474 AD/CWT (63-66-63 63-66-76); 1542326 AD Only; 468335 Unmarked"/>
  </r>
  <r>
    <x v="4"/>
    <x v="1"/>
    <s v="FA"/>
    <x v="1"/>
    <x v="3"/>
    <s v="ODFW"/>
    <d v="2013-03-06T00:00:00"/>
    <n v="452421"/>
    <s v="Umatilla River"/>
    <d v="2013-03-06T00:00:00"/>
    <s v="Smolt"/>
    <n v="13001"/>
    <s v="MCOL"/>
    <s v="49.6% AD/CWT (09-06-54 09-06-55 09-06-56 09-06-57); 49.4%  CWT Only (09-06-58 - Conservation Group); 1.7% PIT"/>
  </r>
  <r>
    <x v="4"/>
    <x v="0"/>
    <s v="FA"/>
    <x v="2"/>
    <x v="17"/>
    <s v="ODFW"/>
    <d v="2013-05-13T00:00:00"/>
    <n v="608108"/>
    <s v="Umatilla River"/>
    <d v="2013-05-13T00:00:00"/>
    <s v="Smolt"/>
    <n v="13002"/>
    <s v="MCOL"/>
    <s v="100% AD; 51% CWT (09-07-04 09-07-05); 49% BWT; Released at Reith Bridge"/>
  </r>
  <r>
    <x v="4"/>
    <x v="0"/>
    <s v="FA"/>
    <x v="4"/>
    <x v="6"/>
    <s v="USFW"/>
    <d v="2013-07-02T00:00:00"/>
    <n v="1924546"/>
    <s v="Little White Salmon River"/>
    <d v="2013-07-02T00:00:00"/>
    <s v="Smolt"/>
    <n v="13019"/>
    <s v="MCOL"/>
    <s v="1525532 AD Only; 199802 AD/CWT (05-54-27 05-54-26); 198443 CWT Only (05-54-28 05-54-29); 769 Unmarked; 25000 PIT"/>
  </r>
  <r>
    <x v="4"/>
    <x v="0"/>
    <s v="FA"/>
    <x v="4"/>
    <x v="6"/>
    <s v="USFW"/>
    <d v="2013-07-02T00:00:00"/>
    <n v="2497032"/>
    <s v="Little White Salmon River"/>
    <d v="2013-07-02T00:00:00"/>
    <s v="Smolt"/>
    <n v="13020"/>
    <s v="MCOL"/>
    <s v="2328219 AD Only; 168813 AD/CWT (09-06-80)"/>
  </r>
  <r>
    <x v="4"/>
    <x v="0"/>
    <s v="FA"/>
    <x v="4"/>
    <x v="6"/>
    <s v="USFW"/>
    <d v="2013-04-11T00:00:00"/>
    <n v="1863113"/>
    <s v="Little White Salmon River"/>
    <d v="2013-04-11T00:00:00"/>
    <s v="Smolt"/>
    <n v="13021"/>
    <s v="MCOL"/>
    <s v="1660690 AD Only; 202423 AD/CWT (05-54-10 05-54-09); Transferred from Spring Creek NFH"/>
  </r>
  <r>
    <x v="4"/>
    <x v="0"/>
    <s v="FA"/>
    <x v="6"/>
    <x v="8"/>
    <s v="USFW"/>
    <d v="2013-04-11T00:00:00"/>
    <n v="6441575"/>
    <s v="Bonneville Pool"/>
    <d v="2013-04-11T00:00:00"/>
    <s v="Smolt"/>
    <n v="13025"/>
    <s v="MCOL"/>
    <s v="6047421 AD Only; 189500 AD/CWT (05-56-23); 203834 CWT Only (05-56-24); 820 Unmarked; 8979 PIT"/>
  </r>
  <r>
    <x v="4"/>
    <x v="0"/>
    <s v="FA"/>
    <x v="6"/>
    <x v="8"/>
    <s v="USFW"/>
    <d v="2013-05-02T00:00:00"/>
    <n v="4801111"/>
    <s v="Bonneville Pool"/>
    <d v="2013-05-02T00:00:00"/>
    <s v="Smolt"/>
    <n v="13026"/>
    <s v="MCOL"/>
    <s v="4405755 AD Only; 193893 AD/CWT (05-54-07); 201463 CWT Only (05-54-08); 5976 PIT"/>
  </r>
  <r>
    <x v="4"/>
    <x v="0"/>
    <s v="FA"/>
    <x v="8"/>
    <x v="11"/>
    <s v="WDFW"/>
    <d v="2013-06-19T00:00:00"/>
    <n v="3247373"/>
    <s v="McNary Pool"/>
    <d v="2013-06-26T00:00:00"/>
    <s v="Smolt"/>
    <n v="13191"/>
    <s v="MCOL"/>
    <s v="2960333 AD Only; 214874 AD/CWT; 5942 CWT Only; 66224 Unmarked; CWT Code 09-06-81"/>
  </r>
  <r>
    <x v="4"/>
    <x v="0"/>
    <s v="FA"/>
    <x v="7"/>
    <x v="10"/>
    <s v="WDFW"/>
    <d v="2013-06-12T00:00:00"/>
    <n v="6822861"/>
    <s v="McNary Pool"/>
    <d v="2013-06-16T00:00:00"/>
    <s v="Smolt"/>
    <n v="13193"/>
    <s v="MCOL"/>
    <s v="2712228 AD Only; 601009 CWT Only (63-65-08); 603930 AD/CWT (63-65-07); 2905694 Unmarked; PIT"/>
  </r>
  <r>
    <x v="4"/>
    <x v="0"/>
    <s v="FA"/>
    <x v="0"/>
    <x v="12"/>
    <s v="WDFW"/>
    <d v="2013-05-15T00:00:00"/>
    <n v="13610"/>
    <s v="Yakima River"/>
    <d v="2013-05-15T00:00:00"/>
    <s v="Smolt"/>
    <n v="13194"/>
    <s v="MCOL"/>
    <s v="100% Unmarked; COOP = Yakima Basin Cooperative; Released into tributaries throughout Yakima Basin; Transferred from Priest Rapids H"/>
  </r>
  <r>
    <x v="4"/>
    <x v="0"/>
    <s v="FA"/>
    <x v="3"/>
    <x v="5"/>
    <s v="WDFW"/>
    <d v="2013-06-06T00:00:00"/>
    <n v="3403371"/>
    <s v="Klickitat River"/>
    <d v="2013-06-20T00:00:00"/>
    <s v="Smolt"/>
    <n v="13218"/>
    <s v="MCOL"/>
    <s v="57.4% AD Only; 13.4% AD/CWT; 29.1% Unmarked; CWT Code 63-65-06"/>
  </r>
  <r>
    <x v="4"/>
    <x v="0"/>
    <s v="FA"/>
    <x v="9"/>
    <x v="13"/>
    <s v="YATR"/>
    <d v="2013-04-26T00:00:00"/>
    <n v="1506725"/>
    <s v="Yakima River"/>
    <d v="2013-04-26T00:00:00"/>
    <s v="Smolt"/>
    <n v="13314"/>
    <s v="MCOL"/>
    <s v="90% AD Only; 10% AD/CWT; Transferred from Little White Salmon NFH"/>
  </r>
  <r>
    <x v="4"/>
    <x v="0"/>
    <s v="FA"/>
    <x v="9"/>
    <x v="13"/>
    <s v="YATR"/>
    <d v="2013-04-29T00:00:00"/>
    <n v="22968"/>
    <s v="Yakima River"/>
    <d v="2013-04-29T00:00:00"/>
    <s v="Smolt"/>
    <n v="13315"/>
    <s v="MCOL"/>
    <s v="100% PIT"/>
  </r>
  <r>
    <x v="4"/>
    <x v="0"/>
    <s v="FA"/>
    <x v="9"/>
    <x v="13"/>
    <s v="YATR"/>
    <d v="2013-05-14T00:00:00"/>
    <n v="161981"/>
    <s v="Yakima River"/>
    <d v="2013-05-14T00:00:00"/>
    <s v="Smolt"/>
    <n v="13316"/>
    <s v="MCOL"/>
    <s v="100% Unmarked"/>
  </r>
  <r>
    <x v="4"/>
    <x v="0"/>
    <s v="FA"/>
    <x v="10"/>
    <x v="16"/>
    <s v="YATR"/>
    <d v="2013-05-15T00:00:00"/>
    <n v="45652"/>
    <s v="Yakima River"/>
    <d v="2013-05-15T00:00:00"/>
    <s v="Smolt"/>
    <n v="13317"/>
    <s v="MCOL"/>
    <s v="100% CWT Only; 15063 PIT; Transferred from Wells H"/>
  </r>
  <r>
    <x v="4"/>
    <x v="0"/>
    <s v="FA"/>
    <x v="10"/>
    <x v="16"/>
    <s v="YATR"/>
    <d v="2013-06-01T00:00:00"/>
    <n v="45556"/>
    <s v="Yakima River"/>
    <d v="2013-06-01T00:00:00"/>
    <s v="Smolt"/>
    <n v="13318"/>
    <s v="MCOL"/>
    <s v="100% CWT Only; 10053 PIT"/>
  </r>
  <r>
    <x v="4"/>
    <x v="0"/>
    <s v="FA"/>
    <x v="11"/>
    <x v="14"/>
    <s v="WDFW"/>
    <d v="2013-05-29T00:00:00"/>
    <n v="48355"/>
    <s v="Yakima River"/>
    <d v="2013-05-29T00:00:00"/>
    <s v="Smolt"/>
    <n v="13319"/>
    <s v="MCOL"/>
    <s v="100% CWT Only; 15087 PIT; Transferred from Wells H"/>
  </r>
  <r>
    <x v="4"/>
    <x v="0"/>
    <s v="FA"/>
    <x v="0"/>
    <x v="9"/>
    <s v="WDFW"/>
    <d v="2013-05-02T00:00:00"/>
    <n v="3273"/>
    <s v="McNary Pool"/>
    <d v="2013-05-31T00:00:00"/>
    <s v="Smolt"/>
    <n v="13392"/>
    <s v="MCOL"/>
    <s v="100% Unmarked; COOP = Franklin Conservation District; Rel into Columbia R at Pasco"/>
  </r>
  <r>
    <x v="4"/>
    <x v="1"/>
    <s v="FA"/>
    <x v="9"/>
    <x v="13"/>
    <s v="YATR"/>
    <d v="2013-03-25T00:00:00"/>
    <n v="22735"/>
    <s v="Yakima River"/>
    <d v="2013-03-25T00:00:00"/>
    <s v="Smolt"/>
    <n v="13399"/>
    <s v="MCOL"/>
    <s v="100% PIT"/>
  </r>
  <r>
    <x v="4"/>
    <x v="0"/>
    <s v="FA"/>
    <x v="10"/>
    <x v="12"/>
    <s v="YATR"/>
    <d v="2013-05-20T00:00:00"/>
    <n v="330"/>
    <s v="Yakima River"/>
    <d v="2013-05-20T00:00:00"/>
    <s v="Smolt"/>
    <n v="13400"/>
    <s v="MCOL"/>
    <s v="100% CWT; 306 PIT; Rel @ Zillah boat ramp"/>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106:H148" firstHeaderRow="1" firstDataRow="2" firstDataCol="1"/>
  <pivotFields count="14">
    <pivotField axis="axisCol" showAll="0">
      <items count="6">
        <item x="4"/>
        <item x="3"/>
        <item x="2"/>
        <item x="1"/>
        <item x="0"/>
        <item t="default"/>
      </items>
    </pivotField>
    <pivotField axis="axisRow" showAll="0">
      <items count="3">
        <item x="0"/>
        <item x="1"/>
        <item t="default"/>
      </items>
    </pivotField>
    <pivotField showAll="0"/>
    <pivotField axis="axisRow" showAll="0">
      <items count="13">
        <item x="1"/>
        <item x="0"/>
        <item x="3"/>
        <item x="4"/>
        <item x="10"/>
        <item x="7"/>
        <item x="9"/>
        <item x="8"/>
        <item x="6"/>
        <item x="2"/>
        <item x="11"/>
        <item x="5"/>
        <item t="default"/>
      </items>
    </pivotField>
    <pivotField axis="axisRow" showAll="0">
      <items count="19">
        <item x="9"/>
        <item x="2"/>
        <item x="5"/>
        <item x="15"/>
        <item x="6"/>
        <item x="16"/>
        <item x="3"/>
        <item x="10"/>
        <item x="13"/>
        <item x="4"/>
        <item x="11"/>
        <item x="14"/>
        <item x="0"/>
        <item x="8"/>
        <item x="17"/>
        <item x="1"/>
        <item x="7"/>
        <item x="12"/>
        <item t="default"/>
      </items>
    </pivotField>
    <pivotField showAll="0"/>
    <pivotField numFmtId="14" showAll="0"/>
    <pivotField dataField="1" showAll="0"/>
    <pivotField showAll="0"/>
    <pivotField numFmtId="14" showAll="0"/>
    <pivotField showAll="0"/>
    <pivotField showAll="0"/>
    <pivotField showAll="0"/>
    <pivotField showAll="0"/>
  </pivotFields>
  <rowFields count="3">
    <field x="1"/>
    <field x="3"/>
    <field x="4"/>
  </rowFields>
  <rowItems count="41">
    <i>
      <x/>
    </i>
    <i r="1">
      <x/>
    </i>
    <i r="2">
      <x v="9"/>
    </i>
    <i r="1">
      <x v="1"/>
    </i>
    <i r="2">
      <x/>
    </i>
    <i r="2">
      <x v="1"/>
    </i>
    <i r="2">
      <x v="12"/>
    </i>
    <i r="2">
      <x v="15"/>
    </i>
    <i r="2">
      <x v="17"/>
    </i>
    <i r="1">
      <x v="2"/>
    </i>
    <i r="2">
      <x v="2"/>
    </i>
    <i r="2">
      <x v="3"/>
    </i>
    <i r="1">
      <x v="3"/>
    </i>
    <i r="2">
      <x v="4"/>
    </i>
    <i r="1">
      <x v="4"/>
    </i>
    <i r="2">
      <x v="5"/>
    </i>
    <i r="2">
      <x v="8"/>
    </i>
    <i r="2">
      <x v="11"/>
    </i>
    <i r="2">
      <x v="17"/>
    </i>
    <i r="1">
      <x v="5"/>
    </i>
    <i r="2">
      <x v="7"/>
    </i>
    <i r="1">
      <x v="6"/>
    </i>
    <i r="2">
      <x v="8"/>
    </i>
    <i r="2">
      <x v="17"/>
    </i>
    <i r="1">
      <x v="7"/>
    </i>
    <i r="2">
      <x v="10"/>
    </i>
    <i r="1">
      <x v="8"/>
    </i>
    <i r="2">
      <x v="13"/>
    </i>
    <i r="1">
      <x v="9"/>
    </i>
    <i r="2">
      <x v="9"/>
    </i>
    <i r="2">
      <x v="14"/>
    </i>
    <i r="1">
      <x v="10"/>
    </i>
    <i r="2">
      <x v="11"/>
    </i>
    <i r="1">
      <x v="11"/>
    </i>
    <i r="2">
      <x v="16"/>
    </i>
    <i>
      <x v="1"/>
    </i>
    <i r="1">
      <x/>
    </i>
    <i r="2">
      <x v="6"/>
    </i>
    <i r="1">
      <x v="6"/>
    </i>
    <i r="2">
      <x v="8"/>
    </i>
    <i t="grand">
      <x/>
    </i>
  </rowItems>
  <colFields count="1">
    <field x="0"/>
  </colFields>
  <colItems count="6">
    <i>
      <x/>
    </i>
    <i>
      <x v="1"/>
    </i>
    <i>
      <x v="2"/>
    </i>
    <i>
      <x v="3"/>
    </i>
    <i>
      <x v="4"/>
    </i>
    <i t="grand">
      <x/>
    </i>
  </colItems>
  <dataFields count="1">
    <dataField name="Sum of NumReleased" fld="7" baseField="0" baseItem="0" numFmtId="3"/>
  </dataFields>
  <formats count="12">
    <format dxfId="11">
      <pivotArea outline="0" collapsedLevelsAreSubtotals="1" fieldPosition="0"/>
    </format>
    <format dxfId="10">
      <pivotArea collapsedLevelsAreSubtotals="1" fieldPosition="0">
        <references count="4">
          <reference field="0" count="0" selected="0"/>
          <reference field="1" count="1" selected="0">
            <x v="0"/>
          </reference>
          <reference field="3" count="1" selected="0">
            <x v="7"/>
          </reference>
          <reference field="4" count="1">
            <x v="10"/>
          </reference>
        </references>
      </pivotArea>
    </format>
    <format dxfId="9">
      <pivotArea dataOnly="0" labelOnly="1" fieldPosition="0">
        <references count="3">
          <reference field="1" count="1" selected="0">
            <x v="0"/>
          </reference>
          <reference field="3" count="1" selected="0">
            <x v="7"/>
          </reference>
          <reference field="4" count="1">
            <x v="10"/>
          </reference>
        </references>
      </pivotArea>
    </format>
    <format dxfId="8">
      <pivotArea collapsedLevelsAreSubtotals="1" fieldPosition="0">
        <references count="4">
          <reference field="0" count="0" selected="0"/>
          <reference field="1" count="1" selected="0">
            <x v="0"/>
          </reference>
          <reference field="3" count="1" selected="0">
            <x v="5"/>
          </reference>
          <reference field="4" count="1">
            <x v="7"/>
          </reference>
        </references>
      </pivotArea>
    </format>
    <format dxfId="7">
      <pivotArea dataOnly="0" labelOnly="1" fieldPosition="0">
        <references count="3">
          <reference field="1" count="1" selected="0">
            <x v="0"/>
          </reference>
          <reference field="3" count="1" selected="0">
            <x v="5"/>
          </reference>
          <reference field="4" count="1">
            <x v="7"/>
          </reference>
        </references>
      </pivotArea>
    </format>
    <format dxfId="6">
      <pivotArea collapsedLevelsAreSubtotals="1" fieldPosition="0">
        <references count="3">
          <reference field="1" count="1" selected="0">
            <x v="0"/>
          </reference>
          <reference field="3" count="1" selected="0">
            <x v="4"/>
          </reference>
          <reference field="4" count="4">
            <x v="5"/>
            <x v="8"/>
            <x v="11"/>
            <x v="17"/>
          </reference>
        </references>
      </pivotArea>
    </format>
    <format dxfId="5">
      <pivotArea dataOnly="0" labelOnly="1" fieldPosition="0">
        <references count="3">
          <reference field="1" count="1" selected="0">
            <x v="0"/>
          </reference>
          <reference field="3" count="1" selected="0">
            <x v="4"/>
          </reference>
          <reference field="4" count="4">
            <x v="5"/>
            <x v="8"/>
            <x v="11"/>
            <x v="17"/>
          </reference>
        </references>
      </pivotArea>
    </format>
    <format dxfId="4">
      <pivotArea field="4" grandCol="1" collapsedLevelsAreSubtotals="1" axis="axisRow" fieldPosition="2">
        <references count="3">
          <reference field="1" count="1" selected="0">
            <x v="0"/>
          </reference>
          <reference field="3" count="1" selected="0">
            <x v="4"/>
          </reference>
          <reference field="4" count="4">
            <x v="5"/>
            <x v="8"/>
            <x v="11"/>
            <x v="17"/>
          </reference>
        </references>
      </pivotArea>
    </format>
    <format dxfId="3">
      <pivotArea collapsedLevelsAreSubtotals="1" fieldPosition="0">
        <references count="4">
          <reference field="0" count="0" selected="0"/>
          <reference field="1" count="1" selected="0">
            <x v="0"/>
          </reference>
          <reference field="3" count="1" selected="0">
            <x v="6"/>
          </reference>
          <reference field="4" count="1">
            <x v="8"/>
          </reference>
        </references>
      </pivotArea>
    </format>
    <format dxfId="2">
      <pivotArea dataOnly="0" labelOnly="1" fieldPosition="0">
        <references count="3">
          <reference field="1" count="1" selected="0">
            <x v="0"/>
          </reference>
          <reference field="3" count="1" selected="0">
            <x v="6"/>
          </reference>
          <reference field="4" count="1">
            <x v="8"/>
          </reference>
        </references>
      </pivotArea>
    </format>
    <format dxfId="1">
      <pivotArea collapsedLevelsAreSubtotals="1" fieldPosition="0">
        <references count="4">
          <reference field="0" count="0" selected="0"/>
          <reference field="1" count="1" selected="0">
            <x v="0"/>
          </reference>
          <reference field="3" count="1" selected="0">
            <x v="10"/>
          </reference>
          <reference field="4" count="1">
            <x v="11"/>
          </reference>
        </references>
      </pivotArea>
    </format>
    <format dxfId="0">
      <pivotArea dataOnly="0" labelOnly="1" fieldPosition="0">
        <references count="3">
          <reference field="1" count="1" selected="0">
            <x v="0"/>
          </reference>
          <reference field="3" count="1" selected="0">
            <x v="10"/>
          </reference>
          <reference field="4" count="1">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researchgate.net/publication/318596688_Hanford_Reach_Upriver_Bright_Productivity_Analysis_Update/download"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ivotTable" Target="../pivotTables/pivotTable1.xml"/><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23"/>
  <sheetViews>
    <sheetView tabSelected="1" topLeftCell="C1" zoomScale="90" zoomScaleNormal="90" workbookViewId="0">
      <selection activeCell="R3" sqref="R3:Z58"/>
    </sheetView>
  </sheetViews>
  <sheetFormatPr defaultRowHeight="14.4" x14ac:dyDescent="0.3"/>
  <cols>
    <col min="1" max="1" width="2.88671875" customWidth="1"/>
    <col min="2" max="16" width="8.77734375" customWidth="1"/>
    <col min="17" max="17" width="1.6640625" style="1" customWidth="1"/>
    <col min="18" max="18" width="6.5546875" customWidth="1"/>
    <col min="19" max="19" width="16.5546875" customWidth="1"/>
    <col min="20" max="20" width="12" customWidth="1"/>
    <col min="21" max="21" width="10.5546875" customWidth="1"/>
    <col min="22" max="22" width="14" customWidth="1"/>
    <col min="23" max="23" width="13.109375" customWidth="1"/>
    <col min="24" max="24" width="15" customWidth="1"/>
    <col min="25" max="25" width="10.5546875" customWidth="1"/>
    <col min="26" max="26" width="2.33203125" style="1" customWidth="1"/>
    <col min="27" max="27" width="12.109375" bestFit="1" customWidth="1"/>
    <col min="28" max="28" width="13.6640625" customWidth="1"/>
    <col min="30" max="30" width="12.109375" bestFit="1" customWidth="1"/>
    <col min="34" max="34" width="12.6640625" customWidth="1"/>
  </cols>
  <sheetData>
    <row r="1" spans="1:34" ht="18" x14ac:dyDescent="0.3">
      <c r="A1" s="437"/>
      <c r="B1" s="438" t="s">
        <v>1</v>
      </c>
      <c r="C1" s="439"/>
      <c r="D1" s="439"/>
      <c r="E1" s="440"/>
      <c r="F1" s="441"/>
      <c r="G1" s="442"/>
      <c r="H1" s="442" t="s">
        <v>0</v>
      </c>
      <c r="I1" s="442"/>
      <c r="J1" s="440"/>
      <c r="K1" s="440"/>
      <c r="L1" s="440" t="s">
        <v>2</v>
      </c>
      <c r="M1" s="440"/>
      <c r="N1" s="440"/>
      <c r="O1" s="437"/>
      <c r="P1" s="440"/>
      <c r="Q1" s="437"/>
      <c r="R1" s="1"/>
      <c r="S1" s="1"/>
      <c r="T1" s="1"/>
      <c r="U1" s="1"/>
      <c r="V1" s="1"/>
      <c r="W1" s="1"/>
      <c r="X1" s="1"/>
      <c r="Y1" s="1"/>
    </row>
    <row r="2" spans="1:34" ht="7.5" customHeight="1" x14ac:dyDescent="0.3">
      <c r="A2" s="1"/>
      <c r="B2" s="1"/>
      <c r="C2" s="1"/>
      <c r="D2" s="1"/>
      <c r="E2" s="1"/>
      <c r="F2" s="1"/>
      <c r="G2" s="1"/>
      <c r="H2" s="1"/>
      <c r="I2" s="1"/>
      <c r="J2" s="1"/>
      <c r="K2" s="1"/>
      <c r="L2" s="1"/>
      <c r="M2" s="1"/>
      <c r="N2" s="1"/>
      <c r="O2" s="1"/>
      <c r="P2" s="1"/>
      <c r="R2" s="1"/>
      <c r="S2" s="1"/>
      <c r="T2" s="1"/>
      <c r="U2" s="1"/>
      <c r="V2" s="1"/>
      <c r="W2" s="1"/>
      <c r="X2" s="1"/>
      <c r="Y2" s="1"/>
    </row>
    <row r="3" spans="1:34" x14ac:dyDescent="0.3">
      <c r="A3" s="1"/>
      <c r="B3" s="1"/>
      <c r="C3" s="1"/>
      <c r="D3" s="1"/>
      <c r="E3" s="1"/>
      <c r="F3" s="1"/>
      <c r="G3" s="1"/>
      <c r="H3" s="1"/>
      <c r="I3" s="1"/>
      <c r="J3" s="1"/>
      <c r="K3" s="1"/>
      <c r="L3" s="1"/>
      <c r="M3" s="1"/>
      <c r="N3" s="1"/>
      <c r="O3" s="1"/>
      <c r="P3" s="1"/>
      <c r="R3" s="443" t="s">
        <v>3</v>
      </c>
      <c r="S3" s="444"/>
      <c r="T3" s="445" t="s">
        <v>4</v>
      </c>
      <c r="U3" s="446"/>
      <c r="V3" s="447" t="s">
        <v>5</v>
      </c>
      <c r="W3" s="447"/>
      <c r="X3" s="448"/>
      <c r="Y3" s="1"/>
    </row>
    <row r="4" spans="1:34" x14ac:dyDescent="0.3">
      <c r="A4" s="1"/>
      <c r="B4" s="1"/>
      <c r="C4" s="1"/>
      <c r="D4" s="1"/>
      <c r="E4" s="1"/>
      <c r="F4" s="1"/>
      <c r="G4" s="1"/>
      <c r="H4" s="1"/>
      <c r="I4" s="1"/>
      <c r="J4" s="1"/>
      <c r="K4" s="1"/>
      <c r="L4" s="1"/>
      <c r="M4" s="1"/>
      <c r="N4" s="1"/>
      <c r="O4" s="1"/>
      <c r="P4" s="1"/>
      <c r="R4" s="449" t="s">
        <v>6</v>
      </c>
      <c r="S4" s="452" t="s">
        <v>7</v>
      </c>
      <c r="T4" s="449" t="s">
        <v>369</v>
      </c>
      <c r="U4" s="450" t="s">
        <v>8</v>
      </c>
      <c r="V4" s="451" t="s">
        <v>9</v>
      </c>
      <c r="W4" s="451" t="s">
        <v>10</v>
      </c>
      <c r="X4" s="450" t="s">
        <v>11</v>
      </c>
      <c r="Y4" s="1"/>
    </row>
    <row r="5" spans="1:34" x14ac:dyDescent="0.3">
      <c r="A5" s="1"/>
      <c r="B5" s="1"/>
      <c r="C5" s="1"/>
      <c r="D5" s="1"/>
      <c r="E5" s="1"/>
      <c r="F5" s="1"/>
      <c r="G5" s="1"/>
      <c r="H5" s="1"/>
      <c r="I5" s="1"/>
      <c r="J5" s="1"/>
      <c r="K5" s="1"/>
      <c r="L5" s="1"/>
      <c r="M5" s="1"/>
      <c r="N5" s="1"/>
      <c r="O5" s="1"/>
      <c r="P5" s="1"/>
      <c r="R5" s="472" t="s">
        <v>12</v>
      </c>
      <c r="S5" t="s">
        <v>13</v>
      </c>
      <c r="T5" s="251">
        <f>ROUND(Run!AM39,-2)</f>
        <v>70400</v>
      </c>
      <c r="U5" s="267">
        <v>500000</v>
      </c>
      <c r="V5" s="252">
        <v>4200</v>
      </c>
      <c r="W5" s="73">
        <v>40950</v>
      </c>
      <c r="X5" s="253">
        <v>51187.5</v>
      </c>
      <c r="Y5" s="1"/>
      <c r="AB5">
        <f>(T5+T6)/(U6+(U5/2))</f>
        <v>0.17849999999999999</v>
      </c>
    </row>
    <row r="6" spans="1:34" x14ac:dyDescent="0.3">
      <c r="A6" s="1"/>
      <c r="B6" s="1"/>
      <c r="C6" s="1"/>
      <c r="D6" s="1"/>
      <c r="E6" s="1"/>
      <c r="F6" s="1"/>
      <c r="G6" s="1"/>
      <c r="H6" s="1"/>
      <c r="I6" s="1"/>
      <c r="J6" s="1"/>
      <c r="K6" s="1"/>
      <c r="L6" s="1"/>
      <c r="M6" s="1"/>
      <c r="N6" s="1"/>
      <c r="O6" s="1"/>
      <c r="P6" s="1"/>
      <c r="R6" s="472"/>
      <c r="S6" t="s">
        <v>14</v>
      </c>
      <c r="T6" s="249">
        <v>1000</v>
      </c>
      <c r="U6" s="253">
        <v>150000</v>
      </c>
      <c r="V6" s="273">
        <v>2000</v>
      </c>
      <c r="W6" s="73">
        <v>3500</v>
      </c>
      <c r="X6" s="232">
        <v>10000</v>
      </c>
      <c r="Y6" s="1"/>
    </row>
    <row r="7" spans="1:34" x14ac:dyDescent="0.3">
      <c r="A7" s="1"/>
      <c r="B7" s="1"/>
      <c r="C7" s="1"/>
      <c r="D7" s="1"/>
      <c r="E7" s="1"/>
      <c r="F7" s="1"/>
      <c r="G7" s="1"/>
      <c r="H7" s="1"/>
      <c r="I7" s="1"/>
      <c r="J7" s="1"/>
      <c r="K7" s="1"/>
      <c r="L7" s="1"/>
      <c r="M7" s="1"/>
      <c r="N7" s="1"/>
      <c r="O7" s="1"/>
      <c r="P7" s="1"/>
      <c r="R7" s="472"/>
      <c r="S7" t="s">
        <v>80</v>
      </c>
      <c r="T7" s="249">
        <v>21000</v>
      </c>
      <c r="U7" s="268"/>
      <c r="V7" s="228">
        <v>1000</v>
      </c>
      <c r="W7" s="73">
        <f>V7*2</f>
        <v>2000</v>
      </c>
      <c r="X7" s="232">
        <f>1.5*W7</f>
        <v>3000</v>
      </c>
      <c r="Y7" s="1"/>
    </row>
    <row r="8" spans="1:34" x14ac:dyDescent="0.3">
      <c r="A8" s="1"/>
      <c r="B8" s="1"/>
      <c r="C8" s="1"/>
      <c r="D8" s="1"/>
      <c r="E8" s="1"/>
      <c r="F8" s="1"/>
      <c r="G8" s="1"/>
      <c r="H8" s="1"/>
      <c r="I8" s="1"/>
      <c r="J8" s="1"/>
      <c r="K8" s="1"/>
      <c r="L8" s="1"/>
      <c r="M8" s="1"/>
      <c r="N8" s="1"/>
      <c r="O8" s="1"/>
      <c r="P8" s="1"/>
      <c r="R8" s="473"/>
      <c r="S8" s="250" t="s">
        <v>34</v>
      </c>
      <c r="T8" s="257">
        <f>SUM('Natl Spnr'!F21:F23)</f>
        <v>0</v>
      </c>
      <c r="U8" s="258">
        <v>30000</v>
      </c>
      <c r="V8" s="259">
        <f>SUM('Natl Spnr'!H21:H23)</f>
        <v>2000</v>
      </c>
      <c r="W8" s="260">
        <f>SUM('Natl Spnr'!I21:I23)</f>
        <v>15765</v>
      </c>
      <c r="X8" s="258">
        <f>SUM('Natl Spnr'!J21:J23)</f>
        <v>23647.5</v>
      </c>
      <c r="Y8" s="1"/>
    </row>
    <row r="9" spans="1:34" x14ac:dyDescent="0.3">
      <c r="A9" s="1"/>
      <c r="B9" s="1"/>
      <c r="C9" s="1"/>
      <c r="D9" s="1"/>
      <c r="E9" s="1"/>
      <c r="F9" s="1"/>
      <c r="G9" s="1"/>
      <c r="H9" s="1"/>
      <c r="I9" s="1"/>
      <c r="J9" s="1"/>
      <c r="K9" s="1"/>
      <c r="L9" s="1"/>
      <c r="M9" s="1"/>
      <c r="N9" s="1"/>
      <c r="O9" s="1"/>
      <c r="P9" s="1"/>
      <c r="R9" s="453"/>
      <c r="S9" s="454" t="s">
        <v>17</v>
      </c>
      <c r="T9" s="455">
        <f>SUM(T5:T8)</f>
        <v>92400</v>
      </c>
      <c r="U9" s="456">
        <f>SUM(U5:U8)</f>
        <v>680000</v>
      </c>
      <c r="V9" s="457">
        <f>SUM(V5:V8)</f>
        <v>9200</v>
      </c>
      <c r="W9" s="457">
        <f>SUM(W5:W8)</f>
        <v>62215</v>
      </c>
      <c r="X9" s="456">
        <f>SUM(X5:X8)</f>
        <v>87835</v>
      </c>
      <c r="Y9" s="1"/>
    </row>
    <row r="10" spans="1:34" x14ac:dyDescent="0.3">
      <c r="A10" s="1"/>
      <c r="B10" s="1"/>
      <c r="C10" s="1"/>
      <c r="D10" s="1"/>
      <c r="E10" s="1"/>
      <c r="F10" s="1"/>
      <c r="G10" s="1"/>
      <c r="H10" s="1"/>
      <c r="I10" s="1"/>
      <c r="J10" s="1"/>
      <c r="K10" s="1"/>
      <c r="L10" s="1"/>
      <c r="M10" s="1"/>
      <c r="N10" s="1"/>
      <c r="O10" s="1"/>
      <c r="P10" s="1"/>
      <c r="Y10" s="1"/>
    </row>
    <row r="11" spans="1:34" x14ac:dyDescent="0.3">
      <c r="A11" s="1"/>
      <c r="B11" s="1"/>
      <c r="C11" s="1"/>
      <c r="D11" s="1"/>
      <c r="E11" s="1"/>
      <c r="F11" s="1"/>
      <c r="G11" s="1"/>
      <c r="H11" s="1"/>
      <c r="I11" s="1"/>
      <c r="J11" s="1"/>
      <c r="K11" s="1"/>
      <c r="L11" s="1"/>
      <c r="M11" s="1"/>
      <c r="N11" s="1"/>
      <c r="O11" s="1"/>
      <c r="P11" s="1"/>
      <c r="R11" s="4" t="s">
        <v>18</v>
      </c>
      <c r="S11" s="67"/>
      <c r="T11" s="68" t="s">
        <v>19</v>
      </c>
      <c r="U11" s="223"/>
      <c r="V11" s="187"/>
      <c r="W11" s="262"/>
      <c r="X11" s="261" t="s">
        <v>366</v>
      </c>
      <c r="Y11" s="1"/>
      <c r="AB11" s="464" t="s">
        <v>558</v>
      </c>
    </row>
    <row r="12" spans="1:34" x14ac:dyDescent="0.3">
      <c r="A12" s="1"/>
      <c r="B12" s="1"/>
      <c r="C12" s="1"/>
      <c r="D12" s="1"/>
      <c r="E12" s="1"/>
      <c r="F12" s="1"/>
      <c r="G12" s="1"/>
      <c r="H12" s="1"/>
      <c r="I12" s="1"/>
      <c r="J12" s="1"/>
      <c r="K12" s="1"/>
      <c r="L12" s="1"/>
      <c r="M12" s="1"/>
      <c r="N12" s="1"/>
      <c r="O12" s="1"/>
      <c r="P12" s="1"/>
      <c r="R12" s="64" t="s">
        <v>20</v>
      </c>
      <c r="S12" s="65"/>
      <c r="T12" s="69" t="s">
        <v>21</v>
      </c>
      <c r="U12" s="7" t="s">
        <v>22</v>
      </c>
      <c r="V12" s="263" t="s">
        <v>23</v>
      </c>
      <c r="W12" s="7" t="s">
        <v>30</v>
      </c>
      <c r="X12" s="8" t="s">
        <v>260</v>
      </c>
      <c r="Y12" s="1"/>
      <c r="AB12" t="s">
        <v>557</v>
      </c>
      <c r="AC12">
        <f>6-1.7</f>
        <v>4.3</v>
      </c>
    </row>
    <row r="13" spans="1:34" x14ac:dyDescent="0.3">
      <c r="A13" s="1"/>
      <c r="B13" s="1"/>
      <c r="C13" s="1"/>
      <c r="D13" s="1"/>
      <c r="E13" s="1"/>
      <c r="F13" s="1"/>
      <c r="G13" s="1"/>
      <c r="H13" s="1"/>
      <c r="I13" s="1"/>
      <c r="J13" s="1"/>
      <c r="K13" s="1"/>
      <c r="L13" s="1"/>
      <c r="M13" s="1"/>
      <c r="N13" s="1"/>
      <c r="O13" s="1"/>
      <c r="P13" s="1"/>
      <c r="R13" s="71" t="s">
        <v>258</v>
      </c>
      <c r="S13" s="66"/>
      <c r="T13" s="480">
        <v>7376</v>
      </c>
      <c r="U13" s="230">
        <v>0</v>
      </c>
      <c r="V13" s="232">
        <v>7300000</v>
      </c>
      <c r="W13" s="482">
        <v>54000</v>
      </c>
      <c r="X13" s="232">
        <f>SUM(U13:V13)</f>
        <v>7300000</v>
      </c>
      <c r="Y13" s="1"/>
      <c r="AB13" t="s">
        <v>559</v>
      </c>
      <c r="AC13">
        <v>0.21</v>
      </c>
      <c r="AF13" t="s">
        <v>543</v>
      </c>
      <c r="AH13" s="50">
        <f>U13+V13</f>
        <v>7300000</v>
      </c>
    </row>
    <row r="14" spans="1:34" x14ac:dyDescent="0.3">
      <c r="A14" s="1"/>
      <c r="B14" s="1"/>
      <c r="C14" s="1"/>
      <c r="D14" s="1"/>
      <c r="E14" s="1"/>
      <c r="F14" s="1"/>
      <c r="G14" s="1"/>
      <c r="H14" s="1"/>
      <c r="I14" s="1"/>
      <c r="J14" s="1"/>
      <c r="K14" s="1"/>
      <c r="L14" s="1"/>
      <c r="M14" s="1"/>
      <c r="N14" s="1"/>
      <c r="O14" s="1"/>
      <c r="P14" s="1"/>
      <c r="R14" s="3" t="s">
        <v>127</v>
      </c>
      <c r="S14" s="9"/>
      <c r="T14" s="481"/>
      <c r="U14" s="72">
        <v>0</v>
      </c>
      <c r="V14" s="232">
        <v>4500000</v>
      </c>
      <c r="W14" s="483"/>
      <c r="X14" s="232">
        <f>SUM(U14:V14)</f>
        <v>4500000</v>
      </c>
      <c r="Y14" s="1"/>
      <c r="AB14" t="s">
        <v>560</v>
      </c>
      <c r="AC14">
        <v>0.28999999999999998</v>
      </c>
      <c r="AF14" s="411">
        <f>T36/(U18+V18)</f>
        <v>8.1730103806228367E-3</v>
      </c>
      <c r="AH14" s="50">
        <f t="shared" ref="AH14:AH15" si="0">U14+V14</f>
        <v>4500000</v>
      </c>
    </row>
    <row r="15" spans="1:34" x14ac:dyDescent="0.3">
      <c r="A15" s="1"/>
      <c r="B15" s="1"/>
      <c r="C15" s="1"/>
      <c r="D15" s="1"/>
      <c r="E15" s="1"/>
      <c r="F15" s="1"/>
      <c r="G15" s="1"/>
      <c r="H15" s="1"/>
      <c r="I15" s="1"/>
      <c r="J15" s="1"/>
      <c r="K15" s="1"/>
      <c r="L15" s="1"/>
      <c r="M15" s="1"/>
      <c r="N15" s="1"/>
      <c r="O15" s="1"/>
      <c r="P15" s="1"/>
      <c r="R15" s="3" t="s">
        <v>14</v>
      </c>
      <c r="S15" s="9"/>
      <c r="T15" s="270"/>
      <c r="U15" s="72">
        <v>450000</v>
      </c>
      <c r="V15" s="232">
        <v>2200000</v>
      </c>
      <c r="W15" s="483"/>
      <c r="X15" s="232">
        <f>SUM(U15:V15)</f>
        <v>2650000</v>
      </c>
      <c r="Y15" s="1"/>
      <c r="AB15" t="s">
        <v>561</v>
      </c>
      <c r="AC15">
        <v>2.0499999999999998</v>
      </c>
      <c r="AH15" s="50">
        <f t="shared" si="0"/>
        <v>2650000</v>
      </c>
    </row>
    <row r="16" spans="1:34" x14ac:dyDescent="0.3">
      <c r="A16" s="1"/>
      <c r="B16" s="1"/>
      <c r="C16" s="1"/>
      <c r="D16" s="1"/>
      <c r="E16" s="1"/>
      <c r="F16" s="1"/>
      <c r="G16" s="1"/>
      <c r="H16" s="1"/>
      <c r="I16" s="1"/>
      <c r="J16" s="1"/>
      <c r="K16" s="1"/>
      <c r="L16" s="1"/>
      <c r="M16" s="1"/>
      <c r="N16" s="1"/>
      <c r="O16" s="1"/>
      <c r="P16" s="1"/>
      <c r="R16" s="3" t="s">
        <v>257</v>
      </c>
      <c r="S16" s="9"/>
      <c r="T16" s="271" t="s">
        <v>32</v>
      </c>
      <c r="U16" s="230" t="s">
        <v>32</v>
      </c>
      <c r="V16" s="231" t="s">
        <v>32</v>
      </c>
      <c r="W16" s="72">
        <v>45000</v>
      </c>
      <c r="X16" s="232">
        <f>AC16*1000000</f>
        <v>6850000</v>
      </c>
      <c r="Y16" s="1"/>
      <c r="AC16">
        <f>SUM(AC12:AC15)</f>
        <v>6.85</v>
      </c>
    </row>
    <row r="17" spans="1:32" x14ac:dyDescent="0.3">
      <c r="A17" s="1"/>
      <c r="B17" s="1"/>
      <c r="C17" s="1"/>
      <c r="D17" s="1"/>
      <c r="E17" s="1"/>
      <c r="F17" s="1"/>
      <c r="G17" s="1"/>
      <c r="H17" s="1"/>
      <c r="I17" s="1"/>
      <c r="J17" s="1"/>
      <c r="K17" s="1"/>
      <c r="L17" s="1"/>
      <c r="M17" s="1"/>
      <c r="N17" s="1"/>
      <c r="O17" s="1"/>
      <c r="P17" s="1"/>
      <c r="R17" s="3" t="s">
        <v>34</v>
      </c>
      <c r="S17" s="9"/>
      <c r="T17" s="271" t="s">
        <v>32</v>
      </c>
      <c r="U17" s="230" t="s">
        <v>32</v>
      </c>
      <c r="V17" s="231" t="s">
        <v>32</v>
      </c>
      <c r="W17" s="226">
        <f>HarvestGoals!E22</f>
        <v>54125.626583614867</v>
      </c>
      <c r="X17" s="188" t="s">
        <v>556</v>
      </c>
      <c r="Y17" s="1"/>
    </row>
    <row r="18" spans="1:32" x14ac:dyDescent="0.3">
      <c r="A18" s="1"/>
      <c r="B18" s="1"/>
      <c r="C18" s="1"/>
      <c r="D18" s="1"/>
      <c r="E18" s="1"/>
      <c r="F18" s="1"/>
      <c r="G18" s="1"/>
      <c r="H18" s="1"/>
      <c r="I18" s="1"/>
      <c r="J18" s="1"/>
      <c r="K18" s="1"/>
      <c r="L18" s="1"/>
      <c r="M18" s="1"/>
      <c r="N18" s="1"/>
      <c r="O18" s="1"/>
      <c r="P18" s="1"/>
      <c r="R18" s="5" t="s">
        <v>25</v>
      </c>
      <c r="S18" s="6"/>
      <c r="T18" s="272">
        <f>SUM(T13:T17)</f>
        <v>7376</v>
      </c>
      <c r="U18" s="189">
        <f>SUM(U13:U17)</f>
        <v>450000</v>
      </c>
      <c r="V18" s="190">
        <f>SUM(V13:V17)</f>
        <v>14000000</v>
      </c>
      <c r="W18" s="227">
        <f>SUM(W13:W17)</f>
        <v>153125.62658361485</v>
      </c>
      <c r="X18" s="410" t="s">
        <v>562</v>
      </c>
      <c r="Y18" s="1"/>
      <c r="AA18" s="50">
        <f>SUM(X13:X16)+270000</f>
        <v>21570000</v>
      </c>
      <c r="AB18" s="50">
        <f>SUM(X13:X16)+5410000</f>
        <v>26710000</v>
      </c>
      <c r="AD18" s="50">
        <f>AVERAGE(AA18,AB18)</f>
        <v>24140000</v>
      </c>
    </row>
    <row r="19" spans="1:32" x14ac:dyDescent="0.3">
      <c r="A19" s="1"/>
      <c r="B19" s="1"/>
      <c r="C19" s="1"/>
      <c r="D19" s="1"/>
      <c r="E19" s="1"/>
      <c r="F19" s="1"/>
      <c r="G19" s="1"/>
      <c r="H19" s="1"/>
      <c r="I19" s="1"/>
      <c r="J19" s="1"/>
      <c r="K19" s="1"/>
      <c r="L19" s="1"/>
      <c r="M19" s="1"/>
      <c r="N19" s="1"/>
      <c r="O19" s="1"/>
      <c r="P19" s="1"/>
      <c r="R19" s="1"/>
      <c r="S19" s="1"/>
      <c r="T19" s="1"/>
      <c r="U19" s="1"/>
      <c r="V19" s="1"/>
      <c r="W19" s="1"/>
      <c r="X19" s="1"/>
      <c r="Y19" s="1"/>
    </row>
    <row r="20" spans="1:32" x14ac:dyDescent="0.3">
      <c r="A20" s="1"/>
      <c r="B20" s="1"/>
      <c r="C20" s="1"/>
      <c r="D20" s="1"/>
      <c r="E20" s="1"/>
      <c r="F20" s="1"/>
      <c r="G20" s="1"/>
      <c r="H20" s="1"/>
      <c r="I20" s="1"/>
      <c r="J20" s="1"/>
      <c r="K20" s="1"/>
      <c r="L20" s="1"/>
      <c r="M20" s="1"/>
      <c r="N20" s="1"/>
      <c r="O20" s="1"/>
      <c r="P20" s="1"/>
      <c r="R20" s="10" t="s">
        <v>26</v>
      </c>
      <c r="S20" s="458"/>
      <c r="T20" s="11" t="s">
        <v>27</v>
      </c>
      <c r="U20" s="11"/>
      <c r="V20" s="11"/>
      <c r="W20" s="12"/>
      <c r="X20" s="11" t="s">
        <v>28</v>
      </c>
      <c r="Y20" s="12"/>
    </row>
    <row r="21" spans="1:32" x14ac:dyDescent="0.3">
      <c r="A21" s="1"/>
      <c r="B21" s="1"/>
      <c r="C21" s="1"/>
      <c r="D21" s="1"/>
      <c r="E21" s="1"/>
      <c r="F21" s="1"/>
      <c r="G21" s="1"/>
      <c r="H21" s="1"/>
      <c r="I21" s="1"/>
      <c r="J21" s="1"/>
      <c r="K21" s="1"/>
      <c r="L21" s="1"/>
      <c r="M21" s="1"/>
      <c r="N21" s="1"/>
      <c r="O21" s="1"/>
      <c r="P21" s="1"/>
      <c r="R21" s="13"/>
      <c r="S21" s="14" t="s">
        <v>29</v>
      </c>
      <c r="T21" s="15" t="s">
        <v>502</v>
      </c>
      <c r="U21" s="15" t="s">
        <v>503</v>
      </c>
      <c r="V21" s="15" t="s">
        <v>383</v>
      </c>
      <c r="W21" s="16" t="s">
        <v>365</v>
      </c>
      <c r="X21" s="364" t="s">
        <v>368</v>
      </c>
      <c r="Y21" s="365" t="s">
        <v>365</v>
      </c>
    </row>
    <row r="22" spans="1:32" x14ac:dyDescent="0.3">
      <c r="A22" s="1"/>
      <c r="B22" s="1"/>
      <c r="C22" s="1"/>
      <c r="D22" s="1"/>
      <c r="E22" s="1"/>
      <c r="F22" s="1"/>
      <c r="G22" s="1"/>
      <c r="H22" s="1"/>
      <c r="I22" s="1"/>
      <c r="J22" s="1"/>
      <c r="K22" s="1"/>
      <c r="L22" s="1"/>
      <c r="M22" s="1"/>
      <c r="N22" s="1"/>
      <c r="O22" s="1"/>
      <c r="P22" s="1"/>
      <c r="R22" s="474" t="s">
        <v>31</v>
      </c>
      <c r="S22" s="371" t="s">
        <v>82</v>
      </c>
      <c r="T22" s="233">
        <f>Fisheries!D39</f>
        <v>0.20799999999999993</v>
      </c>
      <c r="U22" s="18" t="s">
        <v>32</v>
      </c>
      <c r="V22" s="234" t="s">
        <v>32</v>
      </c>
      <c r="W22" s="485" t="str">
        <f>W30</f>
        <v>40-80%</v>
      </c>
      <c r="X22" s="367">
        <f>ROUND(AE$23*T22,-2)</f>
        <v>112000</v>
      </c>
      <c r="Y22" s="468">
        <f>X54-X50</f>
        <v>211100</v>
      </c>
      <c r="AA22" s="49">
        <f>SUM(T22:T24)</f>
        <v>0.35579999999999995</v>
      </c>
      <c r="AC22" t="s">
        <v>464</v>
      </c>
      <c r="AE22" s="50">
        <f>(SUM(T22:T24)*T34)/(1-SUM(T22:T24))</f>
        <v>191597.36106799127</v>
      </c>
    </row>
    <row r="23" spans="1:32" x14ac:dyDescent="0.3">
      <c r="A23" s="1"/>
      <c r="B23" s="1"/>
      <c r="C23" s="1"/>
      <c r="D23" s="1"/>
      <c r="E23" s="1"/>
      <c r="F23" s="1"/>
      <c r="G23" s="1"/>
      <c r="H23" s="1"/>
      <c r="I23" s="1"/>
      <c r="J23" s="1"/>
      <c r="K23" s="1"/>
      <c r="L23" s="1"/>
      <c r="M23" s="1"/>
      <c r="N23" s="1"/>
      <c r="O23" s="1"/>
      <c r="P23" s="1"/>
      <c r="R23" s="474"/>
      <c r="S23" s="372" t="s">
        <v>83</v>
      </c>
      <c r="T23" s="17">
        <f>Fisheries!D40</f>
        <v>0.12310000000000003</v>
      </c>
      <c r="U23" s="18" t="s">
        <v>32</v>
      </c>
      <c r="V23" s="18" t="s">
        <v>32</v>
      </c>
      <c r="W23" s="484"/>
      <c r="X23" s="368">
        <f>ROUND(AE$23*T23,-2)</f>
        <v>66300</v>
      </c>
      <c r="Y23" s="469"/>
      <c r="AC23" t="s">
        <v>465</v>
      </c>
      <c r="AE23" s="50">
        <f>AE22+T34</f>
        <v>538497.36106799124</v>
      </c>
    </row>
    <row r="24" spans="1:32" x14ac:dyDescent="0.3">
      <c r="A24" s="1"/>
      <c r="B24" s="1"/>
      <c r="C24" s="1" t="s">
        <v>255</v>
      </c>
      <c r="D24" s="256">
        <f>T9</f>
        <v>92400</v>
      </c>
      <c r="E24" s="1"/>
      <c r="F24" s="1"/>
      <c r="G24" s="1"/>
      <c r="H24" s="1"/>
      <c r="I24" s="1"/>
      <c r="J24" s="1"/>
      <c r="K24" s="1"/>
      <c r="L24" s="1"/>
      <c r="M24" s="1"/>
      <c r="N24" s="1"/>
      <c r="O24" s="1"/>
      <c r="P24" s="1"/>
      <c r="R24" s="474"/>
      <c r="S24" s="372" t="s">
        <v>84</v>
      </c>
      <c r="T24" s="17">
        <f>Fisheries!D41</f>
        <v>2.4700000000000003E-2</v>
      </c>
      <c r="U24" s="18" t="s">
        <v>32</v>
      </c>
      <c r="V24" s="18" t="s">
        <v>32</v>
      </c>
      <c r="W24" s="484"/>
      <c r="X24" s="368">
        <f>ROUND(AE$23*T24,-2)</f>
        <v>13300</v>
      </c>
      <c r="Y24" s="469"/>
      <c r="AC24" t="s">
        <v>466</v>
      </c>
      <c r="AE24" s="49">
        <f>SUM(T22:T24)</f>
        <v>0.35579999999999995</v>
      </c>
    </row>
    <row r="25" spans="1:32" x14ac:dyDescent="0.3">
      <c r="A25" s="1"/>
      <c r="B25" s="1"/>
      <c r="C25" s="1" t="s">
        <v>362</v>
      </c>
      <c r="D25" s="256">
        <f>V9</f>
        <v>9200</v>
      </c>
      <c r="E25" s="1"/>
      <c r="F25" s="1"/>
      <c r="G25" s="1"/>
      <c r="H25" s="1"/>
      <c r="I25" s="1"/>
      <c r="J25" s="1"/>
      <c r="K25" s="1"/>
      <c r="L25" s="1"/>
      <c r="M25" s="1"/>
      <c r="N25" s="1"/>
      <c r="O25" s="1"/>
      <c r="P25" s="1"/>
      <c r="R25" s="474"/>
      <c r="S25" s="373" t="s">
        <v>92</v>
      </c>
      <c r="T25" s="17">
        <f>U25*(1-SUM(T$22:T$24))</f>
        <v>4.1850130753875149E-2</v>
      </c>
      <c r="U25" s="409">
        <f>Run!J38</f>
        <v>6.4964499773168496E-2</v>
      </c>
      <c r="V25" s="484" t="s">
        <v>81</v>
      </c>
      <c r="W25" s="484"/>
      <c r="X25" s="249">
        <f>ROUND(Run!P38,-2)</f>
        <v>21700</v>
      </c>
      <c r="Y25" s="470">
        <f>X50</f>
        <v>153200</v>
      </c>
      <c r="AC25" t="s">
        <v>468</v>
      </c>
      <c r="AE25" s="50">
        <f>AE23*AE24</f>
        <v>191597.36106799127</v>
      </c>
    </row>
    <row r="26" spans="1:32" x14ac:dyDescent="0.3">
      <c r="A26" s="1"/>
      <c r="B26" s="1"/>
      <c r="C26" s="1" t="s">
        <v>363</v>
      </c>
      <c r="D26" s="256">
        <f>W9</f>
        <v>62215</v>
      </c>
      <c r="E26" s="1"/>
      <c r="F26" s="1"/>
      <c r="G26" s="1"/>
      <c r="H26" s="1"/>
      <c r="I26" s="1"/>
      <c r="J26" s="1"/>
      <c r="K26" s="1"/>
      <c r="L26" s="1"/>
      <c r="M26" s="1"/>
      <c r="N26" s="1"/>
      <c r="O26" s="1"/>
      <c r="P26" s="1"/>
      <c r="R26" s="474"/>
      <c r="S26" s="373" t="s">
        <v>88</v>
      </c>
      <c r="T26" s="17">
        <f t="shared" ref="T26:T28" si="1">U26*(1-SUM(T$22:T$24))</f>
        <v>3.7077529240641477E-2</v>
      </c>
      <c r="U26" s="409">
        <f>Run!K38</f>
        <v>5.7555928656692748E-2</v>
      </c>
      <c r="V26" s="484"/>
      <c r="W26" s="484"/>
      <c r="X26" s="249">
        <f>ROUND(Run!Q38,-2)</f>
        <v>20900</v>
      </c>
      <c r="Y26" s="469"/>
    </row>
    <row r="27" spans="1:32" x14ac:dyDescent="0.3">
      <c r="A27" s="1"/>
      <c r="B27" s="1"/>
      <c r="C27" s="1" t="s">
        <v>364</v>
      </c>
      <c r="D27" s="256">
        <f>X9</f>
        <v>87835</v>
      </c>
      <c r="E27" s="1"/>
      <c r="F27" s="1"/>
      <c r="G27" s="1"/>
      <c r="H27" s="1"/>
      <c r="I27" s="1"/>
      <c r="J27" s="1"/>
      <c r="K27" s="1"/>
      <c r="L27" s="1"/>
      <c r="M27" s="1"/>
      <c r="N27" s="1"/>
      <c r="O27" s="1"/>
      <c r="P27" s="1"/>
      <c r="R27" s="474"/>
      <c r="S27" s="372" t="s">
        <v>89</v>
      </c>
      <c r="T27" s="17">
        <f t="shared" si="1"/>
        <v>0.14469271446737281</v>
      </c>
      <c r="U27" s="409">
        <f>Run!L38</f>
        <v>0.22460837390154112</v>
      </c>
      <c r="V27" s="484"/>
      <c r="W27" s="484"/>
      <c r="X27" s="249">
        <f>ROUND(Run!R38,-2)</f>
        <v>75900</v>
      </c>
      <c r="Y27" s="469"/>
      <c r="AC27" t="s">
        <v>467</v>
      </c>
      <c r="AE27">
        <f>X30/AE23</f>
        <v>0.60891663303545696</v>
      </c>
      <c r="AF27" t="s">
        <v>469</v>
      </c>
    </row>
    <row r="28" spans="1:32" x14ac:dyDescent="0.3">
      <c r="A28" s="1"/>
      <c r="B28" s="1"/>
      <c r="C28" s="1" t="s">
        <v>8</v>
      </c>
      <c r="D28" s="256">
        <f>U9</f>
        <v>680000</v>
      </c>
      <c r="E28" s="1"/>
      <c r="F28" s="1"/>
      <c r="G28" s="1"/>
      <c r="H28" s="1"/>
      <c r="I28" s="1"/>
      <c r="J28" s="1"/>
      <c r="K28" s="1"/>
      <c r="L28" s="1"/>
      <c r="M28" s="1"/>
      <c r="N28" s="1"/>
      <c r="O28" s="1"/>
      <c r="P28" s="1"/>
      <c r="R28" s="474"/>
      <c r="S28" s="372" t="s">
        <v>86</v>
      </c>
      <c r="T28" s="17">
        <f t="shared" si="1"/>
        <v>3.3358636490124736E-2</v>
      </c>
      <c r="U28" s="409">
        <f>Run!M38</f>
        <v>5.1783043294201692E-2</v>
      </c>
      <c r="V28" s="18"/>
      <c r="W28" s="484"/>
      <c r="X28" s="249">
        <f>ROUND(Run!S38,-2)</f>
        <v>17800</v>
      </c>
      <c r="Y28" s="469"/>
      <c r="AA28" s="49">
        <f>SUM(T25:T28)</f>
        <v>0.25697901095201414</v>
      </c>
    </row>
    <row r="29" spans="1:32" x14ac:dyDescent="0.3">
      <c r="A29" s="1"/>
      <c r="B29" s="1"/>
      <c r="C29" s="1"/>
      <c r="D29" s="1"/>
      <c r="E29" s="1"/>
      <c r="F29" s="1"/>
      <c r="G29" s="1"/>
      <c r="H29" s="1"/>
      <c r="I29" s="1"/>
      <c r="J29" s="1"/>
      <c r="K29" s="1"/>
      <c r="L29" s="1"/>
      <c r="M29" s="1"/>
      <c r="N29" s="1"/>
      <c r="O29" s="1"/>
      <c r="P29" s="1"/>
      <c r="R29" s="474"/>
      <c r="S29" s="374" t="s">
        <v>34</v>
      </c>
      <c r="T29" s="375" t="s">
        <v>32</v>
      </c>
      <c r="U29" s="70" t="s">
        <v>32</v>
      </c>
      <c r="V29" s="19" t="s">
        <v>32</v>
      </c>
      <c r="W29" s="486"/>
      <c r="X29" s="369" t="s">
        <v>32</v>
      </c>
      <c r="Y29" s="471"/>
    </row>
    <row r="30" spans="1:32" x14ac:dyDescent="0.3">
      <c r="A30" s="1"/>
      <c r="B30" s="1"/>
      <c r="C30" s="1"/>
      <c r="D30" s="1"/>
      <c r="E30" s="1"/>
      <c r="F30" s="1"/>
      <c r="G30" s="1"/>
      <c r="H30" s="1"/>
      <c r="I30" s="1"/>
      <c r="J30" s="1"/>
      <c r="K30" s="1"/>
      <c r="L30" s="1"/>
      <c r="M30" s="1"/>
      <c r="N30" s="1"/>
      <c r="O30" s="1"/>
      <c r="P30" s="1"/>
      <c r="R30" s="475"/>
      <c r="S30" s="235" t="s">
        <v>259</v>
      </c>
      <c r="T30" s="236">
        <f>SUM(T22:T28)</f>
        <v>0.61277901095201404</v>
      </c>
      <c r="U30" s="236">
        <f>SUM(U22:U28)</f>
        <v>0.39891184562560406</v>
      </c>
      <c r="V30" s="264" t="s">
        <v>367</v>
      </c>
      <c r="W30" s="269" t="s">
        <v>367</v>
      </c>
      <c r="X30" s="366">
        <f>SUM(X22:X29)</f>
        <v>327900</v>
      </c>
      <c r="Y30" s="436">
        <f>Y22+Y25</f>
        <v>364300</v>
      </c>
      <c r="AA30">
        <f>X30/AE23</f>
        <v>0.60891663303545696</v>
      </c>
    </row>
    <row r="31" spans="1:32" x14ac:dyDescent="0.3">
      <c r="A31" s="1"/>
      <c r="B31" s="1"/>
      <c r="C31" s="1"/>
      <c r="D31" s="1"/>
      <c r="E31" s="1"/>
      <c r="F31" s="1"/>
      <c r="G31" s="1"/>
      <c r="H31" s="1"/>
      <c r="I31" s="1"/>
      <c r="J31" s="1"/>
      <c r="K31" s="1"/>
      <c r="L31" s="1"/>
      <c r="M31" s="1"/>
      <c r="N31" s="1"/>
      <c r="O31" s="1"/>
      <c r="P31" s="1"/>
      <c r="R31" s="1"/>
      <c r="S31" s="1"/>
      <c r="T31" s="1"/>
      <c r="U31" s="1"/>
      <c r="V31" s="1"/>
      <c r="W31" s="1"/>
      <c r="X31" s="1"/>
      <c r="Y31" s="1"/>
    </row>
    <row r="32" spans="1:32" x14ac:dyDescent="0.3">
      <c r="A32" s="1"/>
      <c r="B32" s="1"/>
      <c r="C32" s="1"/>
      <c r="D32" s="1"/>
      <c r="E32" s="1"/>
      <c r="F32" s="1"/>
      <c r="G32" s="1"/>
      <c r="H32" s="1"/>
      <c r="I32" s="1"/>
      <c r="J32" s="1"/>
      <c r="K32" s="1"/>
      <c r="L32" s="1"/>
      <c r="M32" s="1"/>
      <c r="N32" s="1"/>
      <c r="O32" s="1"/>
      <c r="P32" s="1"/>
      <c r="R32" s="476" t="s">
        <v>36</v>
      </c>
      <c r="S32" s="477"/>
      <c r="T32" s="487" t="s">
        <v>541</v>
      </c>
      <c r="U32" s="488"/>
      <c r="V32" s="459" t="s">
        <v>37</v>
      </c>
      <c r="W32" s="265"/>
      <c r="X32" s="266"/>
      <c r="Y32" s="1"/>
      <c r="AA32" s="49">
        <f>SUM(T22:T28)</f>
        <v>0.61277901095201404</v>
      </c>
    </row>
    <row r="33" spans="1:28" x14ac:dyDescent="0.3">
      <c r="A33" s="1"/>
      <c r="B33" s="1"/>
      <c r="C33" s="1"/>
      <c r="D33" s="1"/>
      <c r="E33" s="1"/>
      <c r="F33" s="1"/>
      <c r="G33" s="1"/>
      <c r="H33" s="1"/>
      <c r="I33" s="1"/>
      <c r="J33" s="1"/>
      <c r="K33" s="1"/>
      <c r="L33" s="1"/>
      <c r="M33" s="1"/>
      <c r="N33" s="1"/>
      <c r="O33" s="1"/>
      <c r="P33" s="1"/>
      <c r="R33" s="478"/>
      <c r="S33" s="479"/>
      <c r="T33" s="489" t="s">
        <v>542</v>
      </c>
      <c r="U33" s="490"/>
      <c r="V33" s="254" t="s">
        <v>9</v>
      </c>
      <c r="W33" s="254" t="s">
        <v>10</v>
      </c>
      <c r="X33" s="255" t="s">
        <v>11</v>
      </c>
      <c r="Y33" s="1"/>
    </row>
    <row r="34" spans="1:28" x14ac:dyDescent="0.3">
      <c r="A34" s="1"/>
      <c r="B34" s="1"/>
      <c r="C34" s="1"/>
      <c r="D34" s="1"/>
      <c r="E34" s="1"/>
      <c r="F34" s="1"/>
      <c r="G34" s="1"/>
      <c r="H34" s="1"/>
      <c r="I34" s="1"/>
      <c r="J34" s="1"/>
      <c r="K34" s="1"/>
      <c r="L34" s="1"/>
      <c r="M34" s="1"/>
      <c r="N34" s="1"/>
      <c r="O34" s="1"/>
      <c r="P34" s="1"/>
      <c r="R34" s="52" t="s">
        <v>38</v>
      </c>
      <c r="T34" s="491">
        <f>ROUND(Run!F38,-2)</f>
        <v>346900</v>
      </c>
      <c r="U34" s="492"/>
      <c r="V34" s="433">
        <f>V35+V36</f>
        <v>142800</v>
      </c>
      <c r="W34" s="75">
        <f t="shared" ref="W34:X34" si="2">W35+W36</f>
        <v>262300</v>
      </c>
      <c r="X34" s="243">
        <f t="shared" si="2"/>
        <v>382200</v>
      </c>
      <c r="Y34" s="1"/>
      <c r="AB34" s="9"/>
    </row>
    <row r="35" spans="1:28" x14ac:dyDescent="0.3">
      <c r="A35" s="1"/>
      <c r="B35" s="1"/>
      <c r="C35" s="1"/>
      <c r="D35" s="1"/>
      <c r="E35" s="1"/>
      <c r="F35" s="1"/>
      <c r="G35" s="1"/>
      <c r="H35" s="1"/>
      <c r="I35" s="1"/>
      <c r="J35" s="1"/>
      <c r="K35" s="1"/>
      <c r="L35" s="1"/>
      <c r="M35" s="1"/>
      <c r="N35" s="1"/>
      <c r="O35" s="1"/>
      <c r="P35" s="1"/>
      <c r="R35" s="3"/>
      <c r="S35" t="s">
        <v>35</v>
      </c>
      <c r="T35" s="493">
        <f>ROUND(T34-T36,-2)</f>
        <v>228800</v>
      </c>
      <c r="U35" s="494"/>
      <c r="V35" s="249">
        <f>ROUND(Conv!P14,-2)</f>
        <v>13600</v>
      </c>
      <c r="W35" s="72">
        <f>ROUND(Conv!T14,-2)</f>
        <v>133100</v>
      </c>
      <c r="X35" s="232">
        <f>ROUND(Conv!X14,-2)</f>
        <v>166400</v>
      </c>
      <c r="Y35" s="1"/>
    </row>
    <row r="36" spans="1:28" x14ac:dyDescent="0.3">
      <c r="A36" s="1"/>
      <c r="B36" s="1"/>
      <c r="C36" s="1"/>
      <c r="D36" s="1"/>
      <c r="E36" s="1"/>
      <c r="F36" s="1"/>
      <c r="G36" s="1"/>
      <c r="H36" s="1"/>
      <c r="I36" s="1"/>
      <c r="J36" s="1"/>
      <c r="K36" s="1"/>
      <c r="L36" s="1"/>
      <c r="M36" s="1"/>
      <c r="N36" s="1"/>
      <c r="O36" s="1"/>
      <c r="P36" s="1"/>
      <c r="R36" s="3"/>
      <c r="S36" t="s">
        <v>39</v>
      </c>
      <c r="T36" s="493">
        <f>ROUND(T34*T37,-2)</f>
        <v>118100</v>
      </c>
      <c r="U36" s="494"/>
      <c r="V36" s="249">
        <f>ROUND(Conv!P41,-2)</f>
        <v>129200</v>
      </c>
      <c r="W36" s="72">
        <f>ROUND(Conv!T41,-2)</f>
        <v>129200</v>
      </c>
      <c r="X36" s="232">
        <f>ROUND(Conv!X41,-2)</f>
        <v>215800</v>
      </c>
      <c r="Y36" s="1"/>
    </row>
    <row r="37" spans="1:28" x14ac:dyDescent="0.3">
      <c r="A37" s="1"/>
      <c r="B37" s="1"/>
      <c r="C37" s="1"/>
      <c r="D37" s="1"/>
      <c r="E37" s="1"/>
      <c r="F37" s="1"/>
      <c r="G37" s="1"/>
      <c r="H37" s="1"/>
      <c r="I37" s="1"/>
      <c r="J37" s="1"/>
      <c r="K37" s="1"/>
      <c r="L37" s="1"/>
      <c r="M37" s="1"/>
      <c r="N37" s="1"/>
      <c r="O37" s="1"/>
      <c r="P37" s="1"/>
      <c r="R37" s="20"/>
      <c r="S37" s="21" t="s">
        <v>40</v>
      </c>
      <c r="T37" s="495">
        <f>Run!$AO$38</f>
        <v>0.3404709683731596</v>
      </c>
      <c r="U37" s="496"/>
      <c r="V37" s="434">
        <f>V36/V34</f>
        <v>0.90476190476190477</v>
      </c>
      <c r="W37" s="432">
        <f t="shared" ref="W37:X37" si="3">W36/W34</f>
        <v>0.49256576439191763</v>
      </c>
      <c r="X37" s="435">
        <f t="shared" si="3"/>
        <v>0.56462585034013602</v>
      </c>
      <c r="Y37" s="1"/>
    </row>
    <row r="38" spans="1:28" x14ac:dyDescent="0.3">
      <c r="A38" s="1"/>
      <c r="B38" s="1"/>
      <c r="C38" s="1"/>
      <c r="D38" s="1"/>
      <c r="E38" s="1"/>
      <c r="F38" s="1"/>
      <c r="G38" s="1"/>
      <c r="H38" s="1"/>
      <c r="I38" s="1"/>
      <c r="J38" s="1"/>
      <c r="K38" s="1"/>
      <c r="L38" s="1"/>
      <c r="M38" s="1"/>
      <c r="N38" s="1"/>
      <c r="O38" s="1"/>
      <c r="P38" s="1"/>
      <c r="R38" s="370" t="s">
        <v>474</v>
      </c>
      <c r="S38" s="24"/>
      <c r="T38" s="491">
        <f>ROUND(Run!H38,-2)</f>
        <v>305600</v>
      </c>
      <c r="U38" s="492"/>
      <c r="V38" s="433">
        <f>V39+V40</f>
        <v>125800</v>
      </c>
      <c r="W38" s="75">
        <f t="shared" ref="W38" si="4">W39+W40</f>
        <v>231000</v>
      </c>
      <c r="X38" s="243">
        <f t="shared" ref="X38" si="5">X39+X40</f>
        <v>336600</v>
      </c>
      <c r="Y38" s="1"/>
    </row>
    <row r="39" spans="1:28" x14ac:dyDescent="0.3">
      <c r="A39" s="1"/>
      <c r="B39" s="1"/>
      <c r="C39" s="1"/>
      <c r="D39" s="1"/>
      <c r="E39" s="1"/>
      <c r="F39" s="1"/>
      <c r="G39" s="1"/>
      <c r="H39" s="1"/>
      <c r="I39" s="1"/>
      <c r="J39" s="1"/>
      <c r="K39" s="1"/>
      <c r="L39" s="1"/>
      <c r="M39" s="1"/>
      <c r="N39" s="1"/>
      <c r="O39" s="1"/>
      <c r="P39" s="1"/>
      <c r="R39" s="3"/>
      <c r="S39" t="s">
        <v>35</v>
      </c>
      <c r="T39" s="493">
        <f>ROUND(T38-T40,-2)</f>
        <v>201600</v>
      </c>
      <c r="U39" s="494"/>
      <c r="V39" s="249">
        <f>ROUND(Conv!P11,-2)</f>
        <v>12000</v>
      </c>
      <c r="W39" s="72">
        <f>ROUND(Conv!T11,-2)</f>
        <v>117200</v>
      </c>
      <c r="X39" s="232">
        <f>ROUND(Conv!X11,-2)</f>
        <v>146500</v>
      </c>
      <c r="Y39" s="1"/>
    </row>
    <row r="40" spans="1:28" x14ac:dyDescent="0.3">
      <c r="A40" s="1"/>
      <c r="B40" s="1"/>
      <c r="C40" s="1"/>
      <c r="D40" s="1"/>
      <c r="E40" s="1"/>
      <c r="F40" s="1"/>
      <c r="G40" s="1"/>
      <c r="H40" s="1"/>
      <c r="I40" s="1"/>
      <c r="J40" s="1"/>
      <c r="K40" s="1"/>
      <c r="L40" s="1"/>
      <c r="M40" s="1"/>
      <c r="N40" s="1"/>
      <c r="O40" s="1"/>
      <c r="P40" s="1"/>
      <c r="R40" s="3"/>
      <c r="S40" t="s">
        <v>39</v>
      </c>
      <c r="T40" s="493">
        <f>ROUND(T38*T41,-2)</f>
        <v>104000</v>
      </c>
      <c r="U40" s="494"/>
      <c r="V40" s="249">
        <f>ROUND(Conv!P38,-2)</f>
        <v>113800</v>
      </c>
      <c r="W40" s="72">
        <f>ROUND(Conv!T38,-2)</f>
        <v>113800</v>
      </c>
      <c r="X40" s="232">
        <f>ROUND(Conv!X38,-2)</f>
        <v>190100</v>
      </c>
      <c r="Y40" s="1"/>
    </row>
    <row r="41" spans="1:28" x14ac:dyDescent="0.3">
      <c r="A41" s="1"/>
      <c r="B41" s="1"/>
      <c r="C41" s="1"/>
      <c r="D41" s="1"/>
      <c r="E41" s="1"/>
      <c r="F41" s="1"/>
      <c r="G41" s="1"/>
      <c r="H41" s="1"/>
      <c r="I41" s="1"/>
      <c r="J41" s="1"/>
      <c r="K41" s="1"/>
      <c r="L41" s="1"/>
      <c r="M41" s="1"/>
      <c r="N41" s="1"/>
      <c r="O41" s="1"/>
      <c r="P41" s="1"/>
      <c r="R41" s="20"/>
      <c r="S41" s="21" t="s">
        <v>40</v>
      </c>
      <c r="T41" s="495">
        <f>Run!$AO$38</f>
        <v>0.3404709683731596</v>
      </c>
      <c r="U41" s="496"/>
      <c r="V41" s="434">
        <f>V40/V38</f>
        <v>0.90461049284578698</v>
      </c>
      <c r="W41" s="432">
        <f t="shared" ref="W41" si="6">W40/W38</f>
        <v>0.49264069264069266</v>
      </c>
      <c r="X41" s="435">
        <f t="shared" ref="X41" si="7">X40/X38</f>
        <v>0.56476530005941772</v>
      </c>
      <c r="Y41" s="1"/>
    </row>
    <row r="42" spans="1:28" x14ac:dyDescent="0.3">
      <c r="A42" s="1"/>
      <c r="B42" s="1"/>
      <c r="C42" s="1"/>
      <c r="D42" s="1"/>
      <c r="E42" s="1"/>
      <c r="F42" s="1"/>
      <c r="G42" s="1"/>
      <c r="H42" s="1"/>
      <c r="I42" s="1"/>
      <c r="J42" s="1"/>
      <c r="K42" s="1"/>
      <c r="L42" s="1"/>
      <c r="M42" s="1"/>
      <c r="N42" s="1"/>
      <c r="O42" s="1"/>
      <c r="P42" s="1"/>
      <c r="R42" s="22" t="s">
        <v>264</v>
      </c>
      <c r="T42" s="491">
        <f>ROUND(Run!AS38,-2)</f>
        <v>231500</v>
      </c>
      <c r="U42" s="492"/>
      <c r="V42" s="433">
        <f>V43+V44</f>
        <v>93100</v>
      </c>
      <c r="W42" s="75">
        <f t="shared" ref="W42" si="8">W43+W44</f>
        <v>170900</v>
      </c>
      <c r="X42" s="243">
        <f t="shared" ref="X42" si="9">X43+X44</f>
        <v>249100</v>
      </c>
      <c r="Y42" s="1"/>
    </row>
    <row r="43" spans="1:28" x14ac:dyDescent="0.3">
      <c r="A43" s="1"/>
      <c r="B43" s="1"/>
      <c r="C43" s="1"/>
      <c r="D43" s="1"/>
      <c r="E43" s="1"/>
      <c r="F43" s="1"/>
      <c r="G43" s="1"/>
      <c r="H43" s="1"/>
      <c r="I43" s="1"/>
      <c r="J43" s="1"/>
      <c r="K43" s="1"/>
      <c r="L43" s="1"/>
      <c r="M43" s="1"/>
      <c r="N43" s="1"/>
      <c r="O43" s="1"/>
      <c r="P43" s="1"/>
      <c r="R43" s="3"/>
      <c r="S43" t="s">
        <v>35</v>
      </c>
      <c r="T43" s="493">
        <f>ROUND(T42-T44,-2)</f>
        <v>152700</v>
      </c>
      <c r="U43" s="494"/>
      <c r="V43" s="249">
        <f>ROUND(Conv!P8,-2)</f>
        <v>8900</v>
      </c>
      <c r="W43" s="72">
        <f>ROUND(Conv!T8,-2)</f>
        <v>86700</v>
      </c>
      <c r="X43" s="232">
        <f>ROUND(Conv!X8,-2)</f>
        <v>108400</v>
      </c>
      <c r="Y43" s="1"/>
      <c r="AA43" s="50"/>
    </row>
    <row r="44" spans="1:28" x14ac:dyDescent="0.3">
      <c r="A44" s="1"/>
      <c r="B44" s="1"/>
      <c r="C44" s="1"/>
      <c r="D44" s="1"/>
      <c r="E44" s="1"/>
      <c r="F44" s="1"/>
      <c r="G44" s="1"/>
      <c r="H44" s="1"/>
      <c r="I44" s="1"/>
      <c r="J44" s="1"/>
      <c r="K44" s="1"/>
      <c r="L44" s="1"/>
      <c r="M44" s="1"/>
      <c r="N44" s="1"/>
      <c r="O44" s="1"/>
      <c r="P44" s="1"/>
      <c r="R44" s="3"/>
      <c r="S44" t="s">
        <v>39</v>
      </c>
      <c r="T44" s="493">
        <f>ROUND(T42*T45,-2)</f>
        <v>78800</v>
      </c>
      <c r="U44" s="494"/>
      <c r="V44" s="249">
        <f>ROUND(Conv!P35,-2)</f>
        <v>84200</v>
      </c>
      <c r="W44" s="72">
        <f>ROUND(Conv!T35,-2)</f>
        <v>84200</v>
      </c>
      <c r="X44" s="232">
        <f>ROUND(Conv!X35,-2)</f>
        <v>140700</v>
      </c>
      <c r="Y44" s="1"/>
    </row>
    <row r="45" spans="1:28" x14ac:dyDescent="0.3">
      <c r="A45" s="1"/>
      <c r="B45" s="1"/>
      <c r="C45" s="1"/>
      <c r="D45" s="1"/>
      <c r="E45" s="1"/>
      <c r="F45" s="1"/>
      <c r="G45" s="1"/>
      <c r="H45" s="1"/>
      <c r="I45" s="1"/>
      <c r="J45" s="1"/>
      <c r="K45" s="1"/>
      <c r="L45" s="1"/>
      <c r="M45" s="1"/>
      <c r="N45" s="1"/>
      <c r="O45" s="1"/>
      <c r="P45" s="1"/>
      <c r="R45" s="20"/>
      <c r="S45" s="21" t="s">
        <v>40</v>
      </c>
      <c r="T45" s="495">
        <f>Run!$AO$38</f>
        <v>0.3404709683731596</v>
      </c>
      <c r="U45" s="496"/>
      <c r="V45" s="434">
        <f>V44/V42</f>
        <v>0.90440386680988183</v>
      </c>
      <c r="W45" s="432">
        <f t="shared" ref="W45" si="10">W44/W42</f>
        <v>0.49268578115857226</v>
      </c>
      <c r="X45" s="435">
        <f t="shared" ref="X45" si="11">X44/X42</f>
        <v>0.56483340024086715</v>
      </c>
      <c r="Y45" s="1"/>
    </row>
    <row r="46" spans="1:28" x14ac:dyDescent="0.3">
      <c r="A46" s="1"/>
      <c r="B46" s="1"/>
      <c r="C46" s="1"/>
      <c r="D46" s="1"/>
      <c r="E46" s="1"/>
      <c r="F46" s="1"/>
      <c r="G46" s="1"/>
      <c r="H46" s="1"/>
      <c r="I46" s="1"/>
      <c r="J46" s="1"/>
      <c r="K46" s="1"/>
      <c r="L46" s="1"/>
      <c r="M46" s="1"/>
      <c r="N46" s="1"/>
      <c r="O46" s="1"/>
      <c r="P46" s="1"/>
      <c r="R46" s="23" t="s">
        <v>545</v>
      </c>
      <c r="S46" s="24"/>
      <c r="T46" s="491">
        <f>ROUND(T47+T48,-2)</f>
        <v>133000</v>
      </c>
      <c r="U46" s="492"/>
      <c r="V46" s="433">
        <f>V47+V48</f>
        <v>54700</v>
      </c>
      <c r="W46" s="75">
        <f t="shared" ref="W46" si="12">W47+W48</f>
        <v>100500</v>
      </c>
      <c r="X46" s="243">
        <f t="shared" ref="X46" si="13">X47+X48</f>
        <v>146300</v>
      </c>
      <c r="Y46" s="1"/>
    </row>
    <row r="47" spans="1:28" x14ac:dyDescent="0.3">
      <c r="A47" s="1"/>
      <c r="B47" s="1"/>
      <c r="C47" s="1"/>
      <c r="D47" s="1"/>
      <c r="E47" s="1"/>
      <c r="F47" s="1"/>
      <c r="G47" s="1"/>
      <c r="H47" s="1"/>
      <c r="I47" s="1"/>
      <c r="J47" s="1"/>
      <c r="K47" s="1"/>
      <c r="L47" s="1"/>
      <c r="M47" s="1"/>
      <c r="N47" s="1"/>
      <c r="O47" s="1"/>
      <c r="P47" s="1"/>
      <c r="R47" s="3"/>
      <c r="S47" t="s">
        <v>35</v>
      </c>
      <c r="T47" s="493">
        <f>ROUND(Run!AM38,-2)</f>
        <v>87600</v>
      </c>
      <c r="U47" s="494"/>
      <c r="V47" s="249">
        <f>ROUND(Conv!P5,-2)</f>
        <v>5200</v>
      </c>
      <c r="W47" s="72">
        <f>ROUND(Conv!T5,-2)</f>
        <v>51000</v>
      </c>
      <c r="X47" s="232">
        <f>ROUND(Conv!X5,-2)</f>
        <v>63700</v>
      </c>
      <c r="Y47" s="1"/>
    </row>
    <row r="48" spans="1:28" x14ac:dyDescent="0.3">
      <c r="A48" s="1"/>
      <c r="B48" s="1"/>
      <c r="C48" s="1"/>
      <c r="D48" s="1"/>
      <c r="E48" s="1"/>
      <c r="F48" s="1"/>
      <c r="G48" s="1"/>
      <c r="H48" s="1"/>
      <c r="I48" s="1"/>
      <c r="J48" s="1"/>
      <c r="K48" s="1"/>
      <c r="L48" s="1"/>
      <c r="M48" s="1"/>
      <c r="N48" s="1"/>
      <c r="O48" s="1"/>
      <c r="P48" s="1"/>
      <c r="R48" s="3"/>
      <c r="S48" t="s">
        <v>39</v>
      </c>
      <c r="T48" s="493">
        <f>ROUND(Run!AL38+Run!AN38,-2)</f>
        <v>45400</v>
      </c>
      <c r="U48" s="494"/>
      <c r="V48" s="249">
        <f>ROUND(Conv!P32,-2)</f>
        <v>49500</v>
      </c>
      <c r="W48" s="72">
        <f>ROUND(Conv!T32,-2)</f>
        <v>49500</v>
      </c>
      <c r="X48" s="232">
        <f>ROUND(Conv!X32,-2)</f>
        <v>82600</v>
      </c>
      <c r="Y48" s="1"/>
    </row>
    <row r="49" spans="1:28" x14ac:dyDescent="0.3">
      <c r="A49" s="1"/>
      <c r="B49" s="1"/>
      <c r="C49" s="1"/>
      <c r="D49" s="1"/>
      <c r="E49" s="1"/>
      <c r="F49" s="1"/>
      <c r="G49" s="1"/>
      <c r="H49" s="1"/>
      <c r="I49" s="1"/>
      <c r="J49" s="1"/>
      <c r="K49" s="1"/>
      <c r="L49" s="1"/>
      <c r="M49" s="1"/>
      <c r="N49" s="1"/>
      <c r="O49" s="1"/>
      <c r="P49" s="1"/>
      <c r="R49" s="20"/>
      <c r="S49" s="21" t="s">
        <v>40</v>
      </c>
      <c r="T49" s="495">
        <f>T48/T46</f>
        <v>0.34135338345864663</v>
      </c>
      <c r="U49" s="496"/>
      <c r="V49" s="434">
        <f>V48/V46</f>
        <v>0.90493601462522855</v>
      </c>
      <c r="W49" s="432">
        <f t="shared" ref="W49" si="14">W48/W46</f>
        <v>0.4925373134328358</v>
      </c>
      <c r="X49" s="435">
        <f t="shared" ref="X49" si="15">X48/X46</f>
        <v>0.56459330143540665</v>
      </c>
      <c r="Y49" s="1"/>
    </row>
    <row r="50" spans="1:28" x14ac:dyDescent="0.3">
      <c r="A50" s="1"/>
      <c r="B50" s="1"/>
      <c r="C50" s="1"/>
      <c r="D50" s="1"/>
      <c r="E50" s="1"/>
      <c r="F50" s="1"/>
      <c r="G50" s="1"/>
      <c r="H50" s="1"/>
      <c r="I50" s="1"/>
      <c r="J50" s="1"/>
      <c r="K50" s="1"/>
      <c r="L50" s="1"/>
      <c r="M50" s="1"/>
      <c r="N50" s="1"/>
      <c r="O50" s="1"/>
      <c r="P50" s="1"/>
      <c r="R50" s="23" t="s">
        <v>41</v>
      </c>
      <c r="S50" s="24"/>
      <c r="T50" s="491">
        <f>ROUND(Run!T38,-2)</f>
        <v>136200</v>
      </c>
      <c r="U50" s="492"/>
      <c r="V50" s="433">
        <f>V51+V52</f>
        <v>57300</v>
      </c>
      <c r="W50" s="75">
        <f t="shared" ref="W50" si="16">W51+W52</f>
        <v>105100</v>
      </c>
      <c r="X50" s="243">
        <f t="shared" ref="X50" si="17">X51+X52</f>
        <v>153200</v>
      </c>
      <c r="Y50" s="1"/>
    </row>
    <row r="51" spans="1:28" x14ac:dyDescent="0.3">
      <c r="A51" s="1"/>
      <c r="B51" s="1"/>
      <c r="C51" s="1"/>
      <c r="D51" s="1"/>
      <c r="E51" s="1"/>
      <c r="F51" s="1"/>
      <c r="G51" s="1"/>
      <c r="H51" s="1"/>
      <c r="I51" s="1"/>
      <c r="J51" s="1"/>
      <c r="K51" s="1"/>
      <c r="L51" s="1"/>
      <c r="M51" s="1"/>
      <c r="N51" s="1"/>
      <c r="O51" s="1"/>
      <c r="P51" s="1"/>
      <c r="R51" s="3"/>
      <c r="S51" t="s">
        <v>35</v>
      </c>
      <c r="T51" s="493">
        <f>ROUND(T50-T52,-2)</f>
        <v>89800</v>
      </c>
      <c r="U51" s="494"/>
      <c r="V51" s="249">
        <f>ROUND(Conv!Q18,-2)</f>
        <v>5500</v>
      </c>
      <c r="W51" s="72">
        <f>ROUND(Conv!U18,-2)</f>
        <v>53300</v>
      </c>
      <c r="X51" s="232">
        <f>ROUND(Conv!Y18,-2)</f>
        <v>66700</v>
      </c>
      <c r="Y51" s="1"/>
    </row>
    <row r="52" spans="1:28" x14ac:dyDescent="0.3">
      <c r="A52" s="1"/>
      <c r="B52" s="1"/>
      <c r="C52" s="1"/>
      <c r="D52" s="1"/>
      <c r="E52" s="1"/>
      <c r="F52" s="1"/>
      <c r="G52" s="1"/>
      <c r="H52" s="1"/>
      <c r="I52" s="1"/>
      <c r="J52" s="1"/>
      <c r="K52" s="1"/>
      <c r="L52" s="1"/>
      <c r="M52" s="1"/>
      <c r="N52" s="1"/>
      <c r="O52" s="1"/>
      <c r="P52" s="1"/>
      <c r="R52" s="3"/>
      <c r="S52" t="s">
        <v>39</v>
      </c>
      <c r="T52" s="493">
        <f>ROUND(T50*T53,-2)</f>
        <v>46400</v>
      </c>
      <c r="U52" s="494"/>
      <c r="V52" s="249">
        <f>ROUND(Conv!Q48,-2)</f>
        <v>51800</v>
      </c>
      <c r="W52" s="72">
        <f>ROUND(Conv!U48,-2)</f>
        <v>51800</v>
      </c>
      <c r="X52" s="232">
        <f>ROUND(Conv!Y48,-2)</f>
        <v>86500</v>
      </c>
      <c r="Y52" s="1"/>
    </row>
    <row r="53" spans="1:28" x14ac:dyDescent="0.3">
      <c r="A53" s="1"/>
      <c r="B53" s="1"/>
      <c r="C53" s="1"/>
      <c r="D53" s="1"/>
      <c r="E53" s="1"/>
      <c r="F53" s="1"/>
      <c r="G53" s="1"/>
      <c r="H53" s="1"/>
      <c r="I53" s="1"/>
      <c r="J53" s="1"/>
      <c r="K53" s="1"/>
      <c r="L53" s="1"/>
      <c r="M53" s="1"/>
      <c r="N53" s="1"/>
      <c r="O53" s="1"/>
      <c r="P53" s="1"/>
      <c r="R53" s="20"/>
      <c r="S53" s="21" t="s">
        <v>40</v>
      </c>
      <c r="T53" s="495">
        <f>Run!$AO$38</f>
        <v>0.3404709683731596</v>
      </c>
      <c r="U53" s="496"/>
      <c r="V53" s="434">
        <f>V52/V50</f>
        <v>0.90401396160558467</v>
      </c>
      <c r="W53" s="432">
        <f t="shared" ref="W53" si="18">W52/W50</f>
        <v>0.49286393910561371</v>
      </c>
      <c r="X53" s="435">
        <f t="shared" ref="X53" si="19">X52/X50</f>
        <v>0.56462140992167098</v>
      </c>
      <c r="Y53" s="1"/>
      <c r="AB53" s="9" t="s">
        <v>473</v>
      </c>
    </row>
    <row r="54" spans="1:28" x14ac:dyDescent="0.3">
      <c r="A54" s="1"/>
      <c r="B54" s="1"/>
      <c r="C54" s="1"/>
      <c r="D54" s="1"/>
      <c r="E54" s="1"/>
      <c r="F54" s="1"/>
      <c r="G54" s="1"/>
      <c r="H54" s="1"/>
      <c r="I54" s="1"/>
      <c r="J54" s="1"/>
      <c r="K54" s="1"/>
      <c r="L54" s="1"/>
      <c r="M54" s="1"/>
      <c r="N54" s="1"/>
      <c r="O54" s="1"/>
      <c r="P54" s="1"/>
      <c r="R54" s="23" t="s">
        <v>475</v>
      </c>
      <c r="S54" s="24"/>
      <c r="T54" s="491">
        <f>X30</f>
        <v>327900</v>
      </c>
      <c r="U54" s="492"/>
      <c r="V54" s="433">
        <f>V55+V56</f>
        <v>136100</v>
      </c>
      <c r="W54" s="75">
        <f t="shared" ref="W54" si="20">W55+W56</f>
        <v>250000</v>
      </c>
      <c r="X54" s="243">
        <f t="shared" ref="X54" si="21">X55+X56</f>
        <v>364300</v>
      </c>
      <c r="Y54" s="1"/>
    </row>
    <row r="55" spans="1:28" x14ac:dyDescent="0.3">
      <c r="A55" s="1"/>
      <c r="B55" s="1"/>
      <c r="C55" s="1"/>
      <c r="D55" s="1"/>
      <c r="E55" s="1"/>
      <c r="F55" s="1"/>
      <c r="G55" s="1"/>
      <c r="H55" s="1"/>
      <c r="I55" s="1"/>
      <c r="J55" s="1"/>
      <c r="K55" s="1"/>
      <c r="L55" s="1"/>
      <c r="M55" s="1"/>
      <c r="N55" s="1"/>
      <c r="O55" s="1"/>
      <c r="P55" s="1"/>
      <c r="R55" s="3"/>
      <c r="S55" t="s">
        <v>35</v>
      </c>
      <c r="T55" s="493">
        <f>ROUND(T54-T56,-2)</f>
        <v>216300</v>
      </c>
      <c r="U55" s="494"/>
      <c r="V55" s="249">
        <f>ROUND(Conv!Q26,-2)</f>
        <v>13000</v>
      </c>
      <c r="W55" s="72">
        <f>ROUND(Conv!U26,-2)</f>
        <v>126900</v>
      </c>
      <c r="X55" s="232">
        <f>ROUND(Conv!Y26,-2)</f>
        <v>158600</v>
      </c>
      <c r="Y55" s="1"/>
    </row>
    <row r="56" spans="1:28" x14ac:dyDescent="0.3">
      <c r="A56" s="1"/>
      <c r="B56" s="1"/>
      <c r="C56" s="1"/>
      <c r="D56" s="1"/>
      <c r="E56" s="1"/>
      <c r="F56" s="1"/>
      <c r="G56" s="1"/>
      <c r="H56" s="1"/>
      <c r="I56" s="1"/>
      <c r="J56" s="1"/>
      <c r="K56" s="1"/>
      <c r="L56" s="1"/>
      <c r="M56" s="1"/>
      <c r="N56" s="1"/>
      <c r="O56" s="1"/>
      <c r="P56" s="1"/>
      <c r="R56" s="3"/>
      <c r="S56" t="s">
        <v>39</v>
      </c>
      <c r="T56" s="493">
        <f>ROUND(T54*T57,-2)</f>
        <v>111600</v>
      </c>
      <c r="U56" s="494"/>
      <c r="V56" s="249">
        <f>ROUND(Conv!Q56,-2)</f>
        <v>123100</v>
      </c>
      <c r="W56" s="72">
        <f>ROUND(Conv!U56,-2)</f>
        <v>123100</v>
      </c>
      <c r="X56" s="232">
        <f>ROUND(Conv!Y56,-2)</f>
        <v>205700</v>
      </c>
      <c r="Y56" s="1"/>
    </row>
    <row r="57" spans="1:28" x14ac:dyDescent="0.3">
      <c r="A57" s="1"/>
      <c r="B57" s="1"/>
      <c r="C57" s="1"/>
      <c r="D57" s="1"/>
      <c r="E57" s="1"/>
      <c r="F57" s="1"/>
      <c r="G57" s="1"/>
      <c r="H57" s="1"/>
      <c r="I57" s="1"/>
      <c r="J57" s="1"/>
      <c r="K57" s="1"/>
      <c r="L57" s="1"/>
      <c r="M57" s="1"/>
      <c r="N57" s="1"/>
      <c r="O57" s="1"/>
      <c r="P57" s="76"/>
      <c r="R57" s="20"/>
      <c r="S57" s="21" t="s">
        <v>40</v>
      </c>
      <c r="T57" s="495">
        <f>Run!$AO$38</f>
        <v>0.3404709683731596</v>
      </c>
      <c r="U57" s="496"/>
      <c r="V57" s="434">
        <f>V56/V54</f>
        <v>0.90448199853049227</v>
      </c>
      <c r="W57" s="432">
        <f t="shared" ref="W57" si="22">W56/W54</f>
        <v>0.4924</v>
      </c>
      <c r="X57" s="435">
        <f t="shared" ref="X57" si="23">X56/X54</f>
        <v>0.56464452374416685</v>
      </c>
      <c r="Y57" s="1"/>
    </row>
    <row r="58" spans="1:28" x14ac:dyDescent="0.3">
      <c r="A58" s="1"/>
      <c r="B58" s="1"/>
      <c r="C58" s="1"/>
      <c r="D58" s="1"/>
      <c r="E58" s="1"/>
      <c r="F58" s="1"/>
      <c r="G58" s="1"/>
      <c r="H58" s="1"/>
      <c r="I58" s="1"/>
      <c r="J58" s="1"/>
      <c r="K58" s="1"/>
      <c r="L58" s="1"/>
      <c r="M58" s="1"/>
      <c r="N58" s="1"/>
      <c r="O58" s="1"/>
      <c r="P58" s="76"/>
      <c r="R58" s="1"/>
      <c r="S58" s="1"/>
      <c r="T58" s="1"/>
      <c r="U58" s="1"/>
      <c r="V58" s="1"/>
      <c r="W58" s="1"/>
      <c r="X58" s="1"/>
      <c r="Y58" s="1"/>
    </row>
    <row r="59" spans="1:28" x14ac:dyDescent="0.3">
      <c r="A59" s="1"/>
      <c r="B59" s="1"/>
      <c r="C59" s="1"/>
      <c r="D59" s="1"/>
      <c r="E59" s="1"/>
      <c r="F59" s="1"/>
      <c r="G59" s="1"/>
      <c r="H59" s="1"/>
      <c r="I59" s="1"/>
      <c r="J59" s="1"/>
      <c r="K59" s="1"/>
      <c r="L59" s="1"/>
      <c r="M59" s="1"/>
      <c r="N59" s="1"/>
      <c r="O59" s="1"/>
      <c r="P59" s="76"/>
    </row>
    <row r="60" spans="1:28" x14ac:dyDescent="0.3">
      <c r="A60" s="1"/>
      <c r="B60" s="1"/>
      <c r="C60" s="1"/>
      <c r="D60" s="1"/>
      <c r="E60" s="1"/>
      <c r="F60" s="1"/>
      <c r="G60" s="1"/>
      <c r="H60" s="1"/>
      <c r="I60" s="1"/>
      <c r="J60" s="1"/>
      <c r="K60" s="1"/>
      <c r="L60" s="1"/>
      <c r="M60" s="1"/>
      <c r="N60" s="1"/>
      <c r="O60" s="1"/>
      <c r="P60" s="1"/>
    </row>
    <row r="61" spans="1:28" x14ac:dyDescent="0.3">
      <c r="A61" s="1"/>
      <c r="B61" s="1"/>
      <c r="C61" s="1"/>
      <c r="D61" s="1"/>
      <c r="E61" s="1"/>
      <c r="F61" s="1"/>
      <c r="G61" s="1"/>
      <c r="H61" s="1"/>
      <c r="I61" s="1"/>
      <c r="J61" s="1"/>
      <c r="K61" s="1"/>
      <c r="L61" s="1"/>
      <c r="M61" s="1"/>
      <c r="N61" s="1"/>
      <c r="O61" s="1"/>
      <c r="P61" s="1"/>
    </row>
    <row r="62" spans="1:28" x14ac:dyDescent="0.3">
      <c r="A62" s="1"/>
      <c r="B62" s="1"/>
      <c r="C62" s="1"/>
      <c r="D62" s="1"/>
      <c r="E62" s="1"/>
      <c r="F62" s="1"/>
      <c r="G62" s="1"/>
      <c r="H62" s="1"/>
      <c r="I62" s="1"/>
      <c r="J62" s="1"/>
      <c r="K62" s="1"/>
      <c r="L62" s="1"/>
      <c r="M62" s="1"/>
      <c r="N62" s="1"/>
      <c r="O62" s="1"/>
      <c r="P62" s="1"/>
      <c r="X62" s="50"/>
    </row>
    <row r="63" spans="1:28" x14ac:dyDescent="0.3">
      <c r="A63" s="1"/>
      <c r="B63" s="1"/>
      <c r="C63" s="1"/>
      <c r="D63" s="1"/>
      <c r="E63" s="1"/>
      <c r="F63" s="1"/>
      <c r="G63" s="1"/>
      <c r="H63" s="1"/>
      <c r="I63" s="1"/>
      <c r="J63" s="1"/>
      <c r="K63" s="1"/>
      <c r="L63" s="1"/>
      <c r="M63" s="1"/>
      <c r="N63" s="1"/>
      <c r="O63" s="1"/>
      <c r="P63" s="1"/>
    </row>
    <row r="64" spans="1:28" x14ac:dyDescent="0.3">
      <c r="A64" s="1"/>
      <c r="B64" s="1"/>
      <c r="C64" s="1"/>
      <c r="D64" s="1"/>
      <c r="E64" s="1"/>
      <c r="F64" s="1"/>
      <c r="G64" s="1"/>
      <c r="H64" s="1"/>
      <c r="I64" s="1"/>
      <c r="J64" s="1"/>
      <c r="K64" s="1"/>
      <c r="L64" s="1"/>
      <c r="M64" s="1"/>
      <c r="N64" s="1"/>
      <c r="O64" s="1"/>
      <c r="P64" s="1"/>
    </row>
    <row r="65" spans="1:26" x14ac:dyDescent="0.3">
      <c r="A65" s="1"/>
      <c r="B65" s="1"/>
      <c r="C65" s="1"/>
      <c r="D65" s="1"/>
      <c r="E65" s="1"/>
      <c r="F65" s="1"/>
      <c r="G65" s="1"/>
      <c r="H65" s="1"/>
      <c r="I65" s="1"/>
      <c r="J65" s="1"/>
      <c r="K65" s="1"/>
      <c r="L65" s="1"/>
      <c r="M65" s="1"/>
      <c r="N65" s="1"/>
      <c r="O65" s="1"/>
      <c r="P65" s="1"/>
    </row>
    <row r="66" spans="1:26" x14ac:dyDescent="0.3">
      <c r="A66" s="1"/>
      <c r="B66" s="1"/>
      <c r="C66" s="1"/>
      <c r="D66" s="1"/>
      <c r="E66" s="1"/>
      <c r="F66" s="1"/>
      <c r="G66" s="1"/>
      <c r="H66" s="1"/>
      <c r="I66" s="1"/>
      <c r="J66" s="1"/>
      <c r="K66" s="1"/>
      <c r="L66" s="1"/>
      <c r="M66" s="1"/>
      <c r="N66" s="1"/>
      <c r="O66" s="1"/>
      <c r="P66" s="76"/>
    </row>
    <row r="67" spans="1:26" x14ac:dyDescent="0.3">
      <c r="A67" s="1"/>
      <c r="B67" s="1"/>
      <c r="C67" s="1"/>
      <c r="D67" s="1"/>
      <c r="E67" s="1"/>
      <c r="F67" s="1"/>
      <c r="G67" s="1"/>
      <c r="H67" s="1"/>
      <c r="I67" s="1"/>
      <c r="J67" s="1"/>
      <c r="K67" s="1"/>
      <c r="L67" s="1"/>
      <c r="M67" s="1"/>
      <c r="N67" s="1"/>
      <c r="O67" s="1"/>
      <c r="P67" s="76"/>
    </row>
    <row r="68" spans="1:26" x14ac:dyDescent="0.3">
      <c r="A68" s="1"/>
      <c r="B68" s="1"/>
      <c r="C68" s="1"/>
      <c r="D68" s="1"/>
      <c r="E68" s="1"/>
      <c r="F68" s="1"/>
      <c r="G68" s="1"/>
      <c r="H68" s="1"/>
      <c r="I68" s="1"/>
      <c r="J68" s="1"/>
      <c r="K68" s="1"/>
      <c r="L68" s="1"/>
      <c r="M68" s="1"/>
      <c r="N68" s="1"/>
      <c r="O68" s="1"/>
      <c r="P68" s="1"/>
    </row>
    <row r="69" spans="1:26" x14ac:dyDescent="0.3">
      <c r="A69" s="1"/>
      <c r="B69" s="1"/>
      <c r="C69" s="1"/>
      <c r="D69" s="1"/>
      <c r="E69" s="1"/>
      <c r="F69" s="1"/>
      <c r="G69" s="1"/>
      <c r="H69" s="1"/>
      <c r="I69" s="1"/>
      <c r="J69" s="1"/>
      <c r="K69" s="1"/>
      <c r="L69" s="1"/>
      <c r="M69" s="1"/>
      <c r="N69" s="1"/>
      <c r="O69" s="1"/>
      <c r="P69" s="1"/>
    </row>
    <row r="70" spans="1:26" x14ac:dyDescent="0.3">
      <c r="A70" s="1"/>
      <c r="B70" s="1"/>
      <c r="C70" s="1"/>
      <c r="D70" s="1"/>
      <c r="E70" s="1"/>
      <c r="F70" s="1"/>
      <c r="G70" s="1"/>
      <c r="H70" s="1"/>
      <c r="I70" s="1"/>
      <c r="J70" s="1"/>
      <c r="K70" s="1"/>
      <c r="L70" s="1"/>
      <c r="M70" s="1"/>
      <c r="N70" s="1"/>
      <c r="O70" s="1"/>
      <c r="P70" s="1"/>
    </row>
    <row r="71" spans="1:26" x14ac:dyDescent="0.3">
      <c r="A71" s="1"/>
      <c r="B71" s="1"/>
      <c r="C71" s="1"/>
      <c r="D71" s="1"/>
      <c r="E71" s="1"/>
      <c r="F71" s="1"/>
      <c r="G71" s="1"/>
      <c r="H71" s="1"/>
      <c r="I71" s="1"/>
      <c r="J71" s="1"/>
      <c r="K71" s="1"/>
      <c r="L71" s="1"/>
      <c r="M71" s="1"/>
      <c r="N71" s="1"/>
      <c r="O71" s="1"/>
      <c r="P71" s="1"/>
    </row>
    <row r="72" spans="1:26" x14ac:dyDescent="0.3">
      <c r="A72" s="1"/>
      <c r="B72" s="1"/>
      <c r="C72" s="1"/>
      <c r="D72" s="1"/>
      <c r="E72" s="1"/>
      <c r="F72" s="1"/>
      <c r="G72" s="1"/>
      <c r="H72" s="1"/>
      <c r="I72" s="1"/>
      <c r="J72" s="1"/>
      <c r="K72" s="1"/>
      <c r="L72" s="1"/>
      <c r="M72" s="1"/>
      <c r="N72" s="1"/>
      <c r="O72" s="1"/>
      <c r="P72" s="1"/>
    </row>
    <row r="73" spans="1:26" x14ac:dyDescent="0.3">
      <c r="A73" s="1"/>
      <c r="B73" s="1"/>
      <c r="C73" s="1"/>
      <c r="D73" s="1"/>
      <c r="E73" s="1"/>
      <c r="F73" s="1"/>
      <c r="G73" s="1"/>
      <c r="H73" s="1"/>
      <c r="I73" s="1"/>
      <c r="J73" s="1"/>
      <c r="K73" s="1"/>
      <c r="L73" s="1"/>
      <c r="M73" s="1"/>
      <c r="N73" s="1"/>
      <c r="O73" s="1"/>
      <c r="P73" s="1"/>
    </row>
    <row r="74" spans="1:26" s="463" customFormat="1" ht="18" x14ac:dyDescent="0.35">
      <c r="A74" s="460"/>
      <c r="B74" s="460"/>
      <c r="C74" s="460"/>
      <c r="D74" s="460"/>
      <c r="E74" s="461" t="s">
        <v>259</v>
      </c>
      <c r="F74" s="462">
        <f>T30</f>
        <v>0.61277901095201404</v>
      </c>
      <c r="H74" s="460"/>
      <c r="I74" s="460"/>
      <c r="J74" s="460"/>
      <c r="K74" s="460"/>
      <c r="L74" s="461" t="s">
        <v>74</v>
      </c>
      <c r="M74" s="466">
        <f>(V18+U18)</f>
        <v>14450000</v>
      </c>
      <c r="N74" s="467"/>
      <c r="O74" s="460"/>
      <c r="P74" s="460"/>
      <c r="Q74" s="460"/>
      <c r="Z74" s="460"/>
    </row>
    <row r="75" spans="1:26" ht="6.6" customHeight="1" x14ac:dyDescent="0.3">
      <c r="A75" s="1"/>
      <c r="B75" s="1"/>
      <c r="C75" s="1"/>
      <c r="D75" s="1"/>
      <c r="E75" s="1"/>
      <c r="F75" s="1"/>
      <c r="G75" s="1"/>
      <c r="H75" s="1"/>
      <c r="I75" s="1"/>
      <c r="J75" s="1"/>
      <c r="K75" s="1"/>
      <c r="L75" s="1"/>
      <c r="M75" s="1"/>
      <c r="N75" s="1"/>
      <c r="O75" s="1"/>
      <c r="P75" s="1"/>
    </row>
    <row r="76" spans="1:26" x14ac:dyDescent="0.3">
      <c r="A76" s="1"/>
    </row>
    <row r="77" spans="1:26" x14ac:dyDescent="0.3">
      <c r="A77" s="1"/>
    </row>
    <row r="78" spans="1:26" x14ac:dyDescent="0.3">
      <c r="A78" s="1"/>
    </row>
    <row r="79" spans="1:26" x14ac:dyDescent="0.3">
      <c r="A79" s="1"/>
    </row>
    <row r="80" spans="1:26" x14ac:dyDescent="0.3">
      <c r="A80" s="1"/>
    </row>
    <row r="81" spans="1:1" ht="14.4" customHeight="1" x14ac:dyDescent="0.3">
      <c r="A81" s="1"/>
    </row>
    <row r="82" spans="1:1" x14ac:dyDescent="0.3">
      <c r="A82" s="1"/>
    </row>
    <row r="83" spans="1:1" x14ac:dyDescent="0.3">
      <c r="A83" s="1"/>
    </row>
    <row r="84" spans="1:1" x14ac:dyDescent="0.3">
      <c r="A84" s="1"/>
    </row>
    <row r="85" spans="1:1" x14ac:dyDescent="0.3">
      <c r="A85" s="1"/>
    </row>
    <row r="86" spans="1:1" ht="14.4" customHeight="1" x14ac:dyDescent="0.3">
      <c r="A86" s="1"/>
    </row>
    <row r="87" spans="1:1" x14ac:dyDescent="0.3">
      <c r="A87" s="1"/>
    </row>
    <row r="88" spans="1:1" x14ac:dyDescent="0.3">
      <c r="A88" s="1"/>
    </row>
    <row r="89" spans="1:1" x14ac:dyDescent="0.3">
      <c r="A89" s="1"/>
    </row>
    <row r="90" spans="1:1" x14ac:dyDescent="0.3">
      <c r="A90" s="1"/>
    </row>
    <row r="91" spans="1:1" x14ac:dyDescent="0.3">
      <c r="A91" s="1"/>
    </row>
    <row r="92" spans="1:1" x14ac:dyDescent="0.3">
      <c r="A92" s="1"/>
    </row>
    <row r="93" spans="1:1" x14ac:dyDescent="0.3">
      <c r="A93" s="1"/>
    </row>
    <row r="94" spans="1:1" x14ac:dyDescent="0.3">
      <c r="A94" s="1"/>
    </row>
    <row r="95" spans="1:1" x14ac:dyDescent="0.3">
      <c r="A95" s="1"/>
    </row>
    <row r="96" spans="1:1" x14ac:dyDescent="0.3">
      <c r="A96" s="1"/>
    </row>
    <row r="97" spans="1:8" x14ac:dyDescent="0.3">
      <c r="A97" s="1"/>
    </row>
    <row r="98" spans="1:8" x14ac:dyDescent="0.3">
      <c r="A98" s="1"/>
    </row>
    <row r="99" spans="1:8" x14ac:dyDescent="0.3">
      <c r="A99" s="1"/>
    </row>
    <row r="100" spans="1:8" x14ac:dyDescent="0.3">
      <c r="A100" s="1"/>
    </row>
    <row r="101" spans="1:8" x14ac:dyDescent="0.3">
      <c r="A101" s="1"/>
    </row>
    <row r="102" spans="1:8" x14ac:dyDescent="0.3">
      <c r="A102" s="1"/>
    </row>
    <row r="103" spans="1:8" x14ac:dyDescent="0.3">
      <c r="A103" s="1"/>
    </row>
    <row r="109" spans="1:8" x14ac:dyDescent="0.3">
      <c r="B109" s="1"/>
      <c r="C109" s="1"/>
      <c r="D109" s="1"/>
      <c r="E109" s="1"/>
      <c r="F109" s="1"/>
      <c r="G109" s="1"/>
      <c r="H109" s="1"/>
    </row>
    <row r="110" spans="1:8" x14ac:dyDescent="0.3">
      <c r="B110" s="1"/>
      <c r="C110" s="1"/>
      <c r="D110" s="1"/>
      <c r="E110" s="1"/>
      <c r="F110" s="1"/>
      <c r="G110" s="1"/>
      <c r="H110" s="1"/>
    </row>
    <row r="111" spans="1:8" x14ac:dyDescent="0.3">
      <c r="B111" s="1"/>
      <c r="C111" s="1"/>
      <c r="D111" s="1"/>
      <c r="E111" s="1"/>
      <c r="F111" s="1"/>
      <c r="G111" s="1"/>
      <c r="H111" s="1"/>
    </row>
    <row r="112" spans="1:8" x14ac:dyDescent="0.3">
      <c r="B112" s="1"/>
      <c r="C112" s="1"/>
      <c r="D112" s="1"/>
      <c r="E112" s="1"/>
      <c r="F112" s="1"/>
      <c r="G112" s="1"/>
      <c r="H112" s="1"/>
    </row>
    <row r="113" spans="2:8" x14ac:dyDescent="0.3">
      <c r="B113" s="1"/>
      <c r="C113" s="1"/>
      <c r="D113" s="1"/>
      <c r="E113" s="1"/>
      <c r="F113" s="1"/>
      <c r="G113" s="1"/>
      <c r="H113" s="1"/>
    </row>
    <row r="114" spans="2:8" x14ac:dyDescent="0.3">
      <c r="B114" s="1"/>
      <c r="C114" s="1"/>
      <c r="D114" s="1"/>
      <c r="E114" s="1"/>
      <c r="F114" s="1"/>
      <c r="G114" s="1"/>
      <c r="H114" s="1"/>
    </row>
    <row r="115" spans="2:8" x14ac:dyDescent="0.3">
      <c r="B115" s="1"/>
      <c r="C115" s="1"/>
      <c r="D115" s="1"/>
      <c r="E115" s="1"/>
      <c r="F115" s="1"/>
      <c r="G115" s="1"/>
      <c r="H115" s="1"/>
    </row>
    <row r="116" spans="2:8" x14ac:dyDescent="0.3">
      <c r="B116" s="1"/>
      <c r="C116" s="1"/>
      <c r="D116" s="1"/>
      <c r="E116" s="1"/>
      <c r="F116" s="1"/>
      <c r="G116" s="1"/>
      <c r="H116" s="1"/>
    </row>
    <row r="117" spans="2:8" x14ac:dyDescent="0.3">
      <c r="B117" s="1"/>
      <c r="C117" s="1"/>
      <c r="D117" s="1"/>
      <c r="E117" s="1"/>
      <c r="F117" s="1"/>
      <c r="G117" s="1"/>
      <c r="H117" s="1"/>
    </row>
    <row r="118" spans="2:8" x14ac:dyDescent="0.3">
      <c r="B118" s="1"/>
      <c r="C118" s="1"/>
      <c r="D118" s="1"/>
      <c r="E118" s="1"/>
      <c r="F118" s="1"/>
      <c r="G118" s="1"/>
      <c r="H118" s="1"/>
    </row>
    <row r="119" spans="2:8" x14ac:dyDescent="0.3">
      <c r="B119" s="1"/>
      <c r="C119" s="1"/>
      <c r="D119" s="1"/>
      <c r="E119" s="1"/>
      <c r="F119" s="1"/>
      <c r="G119" s="1"/>
      <c r="H119" s="1"/>
    </row>
    <row r="120" spans="2:8" x14ac:dyDescent="0.3">
      <c r="B120" s="1"/>
      <c r="C120" s="1"/>
      <c r="D120" s="1"/>
      <c r="E120" s="1"/>
      <c r="F120" s="1"/>
      <c r="G120" s="1"/>
      <c r="H120" s="1"/>
    </row>
    <row r="121" spans="2:8" x14ac:dyDescent="0.3">
      <c r="B121" s="1"/>
      <c r="C121" s="1"/>
      <c r="D121" s="1"/>
      <c r="E121" s="1"/>
      <c r="F121" s="1"/>
      <c r="G121" s="1"/>
      <c r="H121" s="1"/>
    </row>
    <row r="122" spans="2:8" x14ac:dyDescent="0.3">
      <c r="B122" s="1"/>
      <c r="C122" s="1"/>
      <c r="D122" s="1"/>
      <c r="E122" s="1"/>
      <c r="F122" s="1"/>
      <c r="G122" s="1"/>
      <c r="H122" s="1"/>
    </row>
    <row r="123" spans="2:8" x14ac:dyDescent="0.3">
      <c r="B123" s="1"/>
      <c r="C123" s="1"/>
      <c r="D123" s="1"/>
      <c r="E123" s="1"/>
      <c r="F123" s="1"/>
      <c r="G123" s="1"/>
      <c r="H123" s="1"/>
    </row>
  </sheetData>
  <mergeCells count="36">
    <mergeCell ref="T53:U53"/>
    <mergeCell ref="T54:U54"/>
    <mergeCell ref="T55:U55"/>
    <mergeCell ref="T56:U56"/>
    <mergeCell ref="T57:U57"/>
    <mergeCell ref="T52:U52"/>
    <mergeCell ref="T46:U46"/>
    <mergeCell ref="T47:U47"/>
    <mergeCell ref="T48:U48"/>
    <mergeCell ref="T49:U49"/>
    <mergeCell ref="T43:U43"/>
    <mergeCell ref="T44:U44"/>
    <mergeCell ref="T45:U45"/>
    <mergeCell ref="T50:U50"/>
    <mergeCell ref="T51:U51"/>
    <mergeCell ref="T38:U38"/>
    <mergeCell ref="T39:U39"/>
    <mergeCell ref="T40:U40"/>
    <mergeCell ref="T41:U41"/>
    <mergeCell ref="T42:U42"/>
    <mergeCell ref="M74:N74"/>
    <mergeCell ref="Y22:Y24"/>
    <mergeCell ref="Y25:Y29"/>
    <mergeCell ref="R5:R8"/>
    <mergeCell ref="R22:R30"/>
    <mergeCell ref="R32:S33"/>
    <mergeCell ref="T13:T14"/>
    <mergeCell ref="W13:W15"/>
    <mergeCell ref="V25:V27"/>
    <mergeCell ref="W22:W29"/>
    <mergeCell ref="T32:U32"/>
    <mergeCell ref="T33:U33"/>
    <mergeCell ref="T34:U34"/>
    <mergeCell ref="T35:U35"/>
    <mergeCell ref="T36:U36"/>
    <mergeCell ref="T37:U37"/>
  </mergeCells>
  <printOptions horizontalCentered="1" verticalCentered="1"/>
  <pageMargins left="0.7" right="0.7" top="0.5" bottom="0.5" header="0.3" footer="0.3"/>
  <pageSetup scale="6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39"/>
  <sheetViews>
    <sheetView workbookViewId="0">
      <pane xSplit="2" ySplit="3" topLeftCell="C7" activePane="bottomRight" state="frozen"/>
      <selection pane="topRight" activeCell="C1" sqref="C1"/>
      <selection pane="bottomLeft" activeCell="A5" sqref="A5"/>
      <selection pane="bottomRight" activeCell="M38" sqref="M38"/>
    </sheetView>
  </sheetViews>
  <sheetFormatPr defaultRowHeight="14.4" x14ac:dyDescent="0.3"/>
  <cols>
    <col min="1" max="1" width="2.88671875" customWidth="1"/>
    <col min="2" max="2" width="7.21875" style="53" customWidth="1"/>
    <col min="3" max="6" width="8.88671875" style="50"/>
    <col min="7" max="7" width="1.6640625" style="50" customWidth="1"/>
    <col min="8" max="8" width="8.88671875" style="50"/>
    <col min="9" max="9" width="1.6640625" customWidth="1"/>
    <col min="15" max="15" width="1.77734375" customWidth="1"/>
    <col min="16" max="20" width="8.88671875" style="50"/>
    <col min="21" max="21" width="3" customWidth="1"/>
    <col min="25" max="25" width="3.21875" customWidth="1"/>
    <col min="26" max="27" width="8.88671875" style="50"/>
    <col min="28" max="28" width="2.109375" style="50" customWidth="1"/>
    <col min="29" max="32" width="8.88671875" style="50"/>
    <col min="33" max="33" width="2.21875" style="50" customWidth="1"/>
    <col min="34" max="36" width="8.88671875" style="50"/>
    <col min="38" max="39" width="8.88671875" style="50"/>
    <col min="42" max="42" width="3.44140625" customWidth="1"/>
    <col min="44" max="44" width="12.44140625" style="50" customWidth="1"/>
    <col min="46" max="46" width="2.21875" style="50" customWidth="1"/>
  </cols>
  <sheetData>
    <row r="1" spans="1:47" x14ac:dyDescent="0.3">
      <c r="A1" t="s">
        <v>537</v>
      </c>
    </row>
    <row r="2" spans="1:47" ht="16.5" customHeight="1" x14ac:dyDescent="0.3">
      <c r="C2" s="50" t="s">
        <v>509</v>
      </c>
      <c r="H2" s="72" t="s">
        <v>510</v>
      </c>
      <c r="J2" t="s">
        <v>511</v>
      </c>
      <c r="P2" s="50" t="s">
        <v>28</v>
      </c>
      <c r="V2" t="s">
        <v>79</v>
      </c>
      <c r="Z2" s="50" t="s">
        <v>28</v>
      </c>
      <c r="AC2" s="50" t="s">
        <v>512</v>
      </c>
      <c r="AH2" s="50" t="s">
        <v>513</v>
      </c>
      <c r="AN2" t="s">
        <v>39</v>
      </c>
      <c r="AO2" t="s">
        <v>514</v>
      </c>
    </row>
    <row r="3" spans="1:47" s="407" customFormat="1" ht="27" customHeight="1" x14ac:dyDescent="0.3">
      <c r="C3" s="408" t="s">
        <v>76</v>
      </c>
      <c r="D3" s="408" t="s">
        <v>515</v>
      </c>
      <c r="E3" s="408" t="s">
        <v>516</v>
      </c>
      <c r="F3" s="408" t="s">
        <v>517</v>
      </c>
      <c r="G3" s="408"/>
      <c r="H3" s="408" t="s">
        <v>517</v>
      </c>
      <c r="J3" s="407" t="s">
        <v>85</v>
      </c>
      <c r="K3" s="407" t="s">
        <v>518</v>
      </c>
      <c r="L3" s="407" t="s">
        <v>519</v>
      </c>
      <c r="M3" s="407" t="s">
        <v>520</v>
      </c>
      <c r="N3" s="407" t="s">
        <v>93</v>
      </c>
      <c r="P3" s="408" t="s">
        <v>85</v>
      </c>
      <c r="Q3" s="408" t="s">
        <v>518</v>
      </c>
      <c r="R3" s="408" t="s">
        <v>519</v>
      </c>
      <c r="S3" s="408" t="s">
        <v>520</v>
      </c>
      <c r="T3" s="408" t="s">
        <v>259</v>
      </c>
      <c r="V3" s="407" t="s">
        <v>521</v>
      </c>
      <c r="W3" s="407" t="s">
        <v>522</v>
      </c>
      <c r="X3" s="407" t="s">
        <v>523</v>
      </c>
      <c r="Z3" s="408" t="s">
        <v>524</v>
      </c>
      <c r="AA3" s="408" t="s">
        <v>525</v>
      </c>
      <c r="AB3" s="408"/>
      <c r="AC3" s="408" t="s">
        <v>526</v>
      </c>
      <c r="AD3" s="408" t="s">
        <v>527</v>
      </c>
      <c r="AE3" s="408" t="s">
        <v>528</v>
      </c>
      <c r="AF3" s="408" t="s">
        <v>529</v>
      </c>
      <c r="AG3" s="408"/>
      <c r="AH3" s="408" t="s">
        <v>530</v>
      </c>
      <c r="AI3" s="408" t="s">
        <v>531</v>
      </c>
      <c r="AJ3" s="408" t="s">
        <v>532</v>
      </c>
      <c r="AK3" s="407" t="s">
        <v>533</v>
      </c>
      <c r="AL3" s="408" t="s">
        <v>538</v>
      </c>
      <c r="AM3" s="408" t="s">
        <v>539</v>
      </c>
      <c r="AN3" s="407" t="s">
        <v>534</v>
      </c>
      <c r="AO3" s="407" t="s">
        <v>535</v>
      </c>
      <c r="AQ3" s="407" t="s">
        <v>536</v>
      </c>
      <c r="AR3" s="408" t="s">
        <v>553</v>
      </c>
      <c r="AS3" s="407" t="s">
        <v>544</v>
      </c>
      <c r="AT3" s="408"/>
      <c r="AU3" s="407" t="s">
        <v>540</v>
      </c>
    </row>
    <row r="4" spans="1:47" x14ac:dyDescent="0.3">
      <c r="B4" s="53">
        <v>1986</v>
      </c>
      <c r="C4" s="50">
        <v>281600</v>
      </c>
      <c r="D4" s="50">
        <v>14856.599946338325</v>
      </c>
      <c r="E4" s="50">
        <v>2830</v>
      </c>
      <c r="F4" s="50">
        <v>263913.40005366167</v>
      </c>
      <c r="AJ4" s="50">
        <v>75928</v>
      </c>
      <c r="AR4" s="50">
        <v>8360</v>
      </c>
      <c r="AU4" s="50">
        <f>F4-AJ4</f>
        <v>187985.40005366167</v>
      </c>
    </row>
    <row r="5" spans="1:47" x14ac:dyDescent="0.3">
      <c r="B5" s="53">
        <v>1987</v>
      </c>
      <c r="C5" s="50">
        <v>420700</v>
      </c>
      <c r="D5" s="50">
        <v>20117.400675939203</v>
      </c>
      <c r="E5" s="50">
        <v>1783</v>
      </c>
      <c r="F5" s="50">
        <v>398799.59932406078</v>
      </c>
      <c r="AJ5" s="50">
        <v>90553</v>
      </c>
      <c r="AR5" s="50">
        <v>14147</v>
      </c>
      <c r="AU5" s="50">
        <f t="shared" ref="AU5:AU35" si="0">F5-AJ5</f>
        <v>308246.59932406078</v>
      </c>
    </row>
    <row r="6" spans="1:47" x14ac:dyDescent="0.3">
      <c r="B6" s="53">
        <v>1988</v>
      </c>
      <c r="C6" s="50">
        <v>339900</v>
      </c>
      <c r="D6" s="50">
        <v>22481.699775992802</v>
      </c>
      <c r="E6" s="50">
        <v>3558</v>
      </c>
      <c r="F6" s="50">
        <v>313860.30022400722</v>
      </c>
      <c r="AJ6" s="50">
        <v>73717</v>
      </c>
      <c r="AR6" s="50">
        <v>9018</v>
      </c>
      <c r="AU6" s="50">
        <f t="shared" si="0"/>
        <v>240143.30022400722</v>
      </c>
    </row>
    <row r="7" spans="1:47" x14ac:dyDescent="0.3">
      <c r="B7" s="53">
        <v>1989</v>
      </c>
      <c r="C7" s="50">
        <v>261300</v>
      </c>
      <c r="D7" s="50">
        <v>13464.25767850521</v>
      </c>
      <c r="E7" s="50">
        <v>1981</v>
      </c>
      <c r="F7" s="50">
        <v>245854.74232149479</v>
      </c>
      <c r="AJ7" s="50">
        <v>70000</v>
      </c>
      <c r="AR7" s="50">
        <v>7207</v>
      </c>
      <c r="AU7" s="50">
        <f t="shared" si="0"/>
        <v>175854.74232149479</v>
      </c>
    </row>
    <row r="8" spans="1:47" x14ac:dyDescent="0.3">
      <c r="B8" s="53">
        <v>1990</v>
      </c>
      <c r="C8" s="50">
        <v>153600</v>
      </c>
      <c r="D8" s="50">
        <v>5963.4441772721038</v>
      </c>
      <c r="E8" s="50">
        <v>508</v>
      </c>
      <c r="F8" s="50">
        <v>147128.55582272791</v>
      </c>
      <c r="AJ8" s="50">
        <v>45000</v>
      </c>
      <c r="AR8" s="50">
        <v>3288</v>
      </c>
      <c r="AU8" s="50">
        <f t="shared" si="0"/>
        <v>102128.55582272791</v>
      </c>
    </row>
    <row r="9" spans="1:47" x14ac:dyDescent="0.3">
      <c r="B9" s="53">
        <v>1991</v>
      </c>
      <c r="C9" s="50">
        <v>103300</v>
      </c>
      <c r="D9" s="50">
        <v>7921.2794967893815</v>
      </c>
      <c r="E9" s="50">
        <v>1846</v>
      </c>
      <c r="F9" s="50">
        <v>93532.720503210614</v>
      </c>
      <c r="AJ9" s="50">
        <v>40000</v>
      </c>
      <c r="AR9" s="50">
        <v>2492</v>
      </c>
      <c r="AU9" s="50">
        <f t="shared" si="0"/>
        <v>53532.720503210614</v>
      </c>
    </row>
    <row r="10" spans="1:47" x14ac:dyDescent="0.3">
      <c r="B10" s="53">
        <v>1992</v>
      </c>
      <c r="C10" s="50">
        <v>81000</v>
      </c>
      <c r="D10" s="50">
        <v>4642.7400730506197</v>
      </c>
      <c r="E10" s="50">
        <v>1289</v>
      </c>
      <c r="F10" s="50">
        <v>75068.25992694938</v>
      </c>
      <c r="AJ10" s="50">
        <v>35000</v>
      </c>
      <c r="AR10" s="50">
        <v>2112</v>
      </c>
      <c r="AU10" s="50">
        <f t="shared" si="0"/>
        <v>40068.25992694938</v>
      </c>
    </row>
    <row r="11" spans="1:47" x14ac:dyDescent="0.3">
      <c r="B11" s="53">
        <v>1993</v>
      </c>
      <c r="C11" s="50">
        <v>102900</v>
      </c>
      <c r="D11" s="50">
        <v>11071.370949332326</v>
      </c>
      <c r="E11" s="50">
        <v>1475</v>
      </c>
      <c r="F11" s="50">
        <v>90353.629050667674</v>
      </c>
      <c r="AJ11" s="50">
        <v>40000</v>
      </c>
      <c r="AR11" s="50">
        <v>3281</v>
      </c>
      <c r="AU11" s="50">
        <f t="shared" si="0"/>
        <v>50353.629050667674</v>
      </c>
    </row>
    <row r="12" spans="1:47" x14ac:dyDescent="0.3">
      <c r="B12" s="53">
        <v>1994</v>
      </c>
      <c r="C12" s="50">
        <v>132800</v>
      </c>
      <c r="D12" s="50">
        <v>10919.897787241567</v>
      </c>
      <c r="E12" s="50">
        <v>1866.4482758620688</v>
      </c>
      <c r="F12" s="50">
        <v>120013.65393689636</v>
      </c>
      <c r="AJ12" s="50">
        <v>50000</v>
      </c>
      <c r="AR12" s="50">
        <v>6769</v>
      </c>
      <c r="AU12" s="50">
        <f t="shared" si="0"/>
        <v>70013.653936896357</v>
      </c>
    </row>
    <row r="13" spans="1:47" x14ac:dyDescent="0.3">
      <c r="B13" s="53">
        <v>1995</v>
      </c>
      <c r="C13" s="50">
        <v>106500</v>
      </c>
      <c r="D13" s="50">
        <v>10719.260751310452</v>
      </c>
      <c r="E13" s="50">
        <v>3950.948571428572</v>
      </c>
      <c r="F13" s="50">
        <v>91829.790677260986</v>
      </c>
      <c r="AJ13" s="50">
        <v>45000</v>
      </c>
      <c r="AR13" s="50">
        <v>5476</v>
      </c>
      <c r="AU13" s="50">
        <f t="shared" si="0"/>
        <v>46829.790677260986</v>
      </c>
    </row>
    <row r="14" spans="1:47" x14ac:dyDescent="0.3">
      <c r="B14" s="53">
        <v>1996</v>
      </c>
      <c r="C14" s="50">
        <v>143100</v>
      </c>
      <c r="D14" s="50">
        <v>12711.469972362171</v>
      </c>
      <c r="E14" s="50">
        <v>3539.1737089201879</v>
      </c>
      <c r="F14" s="50">
        <v>126849.35631871763</v>
      </c>
      <c r="AJ14" s="50">
        <v>45000</v>
      </c>
      <c r="AR14" s="50">
        <v>4640</v>
      </c>
      <c r="AU14" s="50">
        <f t="shared" si="0"/>
        <v>81849.356318717633</v>
      </c>
    </row>
    <row r="15" spans="1:47" x14ac:dyDescent="0.3">
      <c r="B15" s="53">
        <v>1997</v>
      </c>
      <c r="C15" s="50">
        <v>161700</v>
      </c>
      <c r="D15" s="50">
        <v>25877.94563806021</v>
      </c>
      <c r="E15" s="50">
        <v>3352.247487437186</v>
      </c>
      <c r="F15" s="50">
        <v>132469.8068745026</v>
      </c>
      <c r="AJ15" s="50">
        <v>40000</v>
      </c>
      <c r="AK15">
        <v>0.13400000000000001</v>
      </c>
      <c r="AL15" s="50">
        <v>5360</v>
      </c>
      <c r="AM15" s="50">
        <v>34640</v>
      </c>
      <c r="AR15" s="50">
        <v>4096</v>
      </c>
      <c r="AU15" s="50">
        <f t="shared" si="0"/>
        <v>92469.806874502596</v>
      </c>
    </row>
    <row r="16" spans="1:47" x14ac:dyDescent="0.3">
      <c r="B16" s="53">
        <v>1998</v>
      </c>
      <c r="C16" s="50">
        <v>141600</v>
      </c>
      <c r="D16" s="50">
        <v>19922.451746451265</v>
      </c>
      <c r="E16" s="50">
        <v>4554.150326797384</v>
      </c>
      <c r="F16" s="50">
        <v>117123.39792675135</v>
      </c>
      <c r="H16" s="50">
        <v>113769.33451860886</v>
      </c>
      <c r="J16">
        <v>2.7725988700564974E-2</v>
      </c>
      <c r="K16">
        <v>6.5254237288135597E-3</v>
      </c>
      <c r="L16">
        <v>0.23308615819209039</v>
      </c>
      <c r="M16">
        <v>2.8465704197594015E-2</v>
      </c>
      <c r="N16">
        <v>0.29580327481906293</v>
      </c>
      <c r="P16" s="50">
        <v>3247.3620074888831</v>
      </c>
      <c r="Q16" s="50">
        <v>764.27980003049618</v>
      </c>
      <c r="R16" s="50">
        <v>27299.842857149917</v>
      </c>
      <c r="S16" s="50">
        <v>3334</v>
      </c>
      <c r="T16" s="50">
        <v>34645.484664669297</v>
      </c>
      <c r="V16">
        <v>2.8637005649717516E-2</v>
      </c>
      <c r="W16">
        <v>0.24573775855174668</v>
      </c>
      <c r="X16">
        <v>7.5575201178737395E-2</v>
      </c>
      <c r="Z16" s="50">
        <v>3354.063408142491</v>
      </c>
      <c r="AA16" s="50">
        <v>27957.421256526803</v>
      </c>
      <c r="AD16" s="50">
        <v>1743</v>
      </c>
      <c r="AE16" s="50">
        <v>34</v>
      </c>
      <c r="AF16" s="50">
        <v>1709</v>
      </c>
      <c r="AH16" s="50">
        <v>32710</v>
      </c>
      <c r="AI16" s="50">
        <v>3300</v>
      </c>
      <c r="AJ16" s="50">
        <v>29410</v>
      </c>
      <c r="AK16">
        <v>5.5E-2</v>
      </c>
      <c r="AL16" s="50">
        <v>1617.55</v>
      </c>
      <c r="AM16" s="50">
        <v>27792.45</v>
      </c>
      <c r="AQ16">
        <v>9662</v>
      </c>
      <c r="AR16" s="50">
        <v>3593</v>
      </c>
      <c r="AU16" s="50">
        <f t="shared" si="0"/>
        <v>87713.39792675135</v>
      </c>
    </row>
    <row r="17" spans="2:47" x14ac:dyDescent="0.3">
      <c r="B17" s="53">
        <v>1999</v>
      </c>
      <c r="C17" s="50">
        <v>165900</v>
      </c>
      <c r="D17" s="50">
        <v>9857.2541323152891</v>
      </c>
      <c r="E17" s="50">
        <v>8947.5082872928197</v>
      </c>
      <c r="F17" s="50">
        <v>147095.2375803919</v>
      </c>
      <c r="H17" s="50">
        <v>137080.5256547106</v>
      </c>
      <c r="J17">
        <v>6.0030138637733578E-2</v>
      </c>
      <c r="K17">
        <v>1.2977697408077155E-2</v>
      </c>
      <c r="L17">
        <v>0.23074743821579263</v>
      </c>
      <c r="M17">
        <v>3.5582389247234905E-2</v>
      </c>
      <c r="N17">
        <v>0.33933766350883826</v>
      </c>
      <c r="P17" s="50">
        <v>8830.1475049012843</v>
      </c>
      <c r="Q17" s="50">
        <v>1908.9574834875452</v>
      </c>
      <c r="R17" s="50">
        <v>33941.849245418816</v>
      </c>
      <c r="S17" s="50">
        <v>5234</v>
      </c>
      <c r="T17" s="50">
        <v>49914.954233807643</v>
      </c>
      <c r="V17">
        <v>6.8083182640144665E-2</v>
      </c>
      <c r="W17">
        <v>0.25288962193978204</v>
      </c>
      <c r="X17">
        <v>8.3300176658762118E-2</v>
      </c>
      <c r="Z17" s="50">
        <v>10014.711925681293</v>
      </c>
      <c r="AA17" s="50">
        <v>34666.242308126355</v>
      </c>
      <c r="AD17" s="50">
        <v>4056</v>
      </c>
      <c r="AE17" s="50">
        <v>134</v>
      </c>
      <c r="AF17" s="50">
        <v>3922</v>
      </c>
      <c r="AH17" s="50">
        <v>32112</v>
      </c>
      <c r="AI17" s="50">
        <v>5100</v>
      </c>
      <c r="AJ17" s="50">
        <v>27012</v>
      </c>
      <c r="AK17">
        <v>0.17399999999999999</v>
      </c>
      <c r="AL17" s="50">
        <v>4700.0879999999997</v>
      </c>
      <c r="AM17" s="50">
        <v>22311.912</v>
      </c>
      <c r="AQ17">
        <v>26665</v>
      </c>
      <c r="AR17" s="50">
        <v>7590</v>
      </c>
      <c r="AU17" s="50">
        <f t="shared" si="0"/>
        <v>120083.2375803919</v>
      </c>
    </row>
    <row r="18" spans="2:47" x14ac:dyDescent="0.3">
      <c r="B18" s="53">
        <v>2000</v>
      </c>
      <c r="C18" s="50">
        <v>156600</v>
      </c>
      <c r="D18" s="50">
        <v>6772.0013856430342</v>
      </c>
      <c r="E18" s="50">
        <v>8404.8153310104517</v>
      </c>
      <c r="F18" s="50">
        <v>141423.18328334653</v>
      </c>
      <c r="H18" s="50">
        <v>131715.91765682871</v>
      </c>
      <c r="J18">
        <v>4.1708812260536396E-2</v>
      </c>
      <c r="K18">
        <v>3.0651340996168581E-2</v>
      </c>
      <c r="L18">
        <v>0.21395913154533844</v>
      </c>
      <c r="M18">
        <v>2.7113614506683589E-2</v>
      </c>
      <c r="N18">
        <v>0.31343289930872698</v>
      </c>
      <c r="P18" s="50">
        <v>5898.5930008525293</v>
      </c>
      <c r="Q18" s="50">
        <v>4334.8102155815022</v>
      </c>
      <c r="R18" s="50">
        <v>30258.781475682048</v>
      </c>
      <c r="S18" s="50">
        <v>3834.4936738527163</v>
      </c>
      <c r="T18" s="50">
        <v>44326.678365968794</v>
      </c>
      <c r="V18">
        <v>6.8639846743295013E-2</v>
      </c>
      <c r="W18">
        <v>0.23372208623869564</v>
      </c>
      <c r="X18">
        <v>4.9832272103923637E-2</v>
      </c>
      <c r="Z18" s="50">
        <v>9707.2656265178266</v>
      </c>
      <c r="AA18" s="50">
        <v>30784.919065598253</v>
      </c>
      <c r="AC18" s="50">
        <v>160</v>
      </c>
      <c r="AD18" s="50">
        <v>4557</v>
      </c>
      <c r="AE18" s="50">
        <v>255</v>
      </c>
      <c r="AF18" s="50">
        <v>4302</v>
      </c>
      <c r="AH18" s="50">
        <v>39462</v>
      </c>
      <c r="AI18" s="50">
        <v>3435</v>
      </c>
      <c r="AJ18" s="50">
        <v>36027</v>
      </c>
      <c r="AK18">
        <v>0.247</v>
      </c>
      <c r="AL18" s="50">
        <v>8898.6689999999999</v>
      </c>
      <c r="AM18" s="50">
        <v>27128.330999999998</v>
      </c>
      <c r="AQ18">
        <v>32929</v>
      </c>
      <c r="AR18" s="50">
        <v>9331</v>
      </c>
      <c r="AU18" s="50">
        <f t="shared" si="0"/>
        <v>105396.18328334653</v>
      </c>
    </row>
    <row r="19" spans="2:47" x14ac:dyDescent="0.3">
      <c r="B19" s="53">
        <v>2001</v>
      </c>
      <c r="C19" s="50">
        <v>232400</v>
      </c>
      <c r="D19" s="50">
        <v>15677.1742664839</v>
      </c>
      <c r="E19" s="50">
        <v>24403.582219639742</v>
      </c>
      <c r="F19" s="50">
        <v>192319.24351387637</v>
      </c>
      <c r="H19" s="50">
        <v>181739.20251419948</v>
      </c>
      <c r="J19">
        <v>2.4678700516351119E-2</v>
      </c>
      <c r="K19">
        <v>3.507314974182444E-2</v>
      </c>
      <c r="L19">
        <v>0.1512435456110155</v>
      </c>
      <c r="M19">
        <v>3.5096202654753071E-2</v>
      </c>
      <c r="N19">
        <v>0.24609159852394413</v>
      </c>
      <c r="P19" s="50">
        <v>4746.1890142101574</v>
      </c>
      <c r="Q19" s="50">
        <v>6745.2416259965848</v>
      </c>
      <c r="R19" s="50">
        <v>29087.044278266956</v>
      </c>
      <c r="S19" s="50">
        <v>6749.6751447718098</v>
      </c>
      <c r="T19" s="50">
        <v>47328.150063245514</v>
      </c>
      <c r="V19">
        <v>5.5012908777969022E-2</v>
      </c>
      <c r="W19">
        <v>0.16506308767616054</v>
      </c>
      <c r="X19">
        <v>7.7514758886166213E-2</v>
      </c>
      <c r="Z19" s="50">
        <v>10580.04099967689</v>
      </c>
      <c r="AA19" s="50">
        <v>29998.433918796807</v>
      </c>
      <c r="AC19" s="50">
        <v>286</v>
      </c>
      <c r="AD19" s="50">
        <v>5886</v>
      </c>
      <c r="AE19" s="50">
        <v>942</v>
      </c>
      <c r="AF19" s="50">
        <v>4944</v>
      </c>
      <c r="AH19" s="50">
        <v>56965</v>
      </c>
      <c r="AI19" s="50">
        <v>5571</v>
      </c>
      <c r="AJ19" s="50">
        <v>51394</v>
      </c>
      <c r="AK19">
        <v>6.2E-2</v>
      </c>
      <c r="AL19" s="50">
        <v>3186.4279999999999</v>
      </c>
      <c r="AM19" s="50">
        <v>48207.572</v>
      </c>
      <c r="AQ19">
        <v>24225</v>
      </c>
      <c r="AR19" s="50">
        <v>13255</v>
      </c>
      <c r="AU19" s="50">
        <f t="shared" si="0"/>
        <v>140925.24351387637</v>
      </c>
    </row>
    <row r="20" spans="2:47" x14ac:dyDescent="0.3">
      <c r="B20" s="53">
        <v>2002</v>
      </c>
      <c r="C20" s="50">
        <v>279500</v>
      </c>
      <c r="D20" s="50">
        <v>16093.708544616526</v>
      </c>
      <c r="E20" s="50">
        <v>21392.445652173908</v>
      </c>
      <c r="F20" s="50">
        <v>242013.84580320955</v>
      </c>
      <c r="H20" s="50">
        <v>225512.74433819429</v>
      </c>
      <c r="J20">
        <v>4.6658318425760292E-2</v>
      </c>
      <c r="K20">
        <v>2.461896243291592E-2</v>
      </c>
      <c r="L20">
        <v>0.20750268336314848</v>
      </c>
      <c r="M20">
        <v>4.0636283686171976E-2</v>
      </c>
      <c r="N20">
        <v>0.31941624790799672</v>
      </c>
      <c r="P20" s="50">
        <v>11291.959080929002</v>
      </c>
      <c r="Q20" s="50">
        <v>5958.1297780747218</v>
      </c>
      <c r="R20" s="50">
        <v>50218.522415201231</v>
      </c>
      <c r="S20" s="50">
        <v>9834.5432940407045</v>
      </c>
      <c r="T20" s="50">
        <v>77303.154568245664</v>
      </c>
      <c r="V20">
        <v>6.818246869409661E-2</v>
      </c>
      <c r="W20">
        <v>0.22600722614929178</v>
      </c>
      <c r="X20">
        <v>8.416022672577729E-2</v>
      </c>
      <c r="Z20" s="50">
        <v>16501.101465015261</v>
      </c>
      <c r="AA20" s="50">
        <v>50967.509809189694</v>
      </c>
      <c r="AC20" s="50">
        <v>242</v>
      </c>
      <c r="AD20" s="50">
        <v>13369</v>
      </c>
      <c r="AE20" s="50">
        <v>2300</v>
      </c>
      <c r="AF20" s="50">
        <v>11069</v>
      </c>
      <c r="AH20" s="50">
        <v>76667</v>
      </c>
      <c r="AI20" s="50">
        <v>7325</v>
      </c>
      <c r="AJ20" s="50">
        <v>69342</v>
      </c>
      <c r="AK20">
        <v>8.3000000000000004E-2</v>
      </c>
      <c r="AL20" s="50">
        <v>5755.3860000000004</v>
      </c>
      <c r="AM20" s="50">
        <v>63586.614000000001</v>
      </c>
      <c r="AQ20">
        <v>26819</v>
      </c>
      <c r="AR20" s="50">
        <v>14514</v>
      </c>
      <c r="AU20" s="50">
        <f t="shared" si="0"/>
        <v>172671.84580320955</v>
      </c>
    </row>
    <row r="21" spans="2:47" x14ac:dyDescent="0.3">
      <c r="B21" s="53">
        <v>2003</v>
      </c>
      <c r="C21" s="50">
        <v>374200</v>
      </c>
      <c r="D21" s="50">
        <v>17616.064656344366</v>
      </c>
      <c r="E21" s="50">
        <v>18986.268089053803</v>
      </c>
      <c r="F21" s="50">
        <v>337597.66725460184</v>
      </c>
      <c r="H21" s="50">
        <v>309423.32853013912</v>
      </c>
      <c r="J21">
        <v>4.5347434526990915E-2</v>
      </c>
      <c r="K21">
        <v>4.257081774452165E-2</v>
      </c>
      <c r="L21">
        <v>0.12843399251737039</v>
      </c>
      <c r="M21">
        <v>2.3856870743113177E-2</v>
      </c>
      <c r="N21">
        <v>0.24020911553199614</v>
      </c>
      <c r="P21" s="50">
        <v>15309.188112292921</v>
      </c>
      <c r="Q21" s="50">
        <v>14371.808763671319</v>
      </c>
      <c r="R21" s="50">
        <v>43359.016270059234</v>
      </c>
      <c r="S21" s="50">
        <v>8054.0239108695678</v>
      </c>
      <c r="T21" s="50">
        <v>81094.037056893038</v>
      </c>
      <c r="V21">
        <v>8.3455371459112776E-2</v>
      </c>
      <c r="W21">
        <v>0.14499771117674673</v>
      </c>
      <c r="X21">
        <v>5.2161002486089153E-2</v>
      </c>
      <c r="Z21" s="50">
        <v>28174.338724462748</v>
      </c>
      <c r="AA21" s="50">
        <v>44865.674421560725</v>
      </c>
      <c r="AC21" s="50">
        <v>194</v>
      </c>
      <c r="AD21" s="50">
        <v>10092</v>
      </c>
      <c r="AE21" s="50">
        <v>1422</v>
      </c>
      <c r="AF21" s="50">
        <v>8670</v>
      </c>
      <c r="AH21" s="50">
        <v>95769</v>
      </c>
      <c r="AI21" s="50">
        <v>6457</v>
      </c>
      <c r="AJ21" s="50">
        <v>89312</v>
      </c>
      <c r="AK21">
        <v>9.1999999999999998E-2</v>
      </c>
      <c r="AL21" s="50">
        <v>8216.7039999999997</v>
      </c>
      <c r="AM21" s="50">
        <v>81095.296000000002</v>
      </c>
      <c r="AQ21">
        <v>48546</v>
      </c>
      <c r="AR21" s="50">
        <v>21804</v>
      </c>
      <c r="AU21" s="50">
        <f t="shared" si="0"/>
        <v>248285.66725460184</v>
      </c>
    </row>
    <row r="22" spans="2:47" x14ac:dyDescent="0.3">
      <c r="B22" s="53">
        <v>2004</v>
      </c>
      <c r="C22" s="50">
        <v>362800</v>
      </c>
      <c r="D22" s="50">
        <v>17565.274822284144</v>
      </c>
      <c r="E22" s="50">
        <v>21246.281397283063</v>
      </c>
      <c r="F22" s="50">
        <v>323988.4437804328</v>
      </c>
      <c r="H22" s="50">
        <v>295991.30568517273</v>
      </c>
      <c r="J22">
        <v>3.4764277839029765E-2</v>
      </c>
      <c r="K22">
        <v>5.4465270121278941E-2</v>
      </c>
      <c r="L22">
        <v>0.11742833517089306</v>
      </c>
      <c r="M22">
        <v>2.759056156352489E-2</v>
      </c>
      <c r="N22">
        <v>0.23424844469472664</v>
      </c>
      <c r="P22" s="50">
        <v>11263.224276217841</v>
      </c>
      <c r="Q22" s="50">
        <v>17646.118106674068</v>
      </c>
      <c r="R22" s="50">
        <v>38045.423567744707</v>
      </c>
      <c r="S22" s="50">
        <v>8939.0231039946539</v>
      </c>
      <c r="T22" s="50">
        <v>75893.78905463127</v>
      </c>
      <c r="V22">
        <v>8.6414002205071672E-2</v>
      </c>
      <c r="W22">
        <v>0.13161747357813719</v>
      </c>
      <c r="X22">
        <v>6.5303494294047276E-2</v>
      </c>
      <c r="Z22" s="50">
        <v>27997.138095260059</v>
      </c>
      <c r="AA22" s="50">
        <v>38957.627855376551</v>
      </c>
      <c r="AC22" s="50">
        <v>140</v>
      </c>
      <c r="AD22" s="50">
        <v>5825</v>
      </c>
      <c r="AE22" s="50">
        <v>732</v>
      </c>
      <c r="AF22" s="50">
        <v>5093</v>
      </c>
      <c r="AH22" s="50">
        <v>87546.3</v>
      </c>
      <c r="AI22" s="50">
        <v>8082</v>
      </c>
      <c r="AJ22" s="50">
        <v>79464.3</v>
      </c>
      <c r="AK22">
        <v>9.4E-2</v>
      </c>
      <c r="AL22" s="50">
        <v>7469.6442000000006</v>
      </c>
      <c r="AM22" s="50">
        <v>71994.655800000008</v>
      </c>
      <c r="AQ22">
        <v>43513</v>
      </c>
      <c r="AR22" s="50">
        <v>16682</v>
      </c>
      <c r="AU22" s="50">
        <f t="shared" si="0"/>
        <v>244524.14378043282</v>
      </c>
    </row>
    <row r="23" spans="2:47" x14ac:dyDescent="0.3">
      <c r="B23" s="53">
        <v>2005</v>
      </c>
      <c r="C23" s="50">
        <v>277200</v>
      </c>
      <c r="D23" s="50">
        <v>19580.294026557574</v>
      </c>
      <c r="E23" s="50">
        <v>21414.912111261347</v>
      </c>
      <c r="F23" s="50">
        <v>236204.79386218108</v>
      </c>
      <c r="H23" s="50">
        <v>216827.30924709336</v>
      </c>
      <c r="J23">
        <v>5.7087157287157284E-2</v>
      </c>
      <c r="K23">
        <v>3.0533910533910535E-2</v>
      </c>
      <c r="L23">
        <v>0.16446608946608945</v>
      </c>
      <c r="M23">
        <v>3.572582873737342E-2</v>
      </c>
      <c r="N23">
        <v>0.28781298602453065</v>
      </c>
      <c r="P23" s="50">
        <v>13484.260219190894</v>
      </c>
      <c r="Q23" s="50">
        <v>7212.2560434686175</v>
      </c>
      <c r="R23" s="50">
        <v>38847.678759656686</v>
      </c>
      <c r="S23" s="50">
        <v>8438.6120124668741</v>
      </c>
      <c r="T23" s="50">
        <v>67982.807034783065</v>
      </c>
      <c r="V23">
        <v>8.2036796536796533E-2</v>
      </c>
      <c r="W23">
        <v>0.18524746973387504</v>
      </c>
      <c r="X23">
        <v>7.9379645860262013E-2</v>
      </c>
      <c r="Z23" s="50">
        <v>19377.484615087717</v>
      </c>
      <c r="AA23" s="50">
        <v>40166.710407228493</v>
      </c>
      <c r="AC23" s="50">
        <v>219</v>
      </c>
      <c r="AD23" s="50">
        <v>3121</v>
      </c>
      <c r="AE23" s="50">
        <v>710</v>
      </c>
      <c r="AF23" s="50">
        <v>2411</v>
      </c>
      <c r="AH23" s="50">
        <v>71897</v>
      </c>
      <c r="AI23" s="50">
        <v>7542</v>
      </c>
      <c r="AJ23" s="50">
        <v>64355</v>
      </c>
      <c r="AK23">
        <v>0.104</v>
      </c>
      <c r="AL23" s="50">
        <v>6692.92</v>
      </c>
      <c r="AM23" s="50">
        <v>57662.080000000002</v>
      </c>
      <c r="AQ23">
        <v>31289</v>
      </c>
      <c r="AR23" s="50">
        <v>11255</v>
      </c>
      <c r="AU23" s="50">
        <f t="shared" si="0"/>
        <v>171849.79386218108</v>
      </c>
    </row>
    <row r="24" spans="2:47" x14ac:dyDescent="0.3">
      <c r="B24" s="53">
        <v>2006</v>
      </c>
      <c r="C24" s="50">
        <v>230400</v>
      </c>
      <c r="D24" s="50">
        <v>14646.081985070534</v>
      </c>
      <c r="E24" s="50">
        <v>20402.87299207539</v>
      </c>
      <c r="F24" s="50">
        <v>195351.04502285406</v>
      </c>
      <c r="H24" s="50">
        <v>180492.83446304288</v>
      </c>
      <c r="J24">
        <v>4.1079036458333336E-2</v>
      </c>
      <c r="K24">
        <v>3.8007812500000002E-2</v>
      </c>
      <c r="L24">
        <v>0.189453125</v>
      </c>
      <c r="M24">
        <v>2.3949363134248395E-2</v>
      </c>
      <c r="N24">
        <v>0.29248933709258174</v>
      </c>
      <c r="P24" s="50">
        <v>8024.8327006673389</v>
      </c>
      <c r="Q24" s="50">
        <v>7424.8658909076958</v>
      </c>
      <c r="R24" s="50">
        <v>37009.865951595399</v>
      </c>
      <c r="S24" s="50">
        <v>4678.5331159072393</v>
      </c>
      <c r="T24" s="50">
        <v>57138.09765907767</v>
      </c>
      <c r="V24">
        <v>7.6059027777777788E-2</v>
      </c>
      <c r="W24">
        <v>0.20832602078205154</v>
      </c>
      <c r="X24">
        <v>6.4710001603143011E-2</v>
      </c>
      <c r="Z24" s="50">
        <v>14858.210559811176</v>
      </c>
      <c r="AA24" s="50">
        <v>37601.353983359259</v>
      </c>
      <c r="AC24" s="50">
        <v>220</v>
      </c>
      <c r="AD24" s="50">
        <v>2299</v>
      </c>
      <c r="AE24" s="50">
        <v>437</v>
      </c>
      <c r="AF24" s="50">
        <v>1862</v>
      </c>
      <c r="AH24" s="50">
        <v>51150</v>
      </c>
      <c r="AI24" s="50">
        <v>4055</v>
      </c>
      <c r="AJ24" s="50">
        <v>47095</v>
      </c>
      <c r="AK24">
        <v>5.8000000000000003E-2</v>
      </c>
      <c r="AL24" s="50">
        <v>2731.51</v>
      </c>
      <c r="AM24" s="50">
        <v>44363.49</v>
      </c>
      <c r="AQ24">
        <v>18851</v>
      </c>
      <c r="AR24" s="50">
        <v>6136</v>
      </c>
      <c r="AU24" s="50">
        <f t="shared" si="0"/>
        <v>148256.04502285406</v>
      </c>
    </row>
    <row r="25" spans="2:47" x14ac:dyDescent="0.3">
      <c r="B25" s="53">
        <v>2007</v>
      </c>
      <c r="C25" s="50">
        <v>114000</v>
      </c>
      <c r="D25" s="50">
        <v>9164.8582693645676</v>
      </c>
      <c r="E25" s="50">
        <v>29528.409406734372</v>
      </c>
      <c r="F25" s="50">
        <v>75306.732323901058</v>
      </c>
      <c r="H25" s="50">
        <v>70980.558727504322</v>
      </c>
      <c r="J25">
        <v>3.9440877192982456E-2</v>
      </c>
      <c r="K25">
        <v>2.4850877192982457E-2</v>
      </c>
      <c r="L25">
        <v>0.16021052631578947</v>
      </c>
      <c r="M25">
        <v>6.6060682675740348E-2</v>
      </c>
      <c r="N25">
        <v>0.29056296337749471</v>
      </c>
      <c r="P25" s="50">
        <v>2970.1635813917837</v>
      </c>
      <c r="Q25" s="50">
        <v>1871.4383567860675</v>
      </c>
      <c r="R25" s="50">
        <v>12064.931220734465</v>
      </c>
      <c r="S25" s="50">
        <v>4974.8141473961459</v>
      </c>
      <c r="T25" s="50">
        <v>21881.34730630846</v>
      </c>
      <c r="V25">
        <v>5.7447368421052629E-2</v>
      </c>
      <c r="W25">
        <v>0.17723669393490984</v>
      </c>
      <c r="X25">
        <v>0.11713989374358111</v>
      </c>
      <c r="Z25" s="50">
        <v>4326.1735963967367</v>
      </c>
      <c r="AA25" s="50">
        <v>12580.359562515578</v>
      </c>
      <c r="AC25" s="50">
        <v>195</v>
      </c>
      <c r="AD25" s="50">
        <v>1318</v>
      </c>
      <c r="AE25" s="50">
        <v>232</v>
      </c>
      <c r="AF25" s="50">
        <v>1086</v>
      </c>
      <c r="AH25" s="50">
        <v>18501</v>
      </c>
      <c r="AI25" s="50">
        <v>4614</v>
      </c>
      <c r="AJ25" s="50">
        <v>13887</v>
      </c>
      <c r="AK25">
        <v>4.1000000000000002E-2</v>
      </c>
      <c r="AL25" s="50">
        <v>569.36700000000008</v>
      </c>
      <c r="AM25" s="50">
        <v>13317.633</v>
      </c>
      <c r="AQ25">
        <v>22650</v>
      </c>
      <c r="AR25" s="50">
        <v>3889</v>
      </c>
      <c r="AU25" s="50">
        <f t="shared" si="0"/>
        <v>61419.732323901058</v>
      </c>
    </row>
    <row r="26" spans="2:47" x14ac:dyDescent="0.3">
      <c r="B26" s="53">
        <v>2008</v>
      </c>
      <c r="C26" s="50">
        <v>197300</v>
      </c>
      <c r="D26" s="50">
        <v>9505.8533078625205</v>
      </c>
      <c r="E26" s="50">
        <v>36021.460050890579</v>
      </c>
      <c r="F26" s="50">
        <v>151772.6866412469</v>
      </c>
      <c r="H26" s="50">
        <v>140962.44049137644</v>
      </c>
      <c r="J26">
        <v>3.6551761924866311E-2</v>
      </c>
      <c r="K26">
        <v>3.8398378104409527E-2</v>
      </c>
      <c r="L26">
        <v>0.19905727318803851</v>
      </c>
      <c r="M26">
        <v>4.1998568218021552E-2</v>
      </c>
      <c r="N26">
        <v>0.31600598143533593</v>
      </c>
      <c r="P26" s="50">
        <v>5547.5591088081937</v>
      </c>
      <c r="Q26" s="50">
        <v>5827.8250075726628</v>
      </c>
      <c r="R26" s="50">
        <v>30211.457147229245</v>
      </c>
      <c r="S26" s="50">
        <v>6374.2355335348157</v>
      </c>
      <c r="T26" s="50">
        <v>47961.076797144917</v>
      </c>
      <c r="V26">
        <v>7.1226558540293972E-2</v>
      </c>
      <c r="W26">
        <v>0.21833188334748249</v>
      </c>
      <c r="X26">
        <v>7.5238851906690454E-2</v>
      </c>
      <c r="Z26" s="50">
        <v>10810.246149870465</v>
      </c>
      <c r="AA26" s="50">
        <v>30776.595113739644</v>
      </c>
      <c r="AC26" s="50">
        <v>272</v>
      </c>
      <c r="AD26" s="50">
        <v>3403</v>
      </c>
      <c r="AE26" s="50">
        <v>527</v>
      </c>
      <c r="AF26" s="50">
        <v>2876</v>
      </c>
      <c r="AH26" s="50">
        <v>28999</v>
      </c>
      <c r="AI26" s="50">
        <v>5638</v>
      </c>
      <c r="AJ26" s="50">
        <v>23361</v>
      </c>
      <c r="AK26">
        <v>4.5999999999999999E-2</v>
      </c>
      <c r="AL26" s="50">
        <v>1074.606</v>
      </c>
      <c r="AM26" s="50">
        <v>22286.394</v>
      </c>
      <c r="AN26">
        <v>18048</v>
      </c>
      <c r="AO26">
        <v>0.46179830471636601</v>
      </c>
      <c r="AQ26">
        <v>34270</v>
      </c>
      <c r="AR26" s="50">
        <v>9484</v>
      </c>
      <c r="AS26" s="50">
        <v>84992</v>
      </c>
      <c r="AU26" s="50">
        <f t="shared" si="0"/>
        <v>128411.6866412469</v>
      </c>
    </row>
    <row r="27" spans="2:47" x14ac:dyDescent="0.3">
      <c r="B27" s="53">
        <v>2009</v>
      </c>
      <c r="C27" s="50">
        <v>212100</v>
      </c>
      <c r="D27" s="50">
        <v>9665.4453936810805</v>
      </c>
      <c r="E27" s="50">
        <v>79059.857745629924</v>
      </c>
      <c r="F27" s="50">
        <v>123374.69686068899</v>
      </c>
      <c r="H27" s="50">
        <v>110954.6283676695</v>
      </c>
      <c r="J27">
        <v>4.9778406412069778E-2</v>
      </c>
      <c r="K27">
        <v>5.4705327675624707E-2</v>
      </c>
      <c r="L27">
        <v>0.27930221593587928</v>
      </c>
      <c r="M27">
        <v>5.8705227584523734E-2</v>
      </c>
      <c r="N27">
        <v>0.44249117760809747</v>
      </c>
      <c r="P27" s="50">
        <v>6141.3958012972862</v>
      </c>
      <c r="Q27" s="50">
        <v>6749.253218644858</v>
      </c>
      <c r="R27" s="50">
        <v>34458.826223607801</v>
      </c>
      <c r="S27" s="50">
        <v>7242.7396573783726</v>
      </c>
      <c r="T27" s="50">
        <v>54592.214900928317</v>
      </c>
      <c r="V27">
        <v>0.10066949552098067</v>
      </c>
      <c r="W27">
        <v>0.31480801895694843</v>
      </c>
      <c r="X27">
        <v>8.3463817110275451E-2</v>
      </c>
      <c r="Z27" s="50">
        <v>12420.068493019478</v>
      </c>
      <c r="AA27" s="50">
        <v>34929.40675053047</v>
      </c>
      <c r="AC27" s="50">
        <v>309</v>
      </c>
      <c r="AD27" s="50">
        <v>3315</v>
      </c>
      <c r="AE27" s="50">
        <v>510</v>
      </c>
      <c r="AF27" s="50">
        <v>2805</v>
      </c>
      <c r="AH27" s="50">
        <v>32899</v>
      </c>
      <c r="AI27" s="50">
        <v>6553</v>
      </c>
      <c r="AJ27" s="50">
        <v>26346</v>
      </c>
      <c r="AK27">
        <v>7.6999999999999999E-2</v>
      </c>
      <c r="AL27" s="50">
        <v>2028.6420000000001</v>
      </c>
      <c r="AM27" s="50">
        <v>24317.358</v>
      </c>
      <c r="AN27">
        <v>9738</v>
      </c>
      <c r="AO27">
        <v>0.32609028932490852</v>
      </c>
      <c r="AQ27">
        <v>40825</v>
      </c>
      <c r="AR27" s="50">
        <v>13041</v>
      </c>
      <c r="AS27" s="50">
        <v>87086</v>
      </c>
      <c r="AU27" s="50">
        <f t="shared" si="0"/>
        <v>97028.696860688986</v>
      </c>
    </row>
    <row r="28" spans="2:47" x14ac:dyDescent="0.3">
      <c r="B28" s="53">
        <v>2010</v>
      </c>
      <c r="C28" s="50">
        <v>324900</v>
      </c>
      <c r="D28" s="50">
        <v>12477.692291909754</v>
      </c>
      <c r="E28" s="50">
        <v>72893.236397748595</v>
      </c>
      <c r="F28" s="50">
        <v>239529.07131034165</v>
      </c>
      <c r="H28" s="50">
        <v>221432.0564951525</v>
      </c>
      <c r="J28">
        <v>3.6762080640196981E-2</v>
      </c>
      <c r="K28">
        <v>4.1668205601723608E-2</v>
      </c>
      <c r="L28">
        <v>0.1819482917820868</v>
      </c>
      <c r="M28">
        <v>4.8782266615679228E-2</v>
      </c>
      <c r="N28">
        <v>0.30916084463968663</v>
      </c>
      <c r="P28" s="50">
        <v>8805.5870351822723</v>
      </c>
      <c r="Q28" s="50">
        <v>9980.7465909492312</v>
      </c>
      <c r="R28" s="50">
        <v>43581.905357066316</v>
      </c>
      <c r="S28" s="50">
        <v>11684.771018867128</v>
      </c>
      <c r="T28" s="50">
        <v>74053.010002064955</v>
      </c>
      <c r="V28">
        <v>7.5552477685441682E-2</v>
      </c>
      <c r="W28">
        <v>0.19993141403615081</v>
      </c>
      <c r="X28">
        <v>7.4141312995524011E-2</v>
      </c>
      <c r="Z28" s="50">
        <v>18097.014815189155</v>
      </c>
      <c r="AA28" s="50">
        <v>44271.224168008674</v>
      </c>
      <c r="AC28" s="50">
        <v>351</v>
      </c>
      <c r="AD28" s="50">
        <v>3474</v>
      </c>
      <c r="AE28" s="50">
        <v>441</v>
      </c>
      <c r="AF28" s="50">
        <v>3033</v>
      </c>
      <c r="AH28" s="50">
        <v>91393.35</v>
      </c>
      <c r="AI28" s="50">
        <v>10985</v>
      </c>
      <c r="AJ28" s="50">
        <v>80408.350000000006</v>
      </c>
      <c r="AK28">
        <v>0.04</v>
      </c>
      <c r="AL28" s="50">
        <v>3216.3340000000003</v>
      </c>
      <c r="AM28" s="50">
        <v>77192.016000000003</v>
      </c>
      <c r="AN28">
        <v>24120</v>
      </c>
      <c r="AO28">
        <v>0.26152076446246397</v>
      </c>
      <c r="AQ28">
        <v>38614</v>
      </c>
      <c r="AR28" s="50">
        <v>11448</v>
      </c>
      <c r="AS28" s="50">
        <v>157952.35</v>
      </c>
      <c r="AU28" s="50">
        <f t="shared" si="0"/>
        <v>159120.72131034164</v>
      </c>
    </row>
    <row r="29" spans="2:47" x14ac:dyDescent="0.3">
      <c r="B29" s="53">
        <v>2011</v>
      </c>
      <c r="C29" s="50">
        <v>322100</v>
      </c>
      <c r="D29" s="50">
        <v>24355.883126873774</v>
      </c>
      <c r="E29" s="50">
        <v>54165.115516062891</v>
      </c>
      <c r="F29" s="50">
        <v>243579.00135706336</v>
      </c>
      <c r="H29" s="50">
        <v>211953.05470771922</v>
      </c>
      <c r="J29">
        <v>6.4442719652281905E-2</v>
      </c>
      <c r="K29">
        <v>6.8969264203663463E-2</v>
      </c>
      <c r="L29">
        <v>0.24926420366345856</v>
      </c>
      <c r="M29">
        <v>5.0412548994030026E-2</v>
      </c>
      <c r="N29">
        <v>0.43308873651343394</v>
      </c>
      <c r="P29" s="50">
        <v>15696.893297636028</v>
      </c>
      <c r="Q29" s="50">
        <v>16799.464499059803</v>
      </c>
      <c r="R29" s="50">
        <v>60715.525802408891</v>
      </c>
      <c r="S29" s="50">
        <v>12279.438339829863</v>
      </c>
      <c r="T29" s="50">
        <v>105491.32193893459</v>
      </c>
      <c r="V29">
        <v>0.12983855945358586</v>
      </c>
      <c r="W29">
        <v>0.2905640451121918</v>
      </c>
      <c r="X29">
        <v>8.8717855211544419E-2</v>
      </c>
      <c r="Z29" s="50">
        <v>31625.94664934414</v>
      </c>
      <c r="AA29" s="50">
        <v>61585.936949760588</v>
      </c>
      <c r="AC29" s="50">
        <v>191</v>
      </c>
      <c r="AD29" s="50">
        <v>3325</v>
      </c>
      <c r="AE29" s="50">
        <v>537</v>
      </c>
      <c r="AF29" s="50">
        <v>2788</v>
      </c>
      <c r="AH29" s="50">
        <v>77322</v>
      </c>
      <c r="AI29" s="50">
        <v>11598</v>
      </c>
      <c r="AJ29" s="50">
        <v>65724</v>
      </c>
      <c r="AK29">
        <v>7.5999999999999998E-2</v>
      </c>
      <c r="AL29" s="50">
        <v>4995.0239999999994</v>
      </c>
      <c r="AM29" s="50">
        <v>60728.976000000002</v>
      </c>
      <c r="AN29">
        <v>22727</v>
      </c>
      <c r="AO29">
        <v>0.31341673921154084</v>
      </c>
      <c r="AQ29">
        <v>35036</v>
      </c>
      <c r="AR29" s="50">
        <v>8853</v>
      </c>
      <c r="AS29" s="50">
        <v>138601</v>
      </c>
      <c r="AU29" s="50">
        <f t="shared" si="0"/>
        <v>177855.00135706336</v>
      </c>
    </row>
    <row r="30" spans="2:47" x14ac:dyDescent="0.3">
      <c r="B30" s="53">
        <v>2012</v>
      </c>
      <c r="C30" s="50">
        <v>297800</v>
      </c>
      <c r="D30" s="50">
        <v>25568.395279352972</v>
      </c>
      <c r="E30" s="50">
        <v>55012.799499530818</v>
      </c>
      <c r="F30" s="50">
        <v>217218.80522111623</v>
      </c>
      <c r="H30" s="50">
        <v>187776.83123204592</v>
      </c>
      <c r="J30">
        <v>8.0967092008059099E-2</v>
      </c>
      <c r="K30">
        <v>5.8196776359973133E-2</v>
      </c>
      <c r="L30">
        <v>0.20398253861652116</v>
      </c>
      <c r="M30">
        <v>6.5623177436108696E-2</v>
      </c>
      <c r="N30">
        <v>0.40876958442066208</v>
      </c>
      <c r="P30" s="50">
        <v>17587.574988218785</v>
      </c>
      <c r="Q30" s="50">
        <v>12641.434228633865</v>
      </c>
      <c r="R30" s="50">
        <v>44308.843324250927</v>
      </c>
      <c r="S30" s="50">
        <v>14254.588197484843</v>
      </c>
      <c r="T30" s="50">
        <v>88792.440738588426</v>
      </c>
      <c r="V30">
        <v>0.13554063129617192</v>
      </c>
      <c r="W30">
        <v>0.24015677682996939</v>
      </c>
      <c r="X30">
        <v>9.5442901316921389E-2</v>
      </c>
      <c r="Z30" s="50">
        <v>29441.973989070299</v>
      </c>
      <c r="AA30" s="50">
        <v>45095.878552033275</v>
      </c>
      <c r="AC30" s="50">
        <v>615</v>
      </c>
      <c r="AD30" s="50">
        <v>5436</v>
      </c>
      <c r="AE30" s="50">
        <v>704</v>
      </c>
      <c r="AF30" s="50">
        <v>4732</v>
      </c>
      <c r="AH30" s="50">
        <v>64915</v>
      </c>
      <c r="AI30" s="50">
        <v>13102</v>
      </c>
      <c r="AJ30" s="50">
        <v>51813</v>
      </c>
      <c r="AK30">
        <v>7.3999999999999996E-2</v>
      </c>
      <c r="AL30" s="50">
        <v>3834.1619999999998</v>
      </c>
      <c r="AM30" s="50">
        <v>47978.838000000003</v>
      </c>
      <c r="AN30">
        <v>24176</v>
      </c>
      <c r="AO30">
        <v>0.36860811433233759</v>
      </c>
      <c r="AQ30">
        <v>54825</v>
      </c>
      <c r="AR30" s="50">
        <v>11102</v>
      </c>
      <c r="AS30" s="50">
        <v>149967</v>
      </c>
      <c r="AU30" s="50">
        <f t="shared" si="0"/>
        <v>165405.80522111623</v>
      </c>
    </row>
    <row r="31" spans="2:47" x14ac:dyDescent="0.3">
      <c r="B31" s="53">
        <v>2013</v>
      </c>
      <c r="C31" s="50">
        <v>778300</v>
      </c>
      <c r="D31" s="50">
        <v>26553.010599511101</v>
      </c>
      <c r="E31" s="50">
        <v>92565.514282970864</v>
      </c>
      <c r="F31" s="50">
        <v>659181.4751175181</v>
      </c>
      <c r="H31" s="50">
        <v>589886.53646958037</v>
      </c>
      <c r="J31">
        <v>4.845946293203135E-2</v>
      </c>
      <c r="K31">
        <v>6.120519080046255E-2</v>
      </c>
      <c r="L31">
        <v>0.20762045483746627</v>
      </c>
      <c r="M31">
        <v>4.3118259917332605E-2</v>
      </c>
      <c r="N31">
        <v>0.36040336848729276</v>
      </c>
      <c r="P31" s="50">
        <v>31943.580258939113</v>
      </c>
      <c r="Q31" s="50">
        <v>40345.327956698049</v>
      </c>
      <c r="R31" s="50">
        <v>136859.55768433106</v>
      </c>
      <c r="S31" s="50">
        <v>28422.75817680786</v>
      </c>
      <c r="T31" s="50">
        <v>237571.2240767761</v>
      </c>
      <c r="V31">
        <v>0.10512270332776565</v>
      </c>
      <c r="W31">
        <v>0.2370854708585852</v>
      </c>
      <c r="X31">
        <v>5.5418782241727256E-2</v>
      </c>
      <c r="Z31" s="50">
        <v>69294.938647937786</v>
      </c>
      <c r="AA31" s="50">
        <v>139853.52725203044</v>
      </c>
      <c r="AC31" s="50">
        <v>1145</v>
      </c>
      <c r="AD31" s="50">
        <v>11471</v>
      </c>
      <c r="AE31" s="50">
        <v>2532</v>
      </c>
      <c r="AF31" s="50">
        <v>8939</v>
      </c>
      <c r="AH31" s="50">
        <v>182405.29756930863</v>
      </c>
      <c r="AI31" s="50">
        <v>24921</v>
      </c>
      <c r="AJ31" s="50">
        <v>157484.29756930863</v>
      </c>
      <c r="AK31">
        <v>0.217</v>
      </c>
      <c r="AL31" s="50">
        <v>34174.092572539972</v>
      </c>
      <c r="AM31" s="50">
        <v>123310.20499676866</v>
      </c>
      <c r="AN31">
        <v>55072</v>
      </c>
      <c r="AO31">
        <v>0.41987037595740645</v>
      </c>
      <c r="AQ31">
        <v>263924</v>
      </c>
      <c r="AR31" s="50">
        <v>57384</v>
      </c>
      <c r="AS31" s="50">
        <v>514017.29756930866</v>
      </c>
      <c r="AU31" s="50">
        <f t="shared" si="0"/>
        <v>501697.17754820944</v>
      </c>
    </row>
    <row r="32" spans="2:47" x14ac:dyDescent="0.3">
      <c r="B32" s="53">
        <v>2014</v>
      </c>
      <c r="C32" s="50">
        <v>684200</v>
      </c>
      <c r="D32" s="50">
        <v>26268.189156037879</v>
      </c>
      <c r="E32" s="50">
        <v>95024.15960712095</v>
      </c>
      <c r="F32" s="50">
        <v>562907.65123684122</v>
      </c>
      <c r="H32" s="50">
        <v>493276.41904971749</v>
      </c>
      <c r="J32">
        <v>4.596057512233126E-2</v>
      </c>
      <c r="K32">
        <v>7.9469453376205784E-2</v>
      </c>
      <c r="L32">
        <v>0.22425460391698335</v>
      </c>
      <c r="M32">
        <v>5.4618879413432762E-2</v>
      </c>
      <c r="N32">
        <v>0.40430351182895313</v>
      </c>
      <c r="P32" s="50">
        <v>25871.559391605886</v>
      </c>
      <c r="Q32" s="50">
        <v>44733.963345075659</v>
      </c>
      <c r="R32" s="50">
        <v>126234.63236995722</v>
      </c>
      <c r="S32" s="50">
        <v>30745.385123803695</v>
      </c>
      <c r="T32" s="50">
        <v>227585.54023044245</v>
      </c>
      <c r="V32">
        <v>0.12369921075708856</v>
      </c>
      <c r="W32">
        <v>0.25788567627980125</v>
      </c>
      <c r="X32">
        <v>7.8474144627998912E-2</v>
      </c>
      <c r="Z32" s="50">
        <v>69631.232187123722</v>
      </c>
      <c r="AA32" s="50">
        <v>127208.92291951503</v>
      </c>
      <c r="AC32" s="50">
        <v>605.77450130095406</v>
      </c>
      <c r="AD32" s="50">
        <v>11664</v>
      </c>
      <c r="AE32" s="50">
        <v>1568</v>
      </c>
      <c r="AF32" s="50">
        <v>10096</v>
      </c>
      <c r="AH32" s="50">
        <v>181196</v>
      </c>
      <c r="AI32" s="50">
        <v>28679</v>
      </c>
      <c r="AJ32" s="50">
        <v>152517</v>
      </c>
      <c r="AK32">
        <v>8.2699999999999982E-2</v>
      </c>
      <c r="AL32" s="50">
        <v>12613.155899999998</v>
      </c>
      <c r="AM32" s="50">
        <v>139903.84409999999</v>
      </c>
      <c r="AN32">
        <v>78248</v>
      </c>
      <c r="AO32">
        <v>0.39373889411305873</v>
      </c>
      <c r="AQ32">
        <v>120682</v>
      </c>
      <c r="AR32" s="50">
        <v>27194</v>
      </c>
      <c r="AS32" s="50">
        <v>392395.77450130094</v>
      </c>
      <c r="AU32" s="50">
        <f t="shared" si="0"/>
        <v>410390.65123684122</v>
      </c>
    </row>
    <row r="33" spans="2:47" x14ac:dyDescent="0.3">
      <c r="B33" s="53">
        <v>2015</v>
      </c>
      <c r="C33" s="50">
        <v>795700</v>
      </c>
      <c r="D33" s="50">
        <v>23826.359776048339</v>
      </c>
      <c r="E33" s="50">
        <v>88953.897166043243</v>
      </c>
      <c r="F33" s="50">
        <v>682919.74305790837</v>
      </c>
      <c r="H33" s="50">
        <v>608958.94268337614</v>
      </c>
      <c r="J33">
        <v>6.4097021490511497E-2</v>
      </c>
      <c r="K33">
        <v>4.8227975367600852E-2</v>
      </c>
      <c r="L33">
        <v>0.20072514766871938</v>
      </c>
      <c r="M33">
        <v>5.4114462072888857E-2</v>
      </c>
      <c r="N33">
        <v>0.36716460659972056</v>
      </c>
      <c r="P33" s="50">
        <v>43773.121447077341</v>
      </c>
      <c r="Q33" s="50">
        <v>32935.836546245111</v>
      </c>
      <c r="R33" s="50">
        <v>137079.16627118256</v>
      </c>
      <c r="S33" s="50">
        <v>36955.834534534188</v>
      </c>
      <c r="T33" s="50">
        <v>250743.95879903922</v>
      </c>
      <c r="V33">
        <v>0.10830086716099033</v>
      </c>
      <c r="W33">
        <v>0.22961699728691728</v>
      </c>
      <c r="X33">
        <v>8.2811389826503573E-2</v>
      </c>
      <c r="Z33" s="50">
        <v>73960.800374532177</v>
      </c>
      <c r="AA33" s="50">
        <v>139827.32388997279</v>
      </c>
      <c r="AC33" s="50">
        <v>1638</v>
      </c>
      <c r="AD33" s="50">
        <v>13960</v>
      </c>
      <c r="AE33" s="50">
        <v>1665</v>
      </c>
      <c r="AF33" s="50">
        <v>12295</v>
      </c>
      <c r="AH33" s="50">
        <v>267812.1165734519</v>
      </c>
      <c r="AI33" s="50">
        <v>33885</v>
      </c>
      <c r="AJ33" s="50">
        <v>233927.11657345187</v>
      </c>
      <c r="AK33">
        <v>8.2699999999999982E-2</v>
      </c>
      <c r="AL33" s="50">
        <v>19345.772540624464</v>
      </c>
      <c r="AM33" s="50">
        <v>214581.34403282742</v>
      </c>
      <c r="AN33">
        <v>75192</v>
      </c>
      <c r="AO33">
        <v>0.30582958953999434</v>
      </c>
      <c r="AQ33">
        <v>89301</v>
      </c>
      <c r="AR33" s="50">
        <v>41013</v>
      </c>
      <c r="AS33" s="50">
        <v>447903.1165734519</v>
      </c>
      <c r="AU33" s="50">
        <f t="shared" si="0"/>
        <v>448992.62648445647</v>
      </c>
    </row>
    <row r="34" spans="2:47" x14ac:dyDescent="0.3">
      <c r="B34" s="53">
        <v>2016</v>
      </c>
      <c r="C34" s="50">
        <v>412900</v>
      </c>
      <c r="D34" s="50">
        <v>16225.601716238261</v>
      </c>
      <c r="E34" s="50">
        <v>55670.319371727739</v>
      </c>
      <c r="F34" s="50">
        <v>341004.07891203399</v>
      </c>
      <c r="H34" s="50">
        <v>292914.16244080896</v>
      </c>
      <c r="J34">
        <v>6.559457495761685E-2</v>
      </c>
      <c r="K34">
        <v>8.2073141196415594E-2</v>
      </c>
      <c r="L34">
        <v>0.23410268830225237</v>
      </c>
      <c r="M34">
        <v>5.2144409133144089E-2</v>
      </c>
      <c r="N34">
        <v>0.43391481358942896</v>
      </c>
      <c r="P34" s="50">
        <v>22368.017615048506</v>
      </c>
      <c r="Q34" s="50">
        <v>27987.275917101011</v>
      </c>
      <c r="R34" s="50">
        <v>79829.971595340568</v>
      </c>
      <c r="S34" s="50">
        <v>17781.456206860053</v>
      </c>
      <c r="T34" s="50">
        <v>147966.72133435015</v>
      </c>
      <c r="V34">
        <v>0.14102446112860256</v>
      </c>
      <c r="W34">
        <v>0.28027101172636049</v>
      </c>
      <c r="X34">
        <v>8.5181258486718842E-2</v>
      </c>
      <c r="Z34" s="50">
        <v>48089.916471225057</v>
      </c>
      <c r="AA34" s="50">
        <v>82095.348656265021</v>
      </c>
      <c r="AC34" s="50">
        <v>0</v>
      </c>
      <c r="AD34" s="50">
        <v>7240</v>
      </c>
      <c r="AE34" s="50">
        <v>922</v>
      </c>
      <c r="AF34" s="50">
        <v>6318</v>
      </c>
      <c r="AH34" s="50">
        <v>126719.45620686005</v>
      </c>
      <c r="AI34" s="50">
        <v>16859.456206860053</v>
      </c>
      <c r="AJ34" s="50">
        <v>109860</v>
      </c>
      <c r="AK34">
        <v>8.2699999999999982E-2</v>
      </c>
      <c r="AL34" s="50">
        <v>9085.4219999999987</v>
      </c>
      <c r="AM34" s="50">
        <v>100774.57800000001</v>
      </c>
      <c r="AN34">
        <v>33480</v>
      </c>
      <c r="AO34">
        <v>0.29695424863959813</v>
      </c>
      <c r="AQ34">
        <v>41309</v>
      </c>
      <c r="AR34" s="50">
        <v>18171</v>
      </c>
      <c r="AS34" s="50">
        <v>208748.45620686005</v>
      </c>
      <c r="AU34" s="50">
        <f t="shared" si="0"/>
        <v>231144.07891203399</v>
      </c>
    </row>
    <row r="35" spans="2:47" x14ac:dyDescent="0.3">
      <c r="B35" s="53">
        <v>2017</v>
      </c>
      <c r="C35" s="50">
        <v>297100</v>
      </c>
      <c r="D35" s="50">
        <v>7768.3833237066483</v>
      </c>
      <c r="E35" s="50">
        <v>41798.018949181736</v>
      </c>
      <c r="F35" s="50">
        <v>247533.59772711163</v>
      </c>
      <c r="H35" s="50">
        <v>198106.86211094478</v>
      </c>
      <c r="J35">
        <v>0.15703130259171996</v>
      </c>
      <c r="K35">
        <v>4.2645573880848199E-2</v>
      </c>
      <c r="L35">
        <v>0.26582632110400539</v>
      </c>
      <c r="M35">
        <v>4.8312633556855403E-2</v>
      </c>
      <c r="N35">
        <v>0.51381583113342899</v>
      </c>
      <c r="P35" s="50">
        <v>38870.523286303149</v>
      </c>
      <c r="Q35" s="50">
        <v>10556.212329863696</v>
      </c>
      <c r="R35" s="50">
        <v>65800.945633436873</v>
      </c>
      <c r="S35" s="50">
        <v>11959</v>
      </c>
      <c r="T35" s="50">
        <v>127186.68124960372</v>
      </c>
      <c r="V35">
        <v>0.19967687647256815</v>
      </c>
      <c r="W35">
        <v>0.33214874503734609</v>
      </c>
      <c r="X35">
        <v>8.9478646035974024E-2</v>
      </c>
      <c r="Z35" s="50">
        <v>49426.735616166843</v>
      </c>
      <c r="AA35" s="50">
        <v>65800.945633436873</v>
      </c>
      <c r="AC35" s="50">
        <v>0</v>
      </c>
      <c r="AD35" s="50">
        <v>2599</v>
      </c>
      <c r="AE35" s="50">
        <v>470</v>
      </c>
      <c r="AF35" s="50">
        <v>2129</v>
      </c>
      <c r="AH35" s="50">
        <v>82792</v>
      </c>
      <c r="AI35" s="50">
        <v>11489</v>
      </c>
      <c r="AJ35" s="50">
        <v>71303</v>
      </c>
      <c r="AK35">
        <v>8.2699999999999982E-2</v>
      </c>
      <c r="AL35" s="50">
        <v>5896.7580999999991</v>
      </c>
      <c r="AM35" s="50">
        <v>65406.241900000001</v>
      </c>
      <c r="AN35">
        <v>16713</v>
      </c>
      <c r="AO35">
        <v>0.25688236343392107</v>
      </c>
      <c r="AQ35">
        <v>31548</v>
      </c>
      <c r="AR35" s="50">
        <v>14404</v>
      </c>
      <c r="AS35" s="50">
        <v>133652</v>
      </c>
      <c r="AU35" s="50">
        <f t="shared" si="0"/>
        <v>176230.59772711163</v>
      </c>
    </row>
    <row r="36" spans="2:47" x14ac:dyDescent="0.3">
      <c r="B36" s="465"/>
      <c r="AS36" s="50"/>
      <c r="AU36" s="50"/>
    </row>
    <row r="38" spans="2:47" x14ac:dyDescent="0.3">
      <c r="C38" s="50">
        <v>432240</v>
      </c>
      <c r="D38" s="50">
        <v>18221.481397122232</v>
      </c>
      <c r="E38" s="50">
        <v>67116.437858690741</v>
      </c>
      <c r="F38" s="50">
        <v>346902.08074418706</v>
      </c>
      <c r="H38" s="50">
        <f>AVERAGE(H26:H35)</f>
        <v>305622.19340483914</v>
      </c>
      <c r="J38">
        <v>6.4964499773168496E-2</v>
      </c>
      <c r="K38">
        <v>5.7555928656692748E-2</v>
      </c>
      <c r="L38">
        <v>0.22460837390154112</v>
      </c>
      <c r="M38">
        <v>5.1783043294201692E-2</v>
      </c>
      <c r="N38">
        <v>0.398911845625604</v>
      </c>
      <c r="P38" s="50">
        <v>21660.581223011657</v>
      </c>
      <c r="Q38" s="50">
        <v>20855.733963984392</v>
      </c>
      <c r="R38" s="50">
        <v>75908.083140881135</v>
      </c>
      <c r="S38" s="50">
        <v>17770.020678910081</v>
      </c>
      <c r="T38" s="50">
        <v>136194.41900678727</v>
      </c>
      <c r="V38">
        <v>0.11906518413434894</v>
      </c>
      <c r="W38">
        <v>0.26008000394717534</v>
      </c>
      <c r="X38">
        <v>8.0836895975987838E-2</v>
      </c>
      <c r="Z38" s="50">
        <v>41279.887339347908</v>
      </c>
      <c r="AA38" s="50">
        <v>77144.510988529277</v>
      </c>
      <c r="AC38" s="50">
        <v>512.67745013009539</v>
      </c>
      <c r="AD38" s="50">
        <v>6588.7</v>
      </c>
      <c r="AE38" s="50">
        <v>987.6</v>
      </c>
      <c r="AF38" s="50">
        <v>5601.1</v>
      </c>
      <c r="AH38" s="50">
        <v>113645.32203496205</v>
      </c>
      <c r="AI38" s="50">
        <v>16370.945620686005</v>
      </c>
      <c r="AJ38" s="50">
        <v>97274.376414276048</v>
      </c>
      <c r="AK38">
        <v>9.8470588235294129E-2</v>
      </c>
      <c r="AL38" s="50">
        <v>9626.3969113164439</v>
      </c>
      <c r="AM38" s="50">
        <v>87647.979502959613</v>
      </c>
      <c r="AN38">
        <f>AVERAGE(AN26:AN35)</f>
        <v>35751.4</v>
      </c>
      <c r="AO38">
        <v>0.3404709683731596</v>
      </c>
      <c r="AQ38">
        <v>75033.399999999994</v>
      </c>
      <c r="AR38" s="50">
        <v>21209.4</v>
      </c>
      <c r="AS38" s="50">
        <v>231531.49948509215</v>
      </c>
    </row>
    <row r="39" spans="2:47" x14ac:dyDescent="0.3">
      <c r="AJ39" s="50">
        <f>GEOMEAN(AJ26:AJ35)</f>
        <v>77094.846310734865</v>
      </c>
      <c r="AM39" s="50">
        <f>GEOMEAN(AM26:AM35)</f>
        <v>70361.729719155599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B12C3-EC3D-4D9F-80D8-B91A0D53C3C7}">
  <dimension ref="A2:V60"/>
  <sheetViews>
    <sheetView workbookViewId="0">
      <selection activeCell="H31" sqref="H31"/>
    </sheetView>
  </sheetViews>
  <sheetFormatPr defaultColWidth="9.109375" defaultRowHeight="13.8" x14ac:dyDescent="0.25"/>
  <cols>
    <col min="1" max="1" width="4" style="275" customWidth="1"/>
    <col min="2" max="5" width="9.109375" style="275"/>
    <col min="6" max="6" width="5.6640625" style="275" customWidth="1"/>
    <col min="7" max="16384" width="9.109375" style="275"/>
  </cols>
  <sheetData>
    <row r="2" spans="2:16" x14ac:dyDescent="0.25">
      <c r="B2" s="274" t="s">
        <v>373</v>
      </c>
      <c r="C2" s="274"/>
      <c r="D2" s="274"/>
      <c r="E2" s="274"/>
      <c r="G2" s="275" t="s">
        <v>382</v>
      </c>
    </row>
    <row r="3" spans="2:16" ht="14.4" thickBot="1" x14ac:dyDescent="0.3"/>
    <row r="4" spans="2:16" x14ac:dyDescent="0.25">
      <c r="B4" s="554" t="s">
        <v>374</v>
      </c>
      <c r="C4" s="555"/>
      <c r="D4" s="555"/>
      <c r="E4" s="556"/>
      <c r="G4" s="554" t="s">
        <v>370</v>
      </c>
      <c r="H4" s="555"/>
      <c r="I4" s="555"/>
      <c r="J4" s="556"/>
      <c r="K4" s="555" t="s">
        <v>28</v>
      </c>
      <c r="L4" s="555"/>
      <c r="M4" s="555"/>
      <c r="N4" s="554" t="s">
        <v>375</v>
      </c>
      <c r="O4" s="555"/>
      <c r="P4" s="556"/>
    </row>
    <row r="5" spans="2:16" x14ac:dyDescent="0.25">
      <c r="B5" s="276" t="s">
        <v>58</v>
      </c>
      <c r="C5" s="277" t="s">
        <v>371</v>
      </c>
      <c r="D5" s="278" t="s">
        <v>372</v>
      </c>
      <c r="E5" s="279" t="s">
        <v>259</v>
      </c>
      <c r="G5" s="276" t="s">
        <v>58</v>
      </c>
      <c r="H5" s="277" t="s">
        <v>371</v>
      </c>
      <c r="I5" s="278" t="s">
        <v>372</v>
      </c>
      <c r="J5" s="279" t="s">
        <v>259</v>
      </c>
      <c r="K5" s="280" t="s">
        <v>371</v>
      </c>
      <c r="L5" s="278" t="s">
        <v>372</v>
      </c>
      <c r="M5" s="281" t="s">
        <v>259</v>
      </c>
      <c r="N5" s="282" t="s">
        <v>371</v>
      </c>
      <c r="O5" s="278" t="s">
        <v>372</v>
      </c>
      <c r="P5" s="279" t="s">
        <v>259</v>
      </c>
    </row>
    <row r="6" spans="2:16" x14ac:dyDescent="0.25">
      <c r="B6" s="283"/>
      <c r="C6" s="284"/>
      <c r="D6" s="284"/>
      <c r="E6" s="285"/>
      <c r="G6" s="283"/>
      <c r="H6" s="286"/>
      <c r="I6" s="287"/>
      <c r="J6" s="288"/>
      <c r="K6" s="289"/>
      <c r="L6" s="290"/>
      <c r="M6" s="291"/>
      <c r="N6" s="292"/>
      <c r="O6" s="293"/>
      <c r="P6" s="294"/>
    </row>
    <row r="7" spans="2:16" x14ac:dyDescent="0.25">
      <c r="B7" s="295">
        <v>1998</v>
      </c>
      <c r="C7" s="296">
        <f t="shared" ref="C7:C26" si="0">H7+K7</f>
        <v>32710</v>
      </c>
      <c r="D7" s="296">
        <f t="shared" ref="D7:D26" si="1">I7+L7</f>
        <v>6733</v>
      </c>
      <c r="E7" s="297">
        <f t="shared" ref="E7:E26" si="2">D7+C7</f>
        <v>39443</v>
      </c>
      <c r="G7" s="283">
        <v>1998</v>
      </c>
      <c r="H7" s="286">
        <v>29410</v>
      </c>
      <c r="I7" s="287">
        <v>5983</v>
      </c>
      <c r="J7" s="288">
        <f>I7+H7</f>
        <v>35393</v>
      </c>
      <c r="K7" s="289">
        <v>3300</v>
      </c>
      <c r="L7" s="298">
        <v>750</v>
      </c>
      <c r="M7" s="291">
        <f t="shared" ref="M7:M18" si="3">L7+K7</f>
        <v>4050</v>
      </c>
      <c r="N7" s="292">
        <f t="shared" ref="N7:N26" si="4">K7/(H7+K7)</f>
        <v>0.10088657902782024</v>
      </c>
      <c r="O7" s="293">
        <f t="shared" ref="O7:O26" si="5">L7/(I7+L7)</f>
        <v>0.11139165305213129</v>
      </c>
      <c r="P7" s="294">
        <f t="shared" ref="P7:P26" si="6">M7/(J7+M7)</f>
        <v>0.10267981644398246</v>
      </c>
    </row>
    <row r="8" spans="2:16" x14ac:dyDescent="0.25">
      <c r="B8" s="295">
        <v>1999</v>
      </c>
      <c r="C8" s="296">
        <f t="shared" si="0"/>
        <v>32112</v>
      </c>
      <c r="D8" s="296">
        <f t="shared" si="1"/>
        <v>3300</v>
      </c>
      <c r="E8" s="297">
        <f t="shared" si="2"/>
        <v>35412</v>
      </c>
      <c r="G8" s="283">
        <v>1999</v>
      </c>
      <c r="H8" s="286">
        <v>27012</v>
      </c>
      <c r="I8" s="287">
        <v>2800</v>
      </c>
      <c r="J8" s="288">
        <f>I8+H8</f>
        <v>29812</v>
      </c>
      <c r="K8" s="289">
        <v>5100</v>
      </c>
      <c r="L8" s="298">
        <v>500</v>
      </c>
      <c r="M8" s="291">
        <f t="shared" si="3"/>
        <v>5600</v>
      </c>
      <c r="N8" s="292">
        <f t="shared" si="4"/>
        <v>0.15881913303437967</v>
      </c>
      <c r="O8" s="293">
        <f t="shared" si="5"/>
        <v>0.15151515151515152</v>
      </c>
      <c r="P8" s="294">
        <f t="shared" si="6"/>
        <v>0.15813848412967355</v>
      </c>
    </row>
    <row r="9" spans="2:16" x14ac:dyDescent="0.25">
      <c r="B9" s="295">
        <v>2000</v>
      </c>
      <c r="C9" s="296">
        <f t="shared" si="0"/>
        <v>39462</v>
      </c>
      <c r="D9" s="296">
        <f t="shared" si="1"/>
        <v>12669</v>
      </c>
      <c r="E9" s="297">
        <f t="shared" si="2"/>
        <v>52131</v>
      </c>
      <c r="G9" s="283">
        <v>2000</v>
      </c>
      <c r="H9" s="286">
        <v>36027</v>
      </c>
      <c r="I9" s="287">
        <v>11993</v>
      </c>
      <c r="J9" s="288">
        <f>I9+H9</f>
        <v>48020</v>
      </c>
      <c r="K9" s="289">
        <v>3435</v>
      </c>
      <c r="L9" s="298">
        <v>676</v>
      </c>
      <c r="M9" s="291">
        <f t="shared" si="3"/>
        <v>4111</v>
      </c>
      <c r="N9" s="292">
        <f t="shared" si="4"/>
        <v>8.7045765546601789E-2</v>
      </c>
      <c r="O9" s="293">
        <f t="shared" si="5"/>
        <v>5.335859183834557E-2</v>
      </c>
      <c r="P9" s="294">
        <f t="shared" si="6"/>
        <v>7.8859028217375463E-2</v>
      </c>
    </row>
    <row r="10" spans="2:16" x14ac:dyDescent="0.25">
      <c r="B10" s="295">
        <v>2001</v>
      </c>
      <c r="C10" s="296">
        <f t="shared" si="0"/>
        <v>56965</v>
      </c>
      <c r="D10" s="296">
        <f t="shared" si="1"/>
        <v>17138</v>
      </c>
      <c r="E10" s="297">
        <f t="shared" si="2"/>
        <v>74103</v>
      </c>
      <c r="G10" s="283">
        <v>2001</v>
      </c>
      <c r="H10" s="286">
        <v>51394</v>
      </c>
      <c r="I10" s="287">
        <v>15708</v>
      </c>
      <c r="J10" s="288">
        <v>67102</v>
      </c>
      <c r="K10" s="289">
        <v>5571</v>
      </c>
      <c r="L10" s="290">
        <v>1430</v>
      </c>
      <c r="M10" s="291">
        <f t="shared" si="3"/>
        <v>7001</v>
      </c>
      <c r="N10" s="292">
        <f t="shared" si="4"/>
        <v>9.7796892828930046E-2</v>
      </c>
      <c r="O10" s="293">
        <f t="shared" si="5"/>
        <v>8.3440308087291401E-2</v>
      </c>
      <c r="P10" s="294">
        <f t="shared" si="6"/>
        <v>9.4476606885011402E-2</v>
      </c>
    </row>
    <row r="11" spans="2:16" x14ac:dyDescent="0.25">
      <c r="B11" s="295">
        <v>2002</v>
      </c>
      <c r="C11" s="296">
        <f t="shared" si="0"/>
        <v>76667</v>
      </c>
      <c r="D11" s="296">
        <f t="shared" si="1"/>
        <v>16167</v>
      </c>
      <c r="E11" s="297">
        <f t="shared" si="2"/>
        <v>92834</v>
      </c>
      <c r="G11" s="283">
        <v>2002</v>
      </c>
      <c r="H11" s="286">
        <v>69342</v>
      </c>
      <c r="I11" s="287">
        <v>15167</v>
      </c>
      <c r="J11" s="288">
        <f>I11+H11</f>
        <v>84509</v>
      </c>
      <c r="K11" s="289">
        <v>7325</v>
      </c>
      <c r="L11" s="290">
        <v>1000</v>
      </c>
      <c r="M11" s="291">
        <f t="shared" si="3"/>
        <v>8325</v>
      </c>
      <c r="N11" s="292">
        <f t="shared" si="4"/>
        <v>9.5543062856248445E-2</v>
      </c>
      <c r="O11" s="293">
        <f t="shared" si="5"/>
        <v>6.1854394754747327E-2</v>
      </c>
      <c r="P11" s="294">
        <f t="shared" si="6"/>
        <v>8.9676196221212062E-2</v>
      </c>
    </row>
    <row r="12" spans="2:16" x14ac:dyDescent="0.25">
      <c r="B12" s="295">
        <v>2003</v>
      </c>
      <c r="C12" s="296">
        <f t="shared" si="0"/>
        <v>95769</v>
      </c>
      <c r="D12" s="296">
        <f t="shared" si="1"/>
        <v>11929</v>
      </c>
      <c r="E12" s="297">
        <f t="shared" si="2"/>
        <v>107698</v>
      </c>
      <c r="G12" s="283">
        <v>2003</v>
      </c>
      <c r="H12" s="286">
        <v>89312</v>
      </c>
      <c r="I12" s="287">
        <v>11196</v>
      </c>
      <c r="J12" s="288">
        <v>100840</v>
      </c>
      <c r="K12" s="289">
        <v>6457</v>
      </c>
      <c r="L12" s="290">
        <v>733</v>
      </c>
      <c r="M12" s="291">
        <f t="shared" si="3"/>
        <v>7190</v>
      </c>
      <c r="N12" s="292">
        <f t="shared" si="4"/>
        <v>6.7422652424062063E-2</v>
      </c>
      <c r="O12" s="293">
        <f t="shared" si="5"/>
        <v>6.1446894123564424E-2</v>
      </c>
      <c r="P12" s="294">
        <f t="shared" si="6"/>
        <v>6.6555586411182074E-2</v>
      </c>
    </row>
    <row r="13" spans="2:16" x14ac:dyDescent="0.25">
      <c r="B13" s="295">
        <v>2004</v>
      </c>
      <c r="C13" s="296">
        <f t="shared" si="0"/>
        <v>87546.3</v>
      </c>
      <c r="D13" s="296">
        <f t="shared" si="1"/>
        <v>8936.2999999999993</v>
      </c>
      <c r="E13" s="297">
        <f t="shared" si="2"/>
        <v>96482.6</v>
      </c>
      <c r="G13" s="283">
        <v>2004</v>
      </c>
      <c r="H13" s="286">
        <v>79464.3</v>
      </c>
      <c r="I13" s="287">
        <v>8231.2999999999993</v>
      </c>
      <c r="J13" s="288">
        <v>87695.6</v>
      </c>
      <c r="K13" s="289">
        <v>8082</v>
      </c>
      <c r="L13" s="290">
        <v>705</v>
      </c>
      <c r="M13" s="291">
        <f t="shared" si="3"/>
        <v>8787</v>
      </c>
      <c r="N13" s="292">
        <f t="shared" si="4"/>
        <v>9.2316865475753976E-2</v>
      </c>
      <c r="O13" s="293">
        <f t="shared" si="5"/>
        <v>7.8891711334668713E-2</v>
      </c>
      <c r="P13" s="294">
        <f t="shared" si="6"/>
        <v>9.1073416346574398E-2</v>
      </c>
    </row>
    <row r="14" spans="2:16" x14ac:dyDescent="0.25">
      <c r="B14" s="295">
        <v>2005</v>
      </c>
      <c r="C14" s="296">
        <f t="shared" si="0"/>
        <v>71897</v>
      </c>
      <c r="D14" s="296">
        <f t="shared" si="1"/>
        <v>8044</v>
      </c>
      <c r="E14" s="297">
        <f t="shared" si="2"/>
        <v>79941</v>
      </c>
      <c r="G14" s="283">
        <v>2005</v>
      </c>
      <c r="H14" s="286">
        <v>64355</v>
      </c>
      <c r="I14" s="287">
        <v>7612</v>
      </c>
      <c r="J14" s="288">
        <v>71967</v>
      </c>
      <c r="K14" s="289">
        <v>7542</v>
      </c>
      <c r="L14" s="290">
        <v>432</v>
      </c>
      <c r="M14" s="291">
        <f t="shared" si="3"/>
        <v>7974</v>
      </c>
      <c r="N14" s="292">
        <f t="shared" si="4"/>
        <v>0.10490006537129505</v>
      </c>
      <c r="O14" s="293">
        <f t="shared" si="5"/>
        <v>5.370462456489309E-2</v>
      </c>
      <c r="P14" s="294">
        <f t="shared" si="6"/>
        <v>9.9748564566367701E-2</v>
      </c>
    </row>
    <row r="15" spans="2:16" x14ac:dyDescent="0.25">
      <c r="B15" s="295">
        <v>2006</v>
      </c>
      <c r="C15" s="296">
        <f t="shared" si="0"/>
        <v>51150</v>
      </c>
      <c r="D15" s="296">
        <f t="shared" si="1"/>
        <v>5057</v>
      </c>
      <c r="E15" s="297">
        <f t="shared" si="2"/>
        <v>56207</v>
      </c>
      <c r="G15" s="283">
        <v>2006</v>
      </c>
      <c r="H15" s="286">
        <v>47095</v>
      </c>
      <c r="I15" s="287">
        <v>4606</v>
      </c>
      <c r="J15" s="288">
        <v>51701</v>
      </c>
      <c r="K15" s="289">
        <v>4055</v>
      </c>
      <c r="L15" s="290">
        <v>451</v>
      </c>
      <c r="M15" s="291">
        <f t="shared" si="3"/>
        <v>4506</v>
      </c>
      <c r="N15" s="292">
        <f t="shared" si="4"/>
        <v>7.9276637341153464E-2</v>
      </c>
      <c r="O15" s="293">
        <f t="shared" si="5"/>
        <v>8.9183310263001775E-2</v>
      </c>
      <c r="P15" s="294">
        <f t="shared" si="6"/>
        <v>8.016795061113384E-2</v>
      </c>
    </row>
    <row r="16" spans="2:16" x14ac:dyDescent="0.25">
      <c r="B16" s="295">
        <v>2007</v>
      </c>
      <c r="C16" s="296">
        <f t="shared" si="0"/>
        <v>18501</v>
      </c>
      <c r="D16" s="296">
        <f t="shared" si="1"/>
        <v>10237</v>
      </c>
      <c r="E16" s="297">
        <f t="shared" si="2"/>
        <v>28738</v>
      </c>
      <c r="G16" s="283">
        <v>2007</v>
      </c>
      <c r="H16" s="286">
        <v>13887</v>
      </c>
      <c r="I16" s="287">
        <v>8385</v>
      </c>
      <c r="J16" s="288">
        <v>22272</v>
      </c>
      <c r="K16" s="289">
        <v>4614</v>
      </c>
      <c r="L16" s="290">
        <v>1852</v>
      </c>
      <c r="M16" s="291">
        <f t="shared" si="3"/>
        <v>6466</v>
      </c>
      <c r="N16" s="292">
        <f t="shared" si="4"/>
        <v>0.24939192476082375</v>
      </c>
      <c r="O16" s="293">
        <f t="shared" si="5"/>
        <v>0.18091237667285337</v>
      </c>
      <c r="P16" s="294">
        <f t="shared" si="6"/>
        <v>0.22499826014336419</v>
      </c>
    </row>
    <row r="17" spans="1:22" x14ac:dyDescent="0.25">
      <c r="B17" s="295">
        <v>2008</v>
      </c>
      <c r="C17" s="296">
        <f t="shared" si="0"/>
        <v>28999</v>
      </c>
      <c r="D17" s="296">
        <f t="shared" si="1"/>
        <v>7072</v>
      </c>
      <c r="E17" s="297">
        <f t="shared" si="2"/>
        <v>36071</v>
      </c>
      <c r="G17" s="283">
        <v>2008</v>
      </c>
      <c r="H17" s="286">
        <v>23361</v>
      </c>
      <c r="I17" s="287">
        <v>5697</v>
      </c>
      <c r="J17" s="288">
        <f>I17+H17</f>
        <v>29058</v>
      </c>
      <c r="K17" s="289">
        <v>5638</v>
      </c>
      <c r="L17" s="290">
        <v>1375</v>
      </c>
      <c r="M17" s="291">
        <f t="shared" si="3"/>
        <v>7013</v>
      </c>
      <c r="N17" s="292">
        <f t="shared" si="4"/>
        <v>0.19442049725852614</v>
      </c>
      <c r="O17" s="293">
        <f t="shared" si="5"/>
        <v>0.19442873303167421</v>
      </c>
      <c r="P17" s="294">
        <f t="shared" si="6"/>
        <v>0.19442211194588452</v>
      </c>
    </row>
    <row r="18" spans="1:22" x14ac:dyDescent="0.25">
      <c r="B18" s="295">
        <v>2009</v>
      </c>
      <c r="C18" s="296">
        <f t="shared" si="0"/>
        <v>32899</v>
      </c>
      <c r="D18" s="296">
        <f t="shared" si="1"/>
        <v>12627</v>
      </c>
      <c r="E18" s="297">
        <f t="shared" si="2"/>
        <v>45526</v>
      </c>
      <c r="G18" s="283">
        <v>2009</v>
      </c>
      <c r="H18" s="286">
        <v>26346</v>
      </c>
      <c r="I18" s="287">
        <v>10374</v>
      </c>
      <c r="J18" s="288">
        <f>I18+H18</f>
        <v>36720</v>
      </c>
      <c r="K18" s="289">
        <v>6553</v>
      </c>
      <c r="L18" s="290">
        <v>2253</v>
      </c>
      <c r="M18" s="291">
        <f t="shared" si="3"/>
        <v>8806</v>
      </c>
      <c r="N18" s="292">
        <f t="shared" si="4"/>
        <v>0.19918538557402959</v>
      </c>
      <c r="O18" s="293">
        <f t="shared" si="5"/>
        <v>0.1784271798526966</v>
      </c>
      <c r="P18" s="294">
        <f t="shared" si="6"/>
        <v>0.19342793129200897</v>
      </c>
    </row>
    <row r="19" spans="1:22" x14ac:dyDescent="0.25">
      <c r="B19" s="295">
        <v>2010</v>
      </c>
      <c r="C19" s="296">
        <f t="shared" si="0"/>
        <v>91393.35</v>
      </c>
      <c r="D19" s="296">
        <f t="shared" si="1"/>
        <v>8148.7999999999993</v>
      </c>
      <c r="E19" s="297">
        <f t="shared" si="2"/>
        <v>99542.150000000009</v>
      </c>
      <c r="G19" s="283">
        <v>2010</v>
      </c>
      <c r="H19" s="286">
        <v>80408.350000000006</v>
      </c>
      <c r="I19" s="287">
        <v>6607.7999999999993</v>
      </c>
      <c r="J19" s="288">
        <v>87016.150000000009</v>
      </c>
      <c r="K19" s="289">
        <v>10985</v>
      </c>
      <c r="L19" s="290">
        <v>1541</v>
      </c>
      <c r="M19" s="291">
        <v>12526</v>
      </c>
      <c r="N19" s="292">
        <f t="shared" si="4"/>
        <v>0.12019474064579096</v>
      </c>
      <c r="O19" s="293">
        <f t="shared" si="5"/>
        <v>0.18910759866483409</v>
      </c>
      <c r="P19" s="294">
        <f t="shared" si="6"/>
        <v>0.1258361407705178</v>
      </c>
    </row>
    <row r="20" spans="1:22" x14ac:dyDescent="0.25">
      <c r="B20" s="295">
        <v>2011</v>
      </c>
      <c r="C20" s="296">
        <f t="shared" si="0"/>
        <v>77322</v>
      </c>
      <c r="D20" s="296">
        <f t="shared" si="1"/>
        <v>12181</v>
      </c>
      <c r="E20" s="297">
        <f t="shared" si="2"/>
        <v>89503</v>
      </c>
      <c r="G20" s="283">
        <v>2011</v>
      </c>
      <c r="H20" s="286">
        <v>65724</v>
      </c>
      <c r="I20" s="287">
        <v>9532</v>
      </c>
      <c r="J20" s="288">
        <v>75256</v>
      </c>
      <c r="K20" s="289">
        <v>11598</v>
      </c>
      <c r="L20" s="290">
        <v>2649</v>
      </c>
      <c r="M20" s="291">
        <f>L20+K20</f>
        <v>14247</v>
      </c>
      <c r="N20" s="292">
        <f t="shared" si="4"/>
        <v>0.14999612012105223</v>
      </c>
      <c r="O20" s="293">
        <f t="shared" si="5"/>
        <v>0.21746983006321319</v>
      </c>
      <c r="P20" s="294">
        <f t="shared" si="6"/>
        <v>0.15917902193222574</v>
      </c>
    </row>
    <row r="21" spans="1:22" x14ac:dyDescent="0.25">
      <c r="B21" s="295">
        <v>2012</v>
      </c>
      <c r="C21" s="296">
        <f t="shared" si="0"/>
        <v>64915</v>
      </c>
      <c r="D21" s="296">
        <f t="shared" si="1"/>
        <v>11570</v>
      </c>
      <c r="E21" s="297">
        <f t="shared" si="2"/>
        <v>76485</v>
      </c>
      <c r="G21" s="283">
        <v>2012</v>
      </c>
      <c r="H21" s="286">
        <v>51813</v>
      </c>
      <c r="I21" s="287">
        <v>5897</v>
      </c>
      <c r="J21" s="288">
        <f>I21+H21</f>
        <v>57710</v>
      </c>
      <c r="K21" s="289">
        <v>13102</v>
      </c>
      <c r="L21" s="290">
        <v>5673</v>
      </c>
      <c r="M21" s="291">
        <v>18775</v>
      </c>
      <c r="N21" s="292">
        <f t="shared" si="4"/>
        <v>0.20183316644843258</v>
      </c>
      <c r="O21" s="293">
        <f t="shared" si="5"/>
        <v>0.4903197925669836</v>
      </c>
      <c r="P21" s="294">
        <f t="shared" si="6"/>
        <v>0.24547296855592599</v>
      </c>
    </row>
    <row r="22" spans="1:22" x14ac:dyDescent="0.25">
      <c r="B22" s="295">
        <v>2013</v>
      </c>
      <c r="C22" s="296">
        <f t="shared" si="0"/>
        <v>182405.29756930863</v>
      </c>
      <c r="D22" s="296">
        <f t="shared" si="1"/>
        <v>20065.420074583551</v>
      </c>
      <c r="E22" s="297">
        <f t="shared" si="2"/>
        <v>202470.71764389219</v>
      </c>
      <c r="G22" s="283">
        <v>2013</v>
      </c>
      <c r="H22" s="286">
        <v>157484.29756930863</v>
      </c>
      <c r="I22" s="287">
        <v>17356.420074583551</v>
      </c>
      <c r="J22" s="288">
        <v>174840.71764389219</v>
      </c>
      <c r="K22" s="289">
        <v>24921</v>
      </c>
      <c r="L22" s="290">
        <v>2709</v>
      </c>
      <c r="M22" s="291">
        <v>27630</v>
      </c>
      <c r="N22" s="292">
        <f t="shared" si="4"/>
        <v>0.13662432139905781</v>
      </c>
      <c r="O22" s="293">
        <f t="shared" si="5"/>
        <v>0.13500838706244847</v>
      </c>
      <c r="P22" s="294">
        <f t="shared" si="6"/>
        <v>0.13646417774147448</v>
      </c>
    </row>
    <row r="23" spans="1:22" x14ac:dyDescent="0.25">
      <c r="B23" s="295">
        <v>2014</v>
      </c>
      <c r="C23" s="296">
        <f t="shared" si="0"/>
        <v>181196</v>
      </c>
      <c r="D23" s="296">
        <f t="shared" si="1"/>
        <v>35028</v>
      </c>
      <c r="E23" s="297">
        <f t="shared" si="2"/>
        <v>216224</v>
      </c>
      <c r="G23" s="283">
        <v>2014</v>
      </c>
      <c r="H23" s="286">
        <v>152517</v>
      </c>
      <c r="I23" s="287">
        <v>31290</v>
      </c>
      <c r="J23" s="288">
        <v>183807</v>
      </c>
      <c r="K23" s="289">
        <v>28679</v>
      </c>
      <c r="L23" s="290">
        <v>3738</v>
      </c>
      <c r="M23" s="291">
        <v>32427</v>
      </c>
      <c r="N23" s="292">
        <f t="shared" si="4"/>
        <v>0.15827612088567078</v>
      </c>
      <c r="O23" s="293">
        <f t="shared" si="5"/>
        <v>0.10671462829736211</v>
      </c>
      <c r="P23" s="294">
        <f t="shared" si="6"/>
        <v>0.1499625405810372</v>
      </c>
    </row>
    <row r="24" spans="1:22" x14ac:dyDescent="0.25">
      <c r="B24" s="295">
        <v>2015</v>
      </c>
      <c r="C24" s="296">
        <f t="shared" si="0"/>
        <v>267812.1165734519</v>
      </c>
      <c r="D24" s="296">
        <f t="shared" si="1"/>
        <v>33953.688892280981</v>
      </c>
      <c r="E24" s="297">
        <f t="shared" si="2"/>
        <v>301765.80546573288</v>
      </c>
      <c r="G24" s="283">
        <v>2015</v>
      </c>
      <c r="H24" s="284">
        <v>233927.11657345187</v>
      </c>
      <c r="I24" s="284">
        <v>32400.688892280981</v>
      </c>
      <c r="J24" s="285">
        <v>266327.80546573288</v>
      </c>
      <c r="K24" s="289">
        <v>33885</v>
      </c>
      <c r="L24" s="290">
        <v>1553</v>
      </c>
      <c r="M24" s="291">
        <v>35438</v>
      </c>
      <c r="N24" s="292">
        <f t="shared" si="4"/>
        <v>0.1265252686605256</v>
      </c>
      <c r="O24" s="293">
        <f t="shared" si="5"/>
        <v>4.5738770974987006E-2</v>
      </c>
      <c r="P24" s="294">
        <f t="shared" si="6"/>
        <v>0.11743543953002381</v>
      </c>
    </row>
    <row r="25" spans="1:22" x14ac:dyDescent="0.25">
      <c r="B25" s="295">
        <v>2016</v>
      </c>
      <c r="C25" s="296">
        <f t="shared" si="0"/>
        <v>126719.45620686005</v>
      </c>
      <c r="D25" s="296">
        <f t="shared" si="1"/>
        <v>7494.9751773545631</v>
      </c>
      <c r="E25" s="297">
        <f t="shared" si="2"/>
        <v>134214.43138421461</v>
      </c>
      <c r="G25" s="283">
        <v>2016</v>
      </c>
      <c r="H25" s="286">
        <v>109860</v>
      </c>
      <c r="I25" s="287">
        <v>6427</v>
      </c>
      <c r="J25" s="288">
        <v>116287</v>
      </c>
      <c r="K25" s="289">
        <v>16859.456206860053</v>
      </c>
      <c r="L25" s="290">
        <v>1067.9751773545636</v>
      </c>
      <c r="M25" s="291">
        <v>17927.431384214618</v>
      </c>
      <c r="N25" s="292">
        <f t="shared" si="4"/>
        <v>0.13304552206520087</v>
      </c>
      <c r="O25" s="293">
        <f t="shared" si="5"/>
        <v>0.14249215668937246</v>
      </c>
      <c r="P25" s="294">
        <f t="shared" si="6"/>
        <v>0.13357305320538818</v>
      </c>
    </row>
    <row r="26" spans="1:22" ht="14.4" thickBot="1" x14ac:dyDescent="0.3">
      <c r="B26" s="299">
        <v>2017</v>
      </c>
      <c r="C26" s="300">
        <f t="shared" si="0"/>
        <v>82792</v>
      </c>
      <c r="D26" s="300">
        <f t="shared" si="1"/>
        <v>3328</v>
      </c>
      <c r="E26" s="301">
        <f t="shared" si="2"/>
        <v>86120</v>
      </c>
      <c r="G26" s="302">
        <v>2017</v>
      </c>
      <c r="H26" s="303">
        <v>71303</v>
      </c>
      <c r="I26" s="304">
        <v>2456</v>
      </c>
      <c r="J26" s="305">
        <v>73759</v>
      </c>
      <c r="K26" s="306">
        <v>11489</v>
      </c>
      <c r="L26" s="307">
        <v>872</v>
      </c>
      <c r="M26" s="308">
        <f>L26+K26</f>
        <v>12361</v>
      </c>
      <c r="N26" s="309">
        <f t="shared" si="4"/>
        <v>0.13876944632331625</v>
      </c>
      <c r="O26" s="310">
        <f t="shared" si="5"/>
        <v>0.26201923076923078</v>
      </c>
      <c r="P26" s="311">
        <f t="shared" si="6"/>
        <v>0.14353228053878309</v>
      </c>
    </row>
    <row r="27" spans="1:22" ht="14.4" thickTop="1" x14ac:dyDescent="0.25">
      <c r="B27" s="312" t="s">
        <v>376</v>
      </c>
      <c r="C27" s="313">
        <f>AVERAGE(C12:C26)</f>
        <v>97421.101356641375</v>
      </c>
      <c r="D27" s="313">
        <f>AVERAGE(D12:D26)</f>
        <v>13044.812276281273</v>
      </c>
      <c r="E27" s="313">
        <f>AVERAGE(E12:E26)</f>
        <v>110465.91363292265</v>
      </c>
      <c r="G27" s="314" t="s">
        <v>376</v>
      </c>
      <c r="H27" s="313">
        <f t="shared" ref="H27:P27" si="7">AVERAGE(H12:H26)</f>
        <v>84457.137609517376</v>
      </c>
      <c r="I27" s="313">
        <f t="shared" si="7"/>
        <v>11204.547264457635</v>
      </c>
      <c r="J27" s="313">
        <f t="shared" si="7"/>
        <v>95683.818207308344</v>
      </c>
      <c r="K27" s="313">
        <f t="shared" si="7"/>
        <v>12963.963747124004</v>
      </c>
      <c r="L27" s="313">
        <f t="shared" si="7"/>
        <v>1840.2650118236377</v>
      </c>
      <c r="M27" s="313">
        <f t="shared" si="7"/>
        <v>14804.895425614308</v>
      </c>
      <c r="N27" s="315">
        <f t="shared" si="7"/>
        <v>0.14347858231697944</v>
      </c>
      <c r="O27" s="315">
        <f t="shared" si="7"/>
        <v>0.1617243483287856</v>
      </c>
      <c r="P27" s="316">
        <f t="shared" si="7"/>
        <v>0.14412329627812615</v>
      </c>
    </row>
    <row r="28" spans="1:22" x14ac:dyDescent="0.25">
      <c r="B28" s="317" t="s">
        <v>377</v>
      </c>
      <c r="C28" s="318">
        <f>AVERAGE(C18:C26)</f>
        <v>123050.46892773562</v>
      </c>
      <c r="D28" s="318">
        <f>AVERAGE(D18:D26)</f>
        <v>16044.098238246566</v>
      </c>
      <c r="E28" s="318">
        <f>AVERAGE(E14:E26)</f>
        <v>111754.46957644921</v>
      </c>
      <c r="G28" s="319" t="s">
        <v>377</v>
      </c>
      <c r="H28" s="318">
        <f t="shared" ref="H28:M28" si="8">AVERAGE(H18:H26)</f>
        <v>105486.97379364006</v>
      </c>
      <c r="I28" s="318">
        <f t="shared" si="8"/>
        <v>13593.434329651613</v>
      </c>
      <c r="J28" s="318">
        <f t="shared" si="8"/>
        <v>119080.40812329167</v>
      </c>
      <c r="K28" s="318">
        <f t="shared" si="8"/>
        <v>17563.495134095559</v>
      </c>
      <c r="L28" s="318">
        <f t="shared" si="8"/>
        <v>2450.6639085949519</v>
      </c>
      <c r="M28" s="318">
        <f t="shared" si="8"/>
        <v>20015.270153801623</v>
      </c>
      <c r="N28" s="320">
        <f>AVERAGE(N18:N26)</f>
        <v>0.15160556579145296</v>
      </c>
      <c r="O28" s="320">
        <f>AVERAGE(O18:O26)</f>
        <v>0.19636639721568094</v>
      </c>
      <c r="P28" s="321">
        <f>AVERAGE(P18:P26)</f>
        <v>0.15609817268304282</v>
      </c>
    </row>
    <row r="29" spans="1:22" ht="14.4" thickBot="1" x14ac:dyDescent="0.3">
      <c r="B29" s="317" t="s">
        <v>378</v>
      </c>
      <c r="C29" s="318">
        <f>AVERAGE(C12:C17)</f>
        <v>58977.049999999996</v>
      </c>
      <c r="D29" s="318">
        <f>AVERAGE(D12:D17)</f>
        <v>8545.8833333333332</v>
      </c>
      <c r="E29" s="318">
        <f>AVERAGE(E12:E17)</f>
        <v>67522.933333333334</v>
      </c>
      <c r="G29" s="322" t="s">
        <v>378</v>
      </c>
      <c r="H29" s="323">
        <f t="shared" ref="H29:P29" si="9">AVERAGE(H12:H17)</f>
        <v>52912.383333333331</v>
      </c>
      <c r="I29" s="323">
        <f t="shared" si="9"/>
        <v>7621.2166666666672</v>
      </c>
      <c r="J29" s="323">
        <f t="shared" si="9"/>
        <v>60588.933333333327</v>
      </c>
      <c r="K29" s="323">
        <f t="shared" si="9"/>
        <v>6064.666666666667</v>
      </c>
      <c r="L29" s="323">
        <f t="shared" si="9"/>
        <v>924.66666666666663</v>
      </c>
      <c r="M29" s="323">
        <f t="shared" si="9"/>
        <v>6989.333333333333</v>
      </c>
      <c r="N29" s="324">
        <f t="shared" si="9"/>
        <v>0.13128810710526909</v>
      </c>
      <c r="O29" s="324">
        <f t="shared" si="9"/>
        <v>0.10976127499844258</v>
      </c>
      <c r="P29" s="325">
        <f t="shared" si="9"/>
        <v>0.12616098167075113</v>
      </c>
    </row>
    <row r="30" spans="1:22" x14ac:dyDescent="0.25">
      <c r="B30" s="326" t="s">
        <v>379</v>
      </c>
    </row>
    <row r="31" spans="1:22" x14ac:dyDescent="0.25">
      <c r="A31" s="275" t="s">
        <v>380</v>
      </c>
      <c r="C31" s="327">
        <f>GEOMEAN(C17:C26)</f>
        <v>91389.781838183771</v>
      </c>
      <c r="H31" s="327">
        <f>GEOMEAN(H17:H26)</f>
        <v>77094.846310734865</v>
      </c>
      <c r="K31" s="327">
        <f>GEOMEAN(K17:K26)</f>
        <v>14000.220479905563</v>
      </c>
      <c r="N31" s="354">
        <f>GEOMEAN(N17:N26)</f>
        <v>0.15319240508413273</v>
      </c>
      <c r="V31" s="328" t="s">
        <v>381</v>
      </c>
    </row>
    <row r="32" spans="1:22" ht="14.4" thickBot="1" x14ac:dyDescent="0.3"/>
    <row r="33" spans="2:16" x14ac:dyDescent="0.25">
      <c r="B33" s="554" t="s">
        <v>24</v>
      </c>
      <c r="C33" s="555"/>
      <c r="D33" s="555"/>
      <c r="E33" s="556"/>
      <c r="G33" s="554" t="s">
        <v>370</v>
      </c>
      <c r="H33" s="555"/>
      <c r="I33" s="555"/>
      <c r="J33" s="556"/>
      <c r="K33" s="554" t="s">
        <v>28</v>
      </c>
      <c r="L33" s="555"/>
      <c r="M33" s="556"/>
      <c r="N33" s="554" t="s">
        <v>375</v>
      </c>
      <c r="O33" s="555"/>
      <c r="P33" s="556"/>
    </row>
    <row r="34" spans="2:16" x14ac:dyDescent="0.25">
      <c r="B34" s="276" t="s">
        <v>58</v>
      </c>
      <c r="C34" s="277" t="s">
        <v>371</v>
      </c>
      <c r="D34" s="278" t="s">
        <v>372</v>
      </c>
      <c r="E34" s="279" t="s">
        <v>259</v>
      </c>
      <c r="G34" s="276" t="s">
        <v>58</v>
      </c>
      <c r="H34" s="277" t="s">
        <v>371</v>
      </c>
      <c r="I34" s="278" t="s">
        <v>372</v>
      </c>
      <c r="J34" s="279" t="s">
        <v>259</v>
      </c>
      <c r="K34" s="282" t="s">
        <v>371</v>
      </c>
      <c r="L34" s="278" t="s">
        <v>372</v>
      </c>
      <c r="M34" s="279" t="s">
        <v>259</v>
      </c>
      <c r="N34" s="282" t="s">
        <v>371</v>
      </c>
      <c r="O34" s="278" t="s">
        <v>372</v>
      </c>
      <c r="P34" s="279" t="s">
        <v>259</v>
      </c>
    </row>
    <row r="35" spans="2:16" x14ac:dyDescent="0.25">
      <c r="B35" s="283">
        <f>B26</f>
        <v>2017</v>
      </c>
      <c r="C35" s="284">
        <f>C26</f>
        <v>82792</v>
      </c>
      <c r="D35" s="284">
        <f>D26</f>
        <v>3328</v>
      </c>
      <c r="E35" s="285">
        <f>E26</f>
        <v>86120</v>
      </c>
      <c r="G35" s="283">
        <f t="shared" ref="G35:P35" si="10">G26</f>
        <v>2017</v>
      </c>
      <c r="H35" s="284">
        <f t="shared" si="10"/>
        <v>71303</v>
      </c>
      <c r="I35" s="284">
        <f t="shared" si="10"/>
        <v>2456</v>
      </c>
      <c r="J35" s="285">
        <f t="shared" si="10"/>
        <v>73759</v>
      </c>
      <c r="K35" s="329">
        <f t="shared" si="10"/>
        <v>11489</v>
      </c>
      <c r="L35" s="284">
        <f t="shared" si="10"/>
        <v>872</v>
      </c>
      <c r="M35" s="285">
        <f t="shared" si="10"/>
        <v>12361</v>
      </c>
      <c r="N35" s="330">
        <f t="shared" si="10"/>
        <v>0.13876944632331625</v>
      </c>
      <c r="O35" s="331">
        <f t="shared" si="10"/>
        <v>0.26201923076923078</v>
      </c>
      <c r="P35" s="332">
        <f t="shared" si="10"/>
        <v>0.14353228053878309</v>
      </c>
    </row>
    <row r="36" spans="2:16" x14ac:dyDescent="0.25">
      <c r="B36" s="283">
        <f>B25</f>
        <v>2016</v>
      </c>
      <c r="C36" s="284">
        <f>C25</f>
        <v>126719.45620686005</v>
      </c>
      <c r="D36" s="284">
        <f>D25</f>
        <v>7494.9751773545631</v>
      </c>
      <c r="E36" s="285">
        <f>E25</f>
        <v>134214.43138421461</v>
      </c>
      <c r="G36" s="283">
        <f t="shared" ref="G36:P36" si="11">G25</f>
        <v>2016</v>
      </c>
      <c r="H36" s="284">
        <f t="shared" si="11"/>
        <v>109860</v>
      </c>
      <c r="I36" s="284">
        <f t="shared" si="11"/>
        <v>6427</v>
      </c>
      <c r="J36" s="285">
        <f t="shared" si="11"/>
        <v>116287</v>
      </c>
      <c r="K36" s="329">
        <f t="shared" si="11"/>
        <v>16859.456206860053</v>
      </c>
      <c r="L36" s="284">
        <f t="shared" si="11"/>
        <v>1067.9751773545636</v>
      </c>
      <c r="M36" s="285">
        <f t="shared" si="11"/>
        <v>17927.431384214618</v>
      </c>
      <c r="N36" s="330">
        <f t="shared" si="11"/>
        <v>0.13304552206520087</v>
      </c>
      <c r="O36" s="331">
        <f t="shared" si="11"/>
        <v>0.14249215668937246</v>
      </c>
      <c r="P36" s="332">
        <f t="shared" si="11"/>
        <v>0.13357305320538818</v>
      </c>
    </row>
    <row r="37" spans="2:16" x14ac:dyDescent="0.25">
      <c r="B37" s="283">
        <f>B24</f>
        <v>2015</v>
      </c>
      <c r="C37" s="284">
        <f>C24</f>
        <v>267812.1165734519</v>
      </c>
      <c r="D37" s="284">
        <f>D24</f>
        <v>33953.688892280981</v>
      </c>
      <c r="E37" s="285">
        <f>E24</f>
        <v>301765.80546573288</v>
      </c>
      <c r="G37" s="283">
        <f t="shared" ref="G37:P37" si="12">G24</f>
        <v>2015</v>
      </c>
      <c r="H37" s="284">
        <f t="shared" si="12"/>
        <v>233927.11657345187</v>
      </c>
      <c r="I37" s="284">
        <f t="shared" si="12"/>
        <v>32400.688892280981</v>
      </c>
      <c r="J37" s="285">
        <f t="shared" si="12"/>
        <v>266327.80546573288</v>
      </c>
      <c r="K37" s="329">
        <f t="shared" si="12"/>
        <v>33885</v>
      </c>
      <c r="L37" s="284">
        <f t="shared" si="12"/>
        <v>1553</v>
      </c>
      <c r="M37" s="285">
        <f t="shared" si="12"/>
        <v>35438</v>
      </c>
      <c r="N37" s="330">
        <f t="shared" si="12"/>
        <v>0.1265252686605256</v>
      </c>
      <c r="O37" s="331">
        <f t="shared" si="12"/>
        <v>4.5738770974987006E-2</v>
      </c>
      <c r="P37" s="332">
        <f t="shared" si="12"/>
        <v>0.11743543953002381</v>
      </c>
    </row>
    <row r="38" spans="2:16" x14ac:dyDescent="0.25">
      <c r="B38" s="283">
        <f>B23</f>
        <v>2014</v>
      </c>
      <c r="C38" s="284">
        <f>C23</f>
        <v>181196</v>
      </c>
      <c r="D38" s="284">
        <f>D23</f>
        <v>35028</v>
      </c>
      <c r="E38" s="285">
        <f>E23</f>
        <v>216224</v>
      </c>
      <c r="G38" s="283">
        <f t="shared" ref="G38:P38" si="13">G23</f>
        <v>2014</v>
      </c>
      <c r="H38" s="286">
        <v>51394</v>
      </c>
      <c r="I38" s="287">
        <v>15708</v>
      </c>
      <c r="J38" s="288">
        <v>67102</v>
      </c>
      <c r="K38" s="329">
        <f t="shared" si="13"/>
        <v>28679</v>
      </c>
      <c r="L38" s="284">
        <f t="shared" si="13"/>
        <v>3738</v>
      </c>
      <c r="M38" s="285">
        <f t="shared" si="13"/>
        <v>32427</v>
      </c>
      <c r="N38" s="330">
        <f t="shared" si="13"/>
        <v>0.15827612088567078</v>
      </c>
      <c r="O38" s="331">
        <f t="shared" si="13"/>
        <v>0.10671462829736211</v>
      </c>
      <c r="P38" s="332">
        <f t="shared" si="13"/>
        <v>0.1499625405810372</v>
      </c>
    </row>
    <row r="39" spans="2:16" x14ac:dyDescent="0.25">
      <c r="B39" s="283">
        <f>B22</f>
        <v>2013</v>
      </c>
      <c r="C39" s="284">
        <f>C22</f>
        <v>182405.29756930863</v>
      </c>
      <c r="D39" s="284">
        <f>D22</f>
        <v>20065.420074583551</v>
      </c>
      <c r="E39" s="285">
        <f>E22</f>
        <v>202470.71764389219</v>
      </c>
      <c r="G39" s="283">
        <f t="shared" ref="G39:P39" si="14">G22</f>
        <v>2013</v>
      </c>
      <c r="H39" s="284">
        <f t="shared" si="14"/>
        <v>157484.29756930863</v>
      </c>
      <c r="I39" s="284">
        <f t="shared" si="14"/>
        <v>17356.420074583551</v>
      </c>
      <c r="J39" s="285">
        <f t="shared" si="14"/>
        <v>174840.71764389219</v>
      </c>
      <c r="K39" s="329">
        <f t="shared" si="14"/>
        <v>24921</v>
      </c>
      <c r="L39" s="284">
        <f t="shared" si="14"/>
        <v>2709</v>
      </c>
      <c r="M39" s="285">
        <f t="shared" si="14"/>
        <v>27630</v>
      </c>
      <c r="N39" s="330">
        <f t="shared" si="14"/>
        <v>0.13662432139905781</v>
      </c>
      <c r="O39" s="331">
        <f t="shared" si="14"/>
        <v>0.13500838706244847</v>
      </c>
      <c r="P39" s="332">
        <f t="shared" si="14"/>
        <v>0.13646417774147448</v>
      </c>
    </row>
    <row r="40" spans="2:16" x14ac:dyDescent="0.25">
      <c r="B40" s="283">
        <f>B21</f>
        <v>2012</v>
      </c>
      <c r="C40" s="284">
        <f>C21</f>
        <v>64915</v>
      </c>
      <c r="D40" s="284">
        <f>D21</f>
        <v>11570</v>
      </c>
      <c r="E40" s="285">
        <f>E21</f>
        <v>76485</v>
      </c>
      <c r="G40" s="283">
        <f t="shared" ref="G40:P40" si="15">G21</f>
        <v>2012</v>
      </c>
      <c r="H40" s="284">
        <f t="shared" si="15"/>
        <v>51813</v>
      </c>
      <c r="I40" s="284">
        <f t="shared" si="15"/>
        <v>5897</v>
      </c>
      <c r="J40" s="285">
        <f t="shared" si="15"/>
        <v>57710</v>
      </c>
      <c r="K40" s="329">
        <f t="shared" si="15"/>
        <v>13102</v>
      </c>
      <c r="L40" s="284">
        <f t="shared" si="15"/>
        <v>5673</v>
      </c>
      <c r="M40" s="285">
        <f t="shared" si="15"/>
        <v>18775</v>
      </c>
      <c r="N40" s="330">
        <f t="shared" si="15"/>
        <v>0.20183316644843258</v>
      </c>
      <c r="O40" s="331">
        <f t="shared" si="15"/>
        <v>0.4903197925669836</v>
      </c>
      <c r="P40" s="332">
        <f t="shared" si="15"/>
        <v>0.24547296855592599</v>
      </c>
    </row>
    <row r="41" spans="2:16" x14ac:dyDescent="0.25">
      <c r="B41" s="283">
        <f>B20</f>
        <v>2011</v>
      </c>
      <c r="C41" s="284">
        <f>C20</f>
        <v>77322</v>
      </c>
      <c r="D41" s="284">
        <f>D20</f>
        <v>12181</v>
      </c>
      <c r="E41" s="285">
        <f>E20</f>
        <v>89503</v>
      </c>
      <c r="G41" s="283">
        <f t="shared" ref="G41:P41" si="16">G20</f>
        <v>2011</v>
      </c>
      <c r="H41" s="284">
        <f t="shared" si="16"/>
        <v>65724</v>
      </c>
      <c r="I41" s="284">
        <f t="shared" si="16"/>
        <v>9532</v>
      </c>
      <c r="J41" s="285">
        <f t="shared" si="16"/>
        <v>75256</v>
      </c>
      <c r="K41" s="329">
        <f t="shared" si="16"/>
        <v>11598</v>
      </c>
      <c r="L41" s="284">
        <f t="shared" si="16"/>
        <v>2649</v>
      </c>
      <c r="M41" s="285">
        <f t="shared" si="16"/>
        <v>14247</v>
      </c>
      <c r="N41" s="330">
        <f t="shared" si="16"/>
        <v>0.14999612012105223</v>
      </c>
      <c r="O41" s="331">
        <f t="shared" si="16"/>
        <v>0.21746983006321319</v>
      </c>
      <c r="P41" s="332">
        <f t="shared" si="16"/>
        <v>0.15917902193222574</v>
      </c>
    </row>
    <row r="42" spans="2:16" x14ac:dyDescent="0.25">
      <c r="B42" s="283">
        <f>B19</f>
        <v>2010</v>
      </c>
      <c r="C42" s="284">
        <f>C19</f>
        <v>91393.35</v>
      </c>
      <c r="D42" s="284">
        <f>D19</f>
        <v>8148.7999999999993</v>
      </c>
      <c r="E42" s="285">
        <f>E19</f>
        <v>99542.150000000009</v>
      </c>
      <c r="G42" s="283">
        <f t="shared" ref="G42:P42" si="17">G19</f>
        <v>2010</v>
      </c>
      <c r="H42" s="284">
        <f t="shared" si="17"/>
        <v>80408.350000000006</v>
      </c>
      <c r="I42" s="284">
        <f t="shared" si="17"/>
        <v>6607.7999999999993</v>
      </c>
      <c r="J42" s="285">
        <f t="shared" si="17"/>
        <v>87016.150000000009</v>
      </c>
      <c r="K42" s="329">
        <f t="shared" si="17"/>
        <v>10985</v>
      </c>
      <c r="L42" s="284">
        <f t="shared" si="17"/>
        <v>1541</v>
      </c>
      <c r="M42" s="285">
        <f t="shared" si="17"/>
        <v>12526</v>
      </c>
      <c r="N42" s="330">
        <f t="shared" si="17"/>
        <v>0.12019474064579096</v>
      </c>
      <c r="O42" s="331">
        <f t="shared" si="17"/>
        <v>0.18910759866483409</v>
      </c>
      <c r="P42" s="332">
        <f t="shared" si="17"/>
        <v>0.1258361407705178</v>
      </c>
    </row>
    <row r="43" spans="2:16" x14ac:dyDescent="0.25">
      <c r="B43" s="283">
        <f>B18</f>
        <v>2009</v>
      </c>
      <c r="C43" s="284">
        <f>C18</f>
        <v>32899</v>
      </c>
      <c r="D43" s="284">
        <f>D18</f>
        <v>12627</v>
      </c>
      <c r="E43" s="285">
        <f>E18</f>
        <v>45526</v>
      </c>
      <c r="G43" s="283">
        <f t="shared" ref="G43:P43" si="18">G18</f>
        <v>2009</v>
      </c>
      <c r="H43" s="284">
        <f t="shared" si="18"/>
        <v>26346</v>
      </c>
      <c r="I43" s="284">
        <f t="shared" si="18"/>
        <v>10374</v>
      </c>
      <c r="J43" s="285">
        <f t="shared" si="18"/>
        <v>36720</v>
      </c>
      <c r="K43" s="329">
        <f t="shared" si="18"/>
        <v>6553</v>
      </c>
      <c r="L43" s="284">
        <f t="shared" si="18"/>
        <v>2253</v>
      </c>
      <c r="M43" s="285">
        <f t="shared" si="18"/>
        <v>8806</v>
      </c>
      <c r="N43" s="330">
        <f t="shared" si="18"/>
        <v>0.19918538557402959</v>
      </c>
      <c r="O43" s="331">
        <f t="shared" si="18"/>
        <v>0.1784271798526966</v>
      </c>
      <c r="P43" s="332">
        <f t="shared" si="18"/>
        <v>0.19342793129200897</v>
      </c>
    </row>
    <row r="44" spans="2:16" x14ac:dyDescent="0.25">
      <c r="B44" s="283">
        <f>B17</f>
        <v>2008</v>
      </c>
      <c r="C44" s="284">
        <f>C17</f>
        <v>28999</v>
      </c>
      <c r="D44" s="284">
        <f>D17</f>
        <v>7072</v>
      </c>
      <c r="E44" s="285">
        <f>E17</f>
        <v>36071</v>
      </c>
      <c r="G44" s="283">
        <f t="shared" ref="G44:P44" si="19">G17</f>
        <v>2008</v>
      </c>
      <c r="H44" s="284">
        <f t="shared" si="19"/>
        <v>23361</v>
      </c>
      <c r="I44" s="284">
        <f t="shared" si="19"/>
        <v>5697</v>
      </c>
      <c r="J44" s="285">
        <f t="shared" si="19"/>
        <v>29058</v>
      </c>
      <c r="K44" s="329">
        <f t="shared" si="19"/>
        <v>5638</v>
      </c>
      <c r="L44" s="284">
        <f t="shared" si="19"/>
        <v>1375</v>
      </c>
      <c r="M44" s="285">
        <f t="shared" si="19"/>
        <v>7013</v>
      </c>
      <c r="N44" s="330">
        <f t="shared" si="19"/>
        <v>0.19442049725852614</v>
      </c>
      <c r="O44" s="331">
        <f t="shared" si="19"/>
        <v>0.19442873303167421</v>
      </c>
      <c r="P44" s="332">
        <f t="shared" si="19"/>
        <v>0.19442211194588452</v>
      </c>
    </row>
    <row r="45" spans="2:16" x14ac:dyDescent="0.25">
      <c r="B45" s="283">
        <f>B16</f>
        <v>2007</v>
      </c>
      <c r="C45" s="284">
        <f>C16</f>
        <v>18501</v>
      </c>
      <c r="D45" s="284">
        <f>D16</f>
        <v>10237</v>
      </c>
      <c r="E45" s="285">
        <f>E16</f>
        <v>28738</v>
      </c>
      <c r="G45" s="283">
        <f t="shared" ref="G45:P45" si="20">G16</f>
        <v>2007</v>
      </c>
      <c r="H45" s="284">
        <f t="shared" si="20"/>
        <v>13887</v>
      </c>
      <c r="I45" s="284">
        <f t="shared" si="20"/>
        <v>8385</v>
      </c>
      <c r="J45" s="285">
        <f t="shared" si="20"/>
        <v>22272</v>
      </c>
      <c r="K45" s="329">
        <f t="shared" si="20"/>
        <v>4614</v>
      </c>
      <c r="L45" s="284">
        <f t="shared" si="20"/>
        <v>1852</v>
      </c>
      <c r="M45" s="285">
        <f t="shared" si="20"/>
        <v>6466</v>
      </c>
      <c r="N45" s="330">
        <f t="shared" si="20"/>
        <v>0.24939192476082375</v>
      </c>
      <c r="O45" s="331">
        <f t="shared" si="20"/>
        <v>0.18091237667285337</v>
      </c>
      <c r="P45" s="332">
        <f t="shared" si="20"/>
        <v>0.22499826014336419</v>
      </c>
    </row>
    <row r="46" spans="2:16" x14ac:dyDescent="0.25">
      <c r="B46" s="283">
        <f>B15</f>
        <v>2006</v>
      </c>
      <c r="C46" s="284">
        <f>C15</f>
        <v>51150</v>
      </c>
      <c r="D46" s="284">
        <f>D15</f>
        <v>5057</v>
      </c>
      <c r="E46" s="285">
        <f>E15</f>
        <v>56207</v>
      </c>
      <c r="G46" s="283">
        <f t="shared" ref="G46:P46" si="21">G15</f>
        <v>2006</v>
      </c>
      <c r="H46" s="284">
        <f t="shared" si="21"/>
        <v>47095</v>
      </c>
      <c r="I46" s="284">
        <f t="shared" si="21"/>
        <v>4606</v>
      </c>
      <c r="J46" s="285">
        <f t="shared" si="21"/>
        <v>51701</v>
      </c>
      <c r="K46" s="329">
        <f t="shared" si="21"/>
        <v>4055</v>
      </c>
      <c r="L46" s="284">
        <f t="shared" si="21"/>
        <v>451</v>
      </c>
      <c r="M46" s="285">
        <f t="shared" si="21"/>
        <v>4506</v>
      </c>
      <c r="N46" s="330">
        <f t="shared" si="21"/>
        <v>7.9276637341153464E-2</v>
      </c>
      <c r="O46" s="331">
        <f t="shared" si="21"/>
        <v>8.9183310263001775E-2</v>
      </c>
      <c r="P46" s="332">
        <f t="shared" si="21"/>
        <v>8.016795061113384E-2</v>
      </c>
    </row>
    <row r="47" spans="2:16" x14ac:dyDescent="0.25">
      <c r="B47" s="283">
        <f>B14</f>
        <v>2005</v>
      </c>
      <c r="C47" s="284">
        <f>C14</f>
        <v>71897</v>
      </c>
      <c r="D47" s="284">
        <f>D14</f>
        <v>8044</v>
      </c>
      <c r="E47" s="285">
        <f>E14</f>
        <v>79941</v>
      </c>
      <c r="G47" s="283">
        <f t="shared" ref="G47:P47" si="22">G14</f>
        <v>2005</v>
      </c>
      <c r="H47" s="284">
        <f t="shared" si="22"/>
        <v>64355</v>
      </c>
      <c r="I47" s="284">
        <f t="shared" si="22"/>
        <v>7612</v>
      </c>
      <c r="J47" s="285">
        <f t="shared" si="22"/>
        <v>71967</v>
      </c>
      <c r="K47" s="329">
        <f t="shared" si="22"/>
        <v>7542</v>
      </c>
      <c r="L47" s="284">
        <f t="shared" si="22"/>
        <v>432</v>
      </c>
      <c r="M47" s="285">
        <f t="shared" si="22"/>
        <v>7974</v>
      </c>
      <c r="N47" s="330">
        <f t="shared" si="22"/>
        <v>0.10490006537129505</v>
      </c>
      <c r="O47" s="331">
        <f t="shared" si="22"/>
        <v>5.370462456489309E-2</v>
      </c>
      <c r="P47" s="332">
        <f t="shared" si="22"/>
        <v>9.9748564566367701E-2</v>
      </c>
    </row>
    <row r="48" spans="2:16" x14ac:dyDescent="0.25">
      <c r="B48" s="283">
        <f>B13</f>
        <v>2004</v>
      </c>
      <c r="C48" s="284">
        <f>C13</f>
        <v>87546.3</v>
      </c>
      <c r="D48" s="284">
        <f>D13</f>
        <v>8936.2999999999993</v>
      </c>
      <c r="E48" s="285">
        <f>E13</f>
        <v>96482.6</v>
      </c>
      <c r="G48" s="283">
        <f t="shared" ref="G48:P48" si="23">G13</f>
        <v>2004</v>
      </c>
      <c r="H48" s="284">
        <f t="shared" si="23"/>
        <v>79464.3</v>
      </c>
      <c r="I48" s="284">
        <f t="shared" si="23"/>
        <v>8231.2999999999993</v>
      </c>
      <c r="J48" s="285">
        <f t="shared" si="23"/>
        <v>87695.6</v>
      </c>
      <c r="K48" s="329">
        <f t="shared" si="23"/>
        <v>8082</v>
      </c>
      <c r="L48" s="284">
        <f t="shared" si="23"/>
        <v>705</v>
      </c>
      <c r="M48" s="285">
        <f t="shared" si="23"/>
        <v>8787</v>
      </c>
      <c r="N48" s="330">
        <f t="shared" si="23"/>
        <v>9.2316865475753976E-2</v>
      </c>
      <c r="O48" s="331">
        <f t="shared" si="23"/>
        <v>7.8891711334668713E-2</v>
      </c>
      <c r="P48" s="332">
        <f t="shared" si="23"/>
        <v>9.1073416346574398E-2</v>
      </c>
    </row>
    <row r="49" spans="2:16" x14ac:dyDescent="0.25">
      <c r="B49" s="283">
        <f>B12</f>
        <v>2003</v>
      </c>
      <c r="C49" s="284">
        <f>C12</f>
        <v>95769</v>
      </c>
      <c r="D49" s="284">
        <f>D12</f>
        <v>11929</v>
      </c>
      <c r="E49" s="285">
        <f>E12</f>
        <v>107698</v>
      </c>
      <c r="G49" s="283">
        <f t="shared" ref="G49:P49" si="24">G12</f>
        <v>2003</v>
      </c>
      <c r="H49" s="284">
        <f t="shared" si="24"/>
        <v>89312</v>
      </c>
      <c r="I49" s="284">
        <f t="shared" si="24"/>
        <v>11196</v>
      </c>
      <c r="J49" s="285">
        <f t="shared" si="24"/>
        <v>100840</v>
      </c>
      <c r="K49" s="329">
        <f t="shared" si="24"/>
        <v>6457</v>
      </c>
      <c r="L49" s="284">
        <f t="shared" si="24"/>
        <v>733</v>
      </c>
      <c r="M49" s="285">
        <f t="shared" si="24"/>
        <v>7190</v>
      </c>
      <c r="N49" s="330">
        <f t="shared" si="24"/>
        <v>6.7422652424062063E-2</v>
      </c>
      <c r="O49" s="331">
        <f t="shared" si="24"/>
        <v>6.1446894123564424E-2</v>
      </c>
      <c r="P49" s="332">
        <f t="shared" si="24"/>
        <v>6.6555586411182074E-2</v>
      </c>
    </row>
    <row r="50" spans="2:16" x14ac:dyDescent="0.25">
      <c r="B50" s="283">
        <f>B11</f>
        <v>2002</v>
      </c>
      <c r="C50" s="284">
        <f>C11</f>
        <v>76667</v>
      </c>
      <c r="D50" s="284">
        <f>D11</f>
        <v>16167</v>
      </c>
      <c r="E50" s="285">
        <f>E11</f>
        <v>92834</v>
      </c>
      <c r="G50" s="333">
        <v>2013</v>
      </c>
      <c r="H50" s="284">
        <f t="shared" ref="H50:M50" si="25">H11</f>
        <v>69342</v>
      </c>
      <c r="I50" s="284">
        <f t="shared" si="25"/>
        <v>15167</v>
      </c>
      <c r="J50" s="285">
        <f t="shared" si="25"/>
        <v>84509</v>
      </c>
      <c r="K50" s="329">
        <f t="shared" si="25"/>
        <v>7325</v>
      </c>
      <c r="L50" s="284">
        <f t="shared" si="25"/>
        <v>1000</v>
      </c>
      <c r="M50" s="285">
        <f t="shared" si="25"/>
        <v>8325</v>
      </c>
      <c r="N50" s="330">
        <f>N11</f>
        <v>9.5543062856248445E-2</v>
      </c>
      <c r="O50" s="331">
        <f>O11</f>
        <v>6.1854394754747327E-2</v>
      </c>
      <c r="P50" s="332">
        <f>P11</f>
        <v>8.9676196221212062E-2</v>
      </c>
    </row>
    <row r="51" spans="2:16" x14ac:dyDescent="0.25">
      <c r="B51" s="283">
        <f>B10</f>
        <v>2001</v>
      </c>
      <c r="C51" s="284">
        <f>C10</f>
        <v>56965</v>
      </c>
      <c r="D51" s="284">
        <f>D10</f>
        <v>17138</v>
      </c>
      <c r="E51" s="285">
        <f>E10</f>
        <v>74103</v>
      </c>
      <c r="G51" s="333">
        <v>2014</v>
      </c>
      <c r="H51" s="334">
        <f t="shared" ref="H51:P51" si="26">H10</f>
        <v>51394</v>
      </c>
      <c r="I51" s="334">
        <f t="shared" si="26"/>
        <v>15708</v>
      </c>
      <c r="J51" s="335">
        <f t="shared" si="26"/>
        <v>67102</v>
      </c>
      <c r="K51" s="336">
        <f t="shared" si="26"/>
        <v>5571</v>
      </c>
      <c r="L51" s="334">
        <f t="shared" si="26"/>
        <v>1430</v>
      </c>
      <c r="M51" s="335">
        <f t="shared" si="26"/>
        <v>7001</v>
      </c>
      <c r="N51" s="330">
        <f t="shared" si="26"/>
        <v>9.7796892828930046E-2</v>
      </c>
      <c r="O51" s="331">
        <f t="shared" si="26"/>
        <v>8.3440308087291401E-2</v>
      </c>
      <c r="P51" s="332">
        <f t="shared" si="26"/>
        <v>9.4476606885011402E-2</v>
      </c>
    </row>
    <row r="52" spans="2:16" x14ac:dyDescent="0.25">
      <c r="B52" s="283">
        <f>B9</f>
        <v>2000</v>
      </c>
      <c r="C52" s="284">
        <f>C9</f>
        <v>39462</v>
      </c>
      <c r="D52" s="284">
        <f>D9</f>
        <v>12669</v>
      </c>
      <c r="E52" s="285">
        <f>E9</f>
        <v>52131</v>
      </c>
      <c r="G52" s="333">
        <v>2015</v>
      </c>
      <c r="H52" s="334">
        <f t="shared" ref="H52:P53" si="27">H9</f>
        <v>36027</v>
      </c>
      <c r="I52" s="334">
        <f t="shared" si="27"/>
        <v>11993</v>
      </c>
      <c r="J52" s="335">
        <f t="shared" si="27"/>
        <v>48020</v>
      </c>
      <c r="K52" s="336">
        <f t="shared" si="27"/>
        <v>3435</v>
      </c>
      <c r="L52" s="334">
        <f t="shared" si="27"/>
        <v>676</v>
      </c>
      <c r="M52" s="335">
        <f t="shared" si="27"/>
        <v>4111</v>
      </c>
      <c r="N52" s="330">
        <f t="shared" si="27"/>
        <v>8.7045765546601789E-2</v>
      </c>
      <c r="O52" s="331">
        <f t="shared" si="27"/>
        <v>5.335859183834557E-2</v>
      </c>
      <c r="P52" s="332">
        <f t="shared" si="27"/>
        <v>7.8859028217375463E-2</v>
      </c>
    </row>
    <row r="53" spans="2:16" x14ac:dyDescent="0.25">
      <c r="B53" s="333">
        <v>2016</v>
      </c>
      <c r="C53" s="284">
        <f>C10</f>
        <v>56965</v>
      </c>
      <c r="D53" s="284">
        <f>D10</f>
        <v>17138</v>
      </c>
      <c r="E53" s="285">
        <f>E10</f>
        <v>74103</v>
      </c>
      <c r="G53" s="333">
        <v>2016</v>
      </c>
      <c r="H53" s="286">
        <v>109860</v>
      </c>
      <c r="I53" s="287">
        <v>6427</v>
      </c>
      <c r="J53" s="288">
        <v>116287</v>
      </c>
      <c r="K53" s="336">
        <v>16859.456206860053</v>
      </c>
      <c r="L53" s="334">
        <v>1067.9751773545636</v>
      </c>
      <c r="M53" s="335">
        <v>17927.431384214618</v>
      </c>
      <c r="N53" s="330">
        <f t="shared" si="27"/>
        <v>9.7796892828930046E-2</v>
      </c>
      <c r="O53" s="331">
        <f t="shared" si="27"/>
        <v>8.3440308087291401E-2</v>
      </c>
      <c r="P53" s="332">
        <f t="shared" si="27"/>
        <v>9.4476606885011402E-2</v>
      </c>
    </row>
    <row r="54" spans="2:16" x14ac:dyDescent="0.25">
      <c r="B54" s="283">
        <f>B7</f>
        <v>1998</v>
      </c>
      <c r="C54" s="284">
        <f t="shared" ref="C54:P54" si="28">C7</f>
        <v>32710</v>
      </c>
      <c r="D54" s="284">
        <f t="shared" si="28"/>
        <v>6733</v>
      </c>
      <c r="E54" s="285">
        <f t="shared" si="28"/>
        <v>39443</v>
      </c>
      <c r="G54" s="333">
        <f t="shared" si="28"/>
        <v>1998</v>
      </c>
      <c r="H54" s="334">
        <v>71303</v>
      </c>
      <c r="I54" s="334">
        <v>2456</v>
      </c>
      <c r="J54" s="335">
        <v>73759</v>
      </c>
      <c r="K54" s="336">
        <f t="shared" si="28"/>
        <v>3300</v>
      </c>
      <c r="L54" s="334">
        <f t="shared" si="28"/>
        <v>750</v>
      </c>
      <c r="M54" s="335">
        <f t="shared" si="28"/>
        <v>4050</v>
      </c>
      <c r="N54" s="330">
        <f t="shared" si="28"/>
        <v>0.10088657902782024</v>
      </c>
      <c r="O54" s="331">
        <f t="shared" si="28"/>
        <v>0.11139165305213129</v>
      </c>
      <c r="P54" s="332">
        <f t="shared" si="28"/>
        <v>0.10267981644398246</v>
      </c>
    </row>
    <row r="55" spans="2:16" x14ac:dyDescent="0.25">
      <c r="B55" s="333"/>
      <c r="C55" s="334"/>
      <c r="D55" s="334"/>
      <c r="E55" s="335"/>
      <c r="G55" s="333"/>
      <c r="H55" s="337"/>
      <c r="I55" s="338"/>
      <c r="J55" s="339"/>
      <c r="K55" s="336"/>
      <c r="L55" s="334"/>
      <c r="M55" s="335"/>
      <c r="N55" s="340"/>
      <c r="O55" s="341"/>
      <c r="P55" s="342"/>
    </row>
    <row r="56" spans="2:16" ht="14.4" thickBot="1" x14ac:dyDescent="0.3">
      <c r="B56" s="302"/>
      <c r="C56" s="343"/>
      <c r="D56" s="343"/>
      <c r="E56" s="344"/>
      <c r="G56" s="302"/>
      <c r="H56" s="343"/>
      <c r="I56" s="343"/>
      <c r="J56" s="344"/>
      <c r="K56" s="345"/>
      <c r="L56" s="343"/>
      <c r="M56" s="344"/>
      <c r="N56" s="345"/>
      <c r="O56" s="343"/>
      <c r="P56" s="344"/>
    </row>
    <row r="57" spans="2:16" ht="14.4" thickTop="1" x14ac:dyDescent="0.25">
      <c r="B57" s="314"/>
      <c r="C57" s="313"/>
      <c r="D57" s="313"/>
      <c r="E57" s="346"/>
      <c r="G57" s="347"/>
      <c r="J57" s="348"/>
      <c r="K57" s="347"/>
      <c r="M57" s="348"/>
      <c r="N57" s="347"/>
      <c r="P57" s="348"/>
    </row>
    <row r="58" spans="2:16" ht="14.4" thickBot="1" x14ac:dyDescent="0.3">
      <c r="B58" s="322"/>
      <c r="C58" s="323"/>
      <c r="D58" s="323"/>
      <c r="E58" s="349"/>
      <c r="G58" s="350"/>
      <c r="H58" s="351"/>
      <c r="I58" s="352"/>
      <c r="J58" s="353"/>
      <c r="K58" s="350"/>
      <c r="L58" s="352"/>
      <c r="M58" s="353"/>
      <c r="N58" s="350"/>
      <c r="O58" s="352"/>
      <c r="P58" s="353"/>
    </row>
    <row r="60" spans="2:16" x14ac:dyDescent="0.25">
      <c r="H60" s="327"/>
      <c r="I60" s="327"/>
    </row>
  </sheetData>
  <mergeCells count="8">
    <mergeCell ref="B4:E4"/>
    <mergeCell ref="G4:J4"/>
    <mergeCell ref="K4:M4"/>
    <mergeCell ref="N4:P4"/>
    <mergeCell ref="B33:E33"/>
    <mergeCell ref="G33:J33"/>
    <mergeCell ref="K33:M33"/>
    <mergeCell ref="N33:P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4BD-60B3-4596-B829-4FB0551CA8DE}">
  <dimension ref="A1:N21"/>
  <sheetViews>
    <sheetView topLeftCell="C1" workbookViewId="0">
      <selection activeCell="E35" sqref="E35"/>
    </sheetView>
  </sheetViews>
  <sheetFormatPr defaultRowHeight="14.4" x14ac:dyDescent="0.3"/>
  <cols>
    <col min="1" max="1" width="3.5546875" customWidth="1"/>
    <col min="2" max="2" width="28.6640625" customWidth="1"/>
    <col min="3" max="3" width="20.109375" customWidth="1"/>
    <col min="4" max="4" width="17.6640625" customWidth="1"/>
    <col min="6" max="6" width="11.21875" customWidth="1"/>
    <col min="7" max="7" width="27.33203125" customWidth="1"/>
    <col min="8" max="8" width="12" customWidth="1"/>
    <col min="9" max="9" width="22.88671875" customWidth="1"/>
    <col min="10" max="10" width="15.21875" customWidth="1"/>
    <col min="11" max="11" width="26.88671875" customWidth="1"/>
    <col min="12" max="12" width="25.6640625" customWidth="1"/>
    <col min="13" max="13" width="22.109375" customWidth="1"/>
    <col min="14" max="14" width="42.6640625" customWidth="1"/>
  </cols>
  <sheetData>
    <row r="1" spans="1:14" x14ac:dyDescent="0.3">
      <c r="A1" s="355"/>
      <c r="B1" s="355" t="s">
        <v>384</v>
      </c>
      <c r="C1" s="355" t="s">
        <v>385</v>
      </c>
      <c r="D1" s="355" t="s">
        <v>386</v>
      </c>
      <c r="E1" s="355" t="s">
        <v>387</v>
      </c>
      <c r="F1" s="356" t="s">
        <v>388</v>
      </c>
      <c r="G1" s="356" t="s">
        <v>389</v>
      </c>
      <c r="H1" s="356" t="s">
        <v>390</v>
      </c>
      <c r="I1" s="355" t="s">
        <v>391</v>
      </c>
      <c r="J1" s="356" t="s">
        <v>392</v>
      </c>
      <c r="K1" s="356" t="s">
        <v>393</v>
      </c>
      <c r="L1" s="355" t="s">
        <v>394</v>
      </c>
      <c r="M1" s="355" t="s">
        <v>395</v>
      </c>
      <c r="N1" s="355" t="s">
        <v>396</v>
      </c>
    </row>
    <row r="2" spans="1:14" x14ac:dyDescent="0.3">
      <c r="B2" t="s">
        <v>397</v>
      </c>
      <c r="C2" t="s">
        <v>3</v>
      </c>
      <c r="D2" t="s">
        <v>13</v>
      </c>
      <c r="E2" t="s">
        <v>369</v>
      </c>
      <c r="F2" s="50">
        <f>Summary!T5</f>
        <v>70400</v>
      </c>
      <c r="G2" t="s">
        <v>398</v>
      </c>
      <c r="H2" t="s">
        <v>380</v>
      </c>
      <c r="I2" t="s">
        <v>407</v>
      </c>
      <c r="J2" t="s">
        <v>399</v>
      </c>
      <c r="K2" t="s">
        <v>400</v>
      </c>
      <c r="L2" t="s">
        <v>402</v>
      </c>
      <c r="M2" t="s">
        <v>403</v>
      </c>
      <c r="N2" t="s">
        <v>412</v>
      </c>
    </row>
    <row r="3" spans="1:14" x14ac:dyDescent="0.3">
      <c r="B3" t="s">
        <v>397</v>
      </c>
      <c r="C3" t="s">
        <v>3</v>
      </c>
      <c r="D3" t="s">
        <v>14</v>
      </c>
      <c r="E3" t="s">
        <v>369</v>
      </c>
      <c r="F3" s="50">
        <f>Summary!T6</f>
        <v>1000</v>
      </c>
      <c r="G3" t="s">
        <v>398</v>
      </c>
      <c r="H3" t="s">
        <v>380</v>
      </c>
      <c r="I3" t="s">
        <v>408</v>
      </c>
      <c r="J3" t="s">
        <v>399</v>
      </c>
      <c r="K3" t="s">
        <v>400</v>
      </c>
      <c r="L3" t="s">
        <v>420</v>
      </c>
      <c r="M3" t="s">
        <v>403</v>
      </c>
      <c r="N3" t="s">
        <v>409</v>
      </c>
    </row>
    <row r="4" spans="1:14" x14ac:dyDescent="0.3">
      <c r="B4" t="s">
        <v>397</v>
      </c>
      <c r="C4" t="s">
        <v>3</v>
      </c>
      <c r="D4" t="s">
        <v>80</v>
      </c>
      <c r="E4" t="s">
        <v>369</v>
      </c>
      <c r="F4" s="50">
        <f>Summary!T7</f>
        <v>21000</v>
      </c>
      <c r="G4" t="s">
        <v>398</v>
      </c>
      <c r="H4" t="s">
        <v>404</v>
      </c>
      <c r="I4" t="s">
        <v>554</v>
      </c>
      <c r="J4" t="s">
        <v>399</v>
      </c>
      <c r="K4" t="s">
        <v>400</v>
      </c>
      <c r="L4" t="s">
        <v>411</v>
      </c>
      <c r="M4" t="s">
        <v>403</v>
      </c>
      <c r="N4" t="s">
        <v>555</v>
      </c>
    </row>
    <row r="5" spans="1:14" x14ac:dyDescent="0.3">
      <c r="B5" t="s">
        <v>397</v>
      </c>
      <c r="C5" t="s">
        <v>3</v>
      </c>
      <c r="D5" s="250" t="s">
        <v>361</v>
      </c>
      <c r="E5" t="s">
        <v>369</v>
      </c>
      <c r="F5" s="50">
        <f>Summary!T8</f>
        <v>0</v>
      </c>
      <c r="G5" t="s">
        <v>398</v>
      </c>
      <c r="I5" t="s">
        <v>406</v>
      </c>
      <c r="J5" t="s">
        <v>410</v>
      </c>
      <c r="K5" t="s">
        <v>400</v>
      </c>
    </row>
    <row r="6" spans="1:14" x14ac:dyDescent="0.3">
      <c r="B6" t="s">
        <v>397</v>
      </c>
      <c r="C6" t="s">
        <v>3</v>
      </c>
      <c r="D6" t="s">
        <v>13</v>
      </c>
      <c r="E6" t="s">
        <v>8</v>
      </c>
      <c r="F6" s="50">
        <f>Summary!U5</f>
        <v>500000</v>
      </c>
      <c r="G6" t="s">
        <v>398</v>
      </c>
      <c r="I6" t="s">
        <v>408</v>
      </c>
      <c r="K6" t="s">
        <v>400</v>
      </c>
      <c r="L6" t="s">
        <v>420</v>
      </c>
      <c r="N6" t="s">
        <v>415</v>
      </c>
    </row>
    <row r="7" spans="1:14" x14ac:dyDescent="0.3">
      <c r="B7" t="s">
        <v>397</v>
      </c>
      <c r="C7" t="s">
        <v>3</v>
      </c>
      <c r="D7" t="s">
        <v>14</v>
      </c>
      <c r="E7" t="s">
        <v>8</v>
      </c>
      <c r="F7" s="50">
        <f>Summary!U6</f>
        <v>150000</v>
      </c>
      <c r="G7" t="s">
        <v>398</v>
      </c>
      <c r="I7" t="s">
        <v>414</v>
      </c>
      <c r="K7" t="s">
        <v>400</v>
      </c>
      <c r="L7" t="s">
        <v>401</v>
      </c>
      <c r="M7" t="s">
        <v>403</v>
      </c>
    </row>
    <row r="8" spans="1:14" x14ac:dyDescent="0.3">
      <c r="B8" t="s">
        <v>397</v>
      </c>
      <c r="C8" t="s">
        <v>3</v>
      </c>
      <c r="D8" t="s">
        <v>80</v>
      </c>
      <c r="E8" t="s">
        <v>8</v>
      </c>
      <c r="F8" s="50">
        <f>Summary!U7</f>
        <v>0</v>
      </c>
      <c r="G8" t="s">
        <v>398</v>
      </c>
      <c r="I8" t="s">
        <v>414</v>
      </c>
      <c r="K8" t="s">
        <v>400</v>
      </c>
      <c r="N8" t="s">
        <v>419</v>
      </c>
    </row>
    <row r="9" spans="1:14" x14ac:dyDescent="0.3">
      <c r="B9" t="s">
        <v>397</v>
      </c>
      <c r="C9" t="s">
        <v>3</v>
      </c>
      <c r="D9" s="250" t="s">
        <v>361</v>
      </c>
      <c r="E9" t="s">
        <v>8</v>
      </c>
      <c r="F9" s="50">
        <f>Summary!U8</f>
        <v>30000</v>
      </c>
      <c r="G9" t="s">
        <v>398</v>
      </c>
      <c r="I9" t="s">
        <v>414</v>
      </c>
      <c r="K9" t="s">
        <v>400</v>
      </c>
      <c r="L9" t="s">
        <v>411</v>
      </c>
      <c r="M9" t="s">
        <v>403</v>
      </c>
    </row>
    <row r="10" spans="1:14" x14ac:dyDescent="0.3">
      <c r="B10" t="s">
        <v>397</v>
      </c>
      <c r="C10" t="s">
        <v>3</v>
      </c>
      <c r="D10" t="s">
        <v>13</v>
      </c>
      <c r="E10" t="s">
        <v>362</v>
      </c>
      <c r="F10" s="357">
        <f>Summary!V5</f>
        <v>4200</v>
      </c>
      <c r="G10" t="s">
        <v>398</v>
      </c>
      <c r="H10" t="s">
        <v>380</v>
      </c>
      <c r="I10" t="s">
        <v>416</v>
      </c>
      <c r="J10" t="s">
        <v>400</v>
      </c>
      <c r="K10" t="s">
        <v>426</v>
      </c>
      <c r="L10" t="s">
        <v>420</v>
      </c>
      <c r="M10" t="s">
        <v>403</v>
      </c>
      <c r="N10" t="s">
        <v>405</v>
      </c>
    </row>
    <row r="11" spans="1:14" x14ac:dyDescent="0.3">
      <c r="B11" t="s">
        <v>397</v>
      </c>
      <c r="C11" t="s">
        <v>3</v>
      </c>
      <c r="D11" t="s">
        <v>14</v>
      </c>
      <c r="E11" t="s">
        <v>362</v>
      </c>
      <c r="F11" s="357">
        <f>Summary!V6</f>
        <v>2000</v>
      </c>
      <c r="G11" t="s">
        <v>398</v>
      </c>
      <c r="H11" t="s">
        <v>380</v>
      </c>
      <c r="I11" t="s">
        <v>417</v>
      </c>
      <c r="J11" t="s">
        <v>400</v>
      </c>
      <c r="K11" t="s">
        <v>427</v>
      </c>
      <c r="L11" t="s">
        <v>401</v>
      </c>
      <c r="M11" t="s">
        <v>403</v>
      </c>
    </row>
    <row r="12" spans="1:14" x14ac:dyDescent="0.3">
      <c r="B12" t="s">
        <v>397</v>
      </c>
      <c r="C12" t="s">
        <v>3</v>
      </c>
      <c r="D12" t="s">
        <v>80</v>
      </c>
      <c r="E12" t="s">
        <v>362</v>
      </c>
      <c r="F12" s="357">
        <f>Summary!V7</f>
        <v>1000</v>
      </c>
      <c r="G12" t="s">
        <v>398</v>
      </c>
      <c r="H12" t="s">
        <v>380</v>
      </c>
      <c r="I12" t="s">
        <v>417</v>
      </c>
      <c r="J12" t="s">
        <v>400</v>
      </c>
      <c r="K12" t="s">
        <v>427</v>
      </c>
      <c r="L12" t="s">
        <v>420</v>
      </c>
      <c r="M12" t="s">
        <v>403</v>
      </c>
      <c r="N12" t="s">
        <v>418</v>
      </c>
    </row>
    <row r="13" spans="1:14" s="21" customFormat="1" x14ac:dyDescent="0.3">
      <c r="B13" s="21" t="s">
        <v>397</v>
      </c>
      <c r="C13" s="21" t="s">
        <v>3</v>
      </c>
      <c r="D13" s="359" t="s">
        <v>361</v>
      </c>
      <c r="E13" s="21" t="s">
        <v>362</v>
      </c>
      <c r="F13" s="360">
        <f>Summary!V8</f>
        <v>2000</v>
      </c>
      <c r="G13" s="21" t="s">
        <v>398</v>
      </c>
      <c r="H13" s="21" t="s">
        <v>380</v>
      </c>
      <c r="I13" s="21" t="s">
        <v>417</v>
      </c>
      <c r="J13" s="21" t="s">
        <v>400</v>
      </c>
      <c r="K13" s="21" t="s">
        <v>427</v>
      </c>
      <c r="L13" s="21" t="s">
        <v>420</v>
      </c>
      <c r="M13" s="21" t="s">
        <v>403</v>
      </c>
      <c r="N13" s="21" t="s">
        <v>418</v>
      </c>
    </row>
    <row r="14" spans="1:14" x14ac:dyDescent="0.3">
      <c r="B14" t="s">
        <v>397</v>
      </c>
      <c r="C14" t="s">
        <v>3</v>
      </c>
      <c r="D14" t="s">
        <v>13</v>
      </c>
      <c r="E14" t="s">
        <v>363</v>
      </c>
      <c r="F14" s="50">
        <f>Summary!W5</f>
        <v>40950</v>
      </c>
      <c r="G14" t="s">
        <v>398</v>
      </c>
      <c r="I14" t="s">
        <v>423</v>
      </c>
      <c r="J14" t="s">
        <v>400</v>
      </c>
      <c r="K14" t="s">
        <v>434</v>
      </c>
      <c r="L14" t="s">
        <v>424</v>
      </c>
      <c r="M14" s="362" t="s">
        <v>421</v>
      </c>
      <c r="N14" t="s">
        <v>422</v>
      </c>
    </row>
    <row r="15" spans="1:14" x14ac:dyDescent="0.3">
      <c r="B15" t="s">
        <v>397</v>
      </c>
      <c r="C15" t="s">
        <v>3</v>
      </c>
      <c r="D15" t="s">
        <v>14</v>
      </c>
      <c r="E15" t="s">
        <v>363</v>
      </c>
      <c r="F15" s="50">
        <f>Summary!W6</f>
        <v>3500</v>
      </c>
      <c r="G15" t="s">
        <v>398</v>
      </c>
      <c r="H15" t="s">
        <v>380</v>
      </c>
      <c r="J15" t="s">
        <v>400</v>
      </c>
      <c r="L15" t="s">
        <v>420</v>
      </c>
    </row>
    <row r="16" spans="1:14" x14ac:dyDescent="0.3">
      <c r="B16" t="s">
        <v>397</v>
      </c>
      <c r="C16" t="s">
        <v>3</v>
      </c>
      <c r="D16" t="s">
        <v>80</v>
      </c>
      <c r="E16" t="s">
        <v>363</v>
      </c>
      <c r="F16" s="50">
        <f>Summary!W7</f>
        <v>2000</v>
      </c>
      <c r="G16" t="s">
        <v>398</v>
      </c>
      <c r="H16" t="s">
        <v>380</v>
      </c>
      <c r="I16" t="s">
        <v>430</v>
      </c>
      <c r="J16" t="s">
        <v>400</v>
      </c>
      <c r="K16" t="s">
        <v>433</v>
      </c>
      <c r="L16" t="s">
        <v>420</v>
      </c>
    </row>
    <row r="17" spans="2:14" s="21" customFormat="1" x14ac:dyDescent="0.3">
      <c r="B17" s="21" t="s">
        <v>397</v>
      </c>
      <c r="C17" s="21" t="s">
        <v>3</v>
      </c>
      <c r="D17" s="359" t="s">
        <v>361</v>
      </c>
      <c r="E17" s="21" t="s">
        <v>363</v>
      </c>
      <c r="F17" s="361">
        <f>Summary!W8</f>
        <v>15765</v>
      </c>
      <c r="G17" s="21" t="s">
        <v>398</v>
      </c>
      <c r="H17" s="21" t="s">
        <v>380</v>
      </c>
      <c r="J17" s="21" t="s">
        <v>400</v>
      </c>
      <c r="L17" s="21" t="s">
        <v>420</v>
      </c>
      <c r="N17" s="21" t="s">
        <v>429</v>
      </c>
    </row>
    <row r="18" spans="2:14" x14ac:dyDescent="0.3">
      <c r="B18" t="s">
        <v>397</v>
      </c>
      <c r="C18" t="s">
        <v>3</v>
      </c>
      <c r="D18" t="s">
        <v>13</v>
      </c>
      <c r="E18" t="s">
        <v>364</v>
      </c>
      <c r="F18" s="50">
        <f>Summary!X5</f>
        <v>51187.5</v>
      </c>
      <c r="G18" t="s">
        <v>398</v>
      </c>
      <c r="H18" t="s">
        <v>380</v>
      </c>
      <c r="I18" t="s">
        <v>425</v>
      </c>
      <c r="J18" t="s">
        <v>400</v>
      </c>
      <c r="K18" t="s">
        <v>428</v>
      </c>
      <c r="L18" t="s">
        <v>420</v>
      </c>
    </row>
    <row r="19" spans="2:14" x14ac:dyDescent="0.3">
      <c r="B19" t="s">
        <v>397</v>
      </c>
      <c r="C19" t="s">
        <v>3</v>
      </c>
      <c r="D19" t="s">
        <v>14</v>
      </c>
      <c r="E19" t="s">
        <v>364</v>
      </c>
      <c r="F19" s="50">
        <f>Summary!X6</f>
        <v>10000</v>
      </c>
      <c r="G19" t="s">
        <v>398</v>
      </c>
      <c r="H19" t="s">
        <v>380</v>
      </c>
      <c r="J19" t="s">
        <v>400</v>
      </c>
      <c r="L19" t="s">
        <v>401</v>
      </c>
      <c r="M19" t="s">
        <v>403</v>
      </c>
    </row>
    <row r="20" spans="2:14" x14ac:dyDescent="0.3">
      <c r="B20" t="s">
        <v>397</v>
      </c>
      <c r="C20" t="s">
        <v>3</v>
      </c>
      <c r="D20" t="s">
        <v>80</v>
      </c>
      <c r="E20" t="s">
        <v>364</v>
      </c>
      <c r="F20" s="50">
        <f>Summary!X7</f>
        <v>3000</v>
      </c>
      <c r="G20" t="s">
        <v>398</v>
      </c>
      <c r="H20" t="s">
        <v>380</v>
      </c>
      <c r="I20" t="s">
        <v>431</v>
      </c>
      <c r="J20" t="s">
        <v>400</v>
      </c>
      <c r="K20" s="59" t="s">
        <v>435</v>
      </c>
      <c r="L20" t="s">
        <v>420</v>
      </c>
    </row>
    <row r="21" spans="2:14" x14ac:dyDescent="0.3">
      <c r="B21" t="s">
        <v>397</v>
      </c>
      <c r="C21" t="s">
        <v>3</v>
      </c>
      <c r="D21" s="250" t="s">
        <v>361</v>
      </c>
      <c r="E21" t="s">
        <v>364</v>
      </c>
      <c r="F21" s="50">
        <f>Summary!X8</f>
        <v>23647.5</v>
      </c>
      <c r="G21" t="s">
        <v>398</v>
      </c>
      <c r="H21" t="s">
        <v>380</v>
      </c>
      <c r="J21" t="s">
        <v>400</v>
      </c>
      <c r="K21" t="s">
        <v>432</v>
      </c>
      <c r="L21" t="s">
        <v>420</v>
      </c>
      <c r="N21" t="s">
        <v>438</v>
      </c>
    </row>
  </sheetData>
  <hyperlinks>
    <hyperlink ref="M14" r:id="rId1" xr:uid="{62759F8F-8516-4542-BFDA-80A2205969C6}"/>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5671F-DAC7-4727-AFD0-D840B2508065}">
  <dimension ref="A1:AB57"/>
  <sheetViews>
    <sheetView workbookViewId="0">
      <pane xSplit="2" ySplit="4" topLeftCell="C15" activePane="bottomRight" state="frozen"/>
      <selection pane="topRight" activeCell="C1" sqref="C1"/>
      <selection pane="bottomLeft" activeCell="A5" sqref="A5"/>
      <selection pane="bottomRight" activeCell="P45" sqref="P45"/>
    </sheetView>
  </sheetViews>
  <sheetFormatPr defaultRowHeight="14.4" x14ac:dyDescent="0.3"/>
  <cols>
    <col min="1" max="1" width="8.88671875" customWidth="1"/>
    <col min="2" max="2" width="32.6640625" customWidth="1"/>
    <col min="3" max="3" width="13.44140625" customWidth="1"/>
    <col min="4" max="4" width="8.88671875" style="416"/>
    <col min="7" max="7" width="2.6640625" customWidth="1"/>
    <col min="8" max="8" width="11.109375" style="9" customWidth="1"/>
    <col min="9" max="9" width="9.6640625" style="9" customWidth="1"/>
    <col min="10" max="10" width="3.44140625" style="9" customWidth="1"/>
    <col min="11" max="11" width="7.5546875" style="9" customWidth="1"/>
    <col min="12" max="13" width="8.88671875" style="9"/>
    <col min="14" max="14" width="2.33203125" style="9" customWidth="1"/>
    <col min="15" max="15" width="5.5546875" bestFit="1" customWidth="1"/>
    <col min="16" max="16" width="9.88671875" bestFit="1" customWidth="1"/>
    <col min="18" max="18" width="3.33203125" customWidth="1"/>
    <col min="19" max="19" width="5.5546875" bestFit="1" customWidth="1"/>
    <col min="20" max="20" width="9.88671875" bestFit="1" customWidth="1"/>
    <col min="22" max="22" width="2.88671875" customWidth="1"/>
    <col min="23" max="23" width="5.5546875" bestFit="1" customWidth="1"/>
    <col min="24" max="24" width="9.88671875" bestFit="1" customWidth="1"/>
    <col min="29" max="16384" width="8.88671875" style="9"/>
  </cols>
  <sheetData>
    <row r="1" spans="1:25" x14ac:dyDescent="0.3">
      <c r="B1" s="413" t="s">
        <v>547</v>
      </c>
      <c r="C1" s="54">
        <f>Run!AO38</f>
        <v>0.3404709683731596</v>
      </c>
      <c r="H1" t="s">
        <v>439</v>
      </c>
      <c r="I1"/>
      <c r="K1"/>
      <c r="L1" t="s">
        <v>440</v>
      </c>
      <c r="M1"/>
    </row>
    <row r="2" spans="1:25" x14ac:dyDescent="0.3">
      <c r="D2" s="417"/>
      <c r="H2" t="s">
        <v>436</v>
      </c>
      <c r="I2"/>
      <c r="K2"/>
      <c r="L2" t="s">
        <v>436</v>
      </c>
      <c r="M2"/>
      <c r="P2" t="s">
        <v>9</v>
      </c>
      <c r="T2" t="s">
        <v>256</v>
      </c>
      <c r="X2" t="s">
        <v>11</v>
      </c>
    </row>
    <row r="3" spans="1:25" x14ac:dyDescent="0.3">
      <c r="H3" s="53"/>
      <c r="I3"/>
      <c r="K3"/>
      <c r="L3"/>
      <c r="M3"/>
    </row>
    <row r="4" spans="1:25" x14ac:dyDescent="0.3">
      <c r="C4" t="s">
        <v>441</v>
      </c>
      <c r="D4" s="418" t="s">
        <v>442</v>
      </c>
      <c r="E4" s="53" t="s">
        <v>443</v>
      </c>
      <c r="F4" s="53" t="s">
        <v>444</v>
      </c>
      <c r="H4" s="53" t="s">
        <v>445</v>
      </c>
      <c r="I4" s="53" t="s">
        <v>446</v>
      </c>
      <c r="K4"/>
      <c r="L4" s="72" t="s">
        <v>445</v>
      </c>
      <c r="M4" t="s">
        <v>446</v>
      </c>
      <c r="P4" s="72" t="s">
        <v>445</v>
      </c>
      <c r="Q4" t="s">
        <v>446</v>
      </c>
      <c r="T4" s="72" t="s">
        <v>445</v>
      </c>
      <c r="U4" t="s">
        <v>446</v>
      </c>
      <c r="X4" s="72" t="s">
        <v>445</v>
      </c>
      <c r="Y4" t="s">
        <v>446</v>
      </c>
    </row>
    <row r="5" spans="1:25" x14ac:dyDescent="0.3">
      <c r="B5" t="s">
        <v>448</v>
      </c>
      <c r="C5" s="50">
        <f>Summary!T47</f>
        <v>87600</v>
      </c>
      <c r="D5" s="418"/>
      <c r="E5" s="53"/>
      <c r="F5" s="53"/>
      <c r="H5" s="420">
        <f t="shared" ref="H5" si="0">E6*H6</f>
        <v>87600.087596934522</v>
      </c>
      <c r="I5" s="53"/>
      <c r="K5"/>
      <c r="L5" s="420">
        <f>H5</f>
        <v>87600.087596934522</v>
      </c>
      <c r="M5"/>
      <c r="P5" s="420">
        <f>L5*Summary!V5/Summary!T5</f>
        <v>5226.1415895898435</v>
      </c>
      <c r="T5" s="420">
        <f>L5*Summary!W5/Summary!T5</f>
        <v>50954.880498500977</v>
      </c>
      <c r="X5" s="420">
        <f>L5*Summary!X5/Summary!T5</f>
        <v>63693.600623126222</v>
      </c>
    </row>
    <row r="6" spans="1:25" x14ac:dyDescent="0.3">
      <c r="A6" t="s">
        <v>447</v>
      </c>
      <c r="B6" t="s">
        <v>471</v>
      </c>
      <c r="D6" s="416">
        <v>0.3609385848612528</v>
      </c>
      <c r="E6" s="419">
        <f t="shared" ref="E6:E13" si="1">1-D6</f>
        <v>0.63906141513874726</v>
      </c>
      <c r="F6" s="419">
        <f t="shared" ref="F6:F12" si="2">E6*F7</f>
        <v>0.38288091423926507</v>
      </c>
      <c r="H6" s="50">
        <f>E7*H8</f>
        <v>137076.16439010887</v>
      </c>
      <c r="I6" s="50">
        <f t="shared" ref="I6" si="3">H6-H5</f>
        <v>49476.076793174347</v>
      </c>
      <c r="J6" s="51"/>
      <c r="K6" s="416">
        <f>D6</f>
        <v>0.3609385848612528</v>
      </c>
      <c r="L6" s="50">
        <f>L5/(1-K6)</f>
        <v>137076.16439010887</v>
      </c>
      <c r="M6" s="50">
        <f>L6-L5</f>
        <v>49476.076793174347</v>
      </c>
      <c r="O6" s="416">
        <f>$D6</f>
        <v>0.3609385848612528</v>
      </c>
      <c r="P6" s="50">
        <f>P5/(1-O6)</f>
        <v>8177.8393528189945</v>
      </c>
      <c r="Q6" s="50">
        <f>P6-P5</f>
        <v>2951.697763229151</v>
      </c>
      <c r="S6" s="416">
        <f>$D6</f>
        <v>0.3609385848612528</v>
      </c>
      <c r="T6" s="50">
        <f>T5/(1-S6)</f>
        <v>79733.933689985206</v>
      </c>
      <c r="U6" s="50">
        <f>T6-T5</f>
        <v>28779.053191484229</v>
      </c>
      <c r="W6" s="416">
        <f>$D6</f>
        <v>0.3609385848612528</v>
      </c>
      <c r="X6" s="50">
        <f>X5/(1-W6)</f>
        <v>99667.417112481504</v>
      </c>
      <c r="Y6" s="50">
        <f>X6-X5</f>
        <v>35973.816489355282</v>
      </c>
    </row>
    <row r="7" spans="1:25" x14ac:dyDescent="0.3">
      <c r="B7" t="s">
        <v>470</v>
      </c>
      <c r="C7" s="50">
        <f>Run!$S$38*(1-C1)</f>
        <v>11719.844530350494</v>
      </c>
      <c r="D7" s="415">
        <f>Run!X38</f>
        <v>8.0836895975987838E-2</v>
      </c>
      <c r="E7" s="419">
        <f t="shared" si="1"/>
        <v>0.91916310402401213</v>
      </c>
      <c r="F7" s="419">
        <f>E7*F9</f>
        <v>0.59913007602897983</v>
      </c>
      <c r="H7"/>
      <c r="I7" s="50">
        <f>H8-H6</f>
        <v>12055.326843603543</v>
      </c>
      <c r="J7" s="51"/>
      <c r="K7" s="416">
        <f>D7</f>
        <v>8.0836895975987838E-2</v>
      </c>
      <c r="L7"/>
      <c r="M7" s="50">
        <f>L8-L6</f>
        <v>12055.326843603543</v>
      </c>
      <c r="O7" s="416">
        <f>$D7</f>
        <v>8.0836895975987838E-2</v>
      </c>
      <c r="Q7" s="50">
        <f>P8-P6</f>
        <v>719.20984010134907</v>
      </c>
      <c r="S7" s="426">
        <f>$D7*$T$24</f>
        <v>8.0836895975987838E-2</v>
      </c>
      <c r="U7" s="50">
        <f>T8-T6</f>
        <v>7012.2959409881441</v>
      </c>
      <c r="W7" s="426">
        <f>$D7*$X$24</f>
        <v>8.0836895975987838E-2</v>
      </c>
      <c r="Y7" s="50">
        <f>X8-X6</f>
        <v>8765.3699262351874</v>
      </c>
    </row>
    <row r="8" spans="1:25" x14ac:dyDescent="0.3">
      <c r="B8" s="412" t="s">
        <v>472</v>
      </c>
      <c r="C8" s="414">
        <f>Summary!T43</f>
        <v>152700</v>
      </c>
      <c r="E8" s="419"/>
      <c r="F8" s="419"/>
      <c r="H8" s="50">
        <f>E9*H9</f>
        <v>149131.49123371241</v>
      </c>
      <c r="I8" s="50"/>
      <c r="J8" s="51"/>
      <c r="K8" s="416"/>
      <c r="L8" s="420">
        <f>L6/(1-K7)</f>
        <v>149131.49123371241</v>
      </c>
      <c r="M8" s="50"/>
      <c r="O8" s="416"/>
      <c r="P8" s="420">
        <f>P6/(1-O7)</f>
        <v>8897.0491929203436</v>
      </c>
      <c r="Q8" s="50"/>
      <c r="S8" s="416"/>
      <c r="T8" s="420">
        <f>T6/(1-S7)</f>
        <v>86746.22963097335</v>
      </c>
      <c r="U8" s="50"/>
      <c r="W8" s="416"/>
      <c r="X8" s="420">
        <f>X6/(1-W7)</f>
        <v>108432.78703871669</v>
      </c>
      <c r="Y8" s="50"/>
    </row>
    <row r="9" spans="1:25" x14ac:dyDescent="0.3">
      <c r="B9" t="s">
        <v>449</v>
      </c>
      <c r="D9" s="416">
        <v>0</v>
      </c>
      <c r="E9" s="419">
        <f t="shared" si="1"/>
        <v>1</v>
      </c>
      <c r="F9" s="419">
        <f t="shared" si="2"/>
        <v>0.65182128547810836</v>
      </c>
      <c r="H9" s="50">
        <f>E10*H11</f>
        <v>149131.49123371241</v>
      </c>
      <c r="I9" s="50">
        <f>H9-H8</f>
        <v>0</v>
      </c>
      <c r="J9" s="51"/>
      <c r="K9" s="416">
        <f>D9</f>
        <v>0</v>
      </c>
      <c r="L9" s="50">
        <f>L8/(1-K9)</f>
        <v>149131.49123371241</v>
      </c>
      <c r="M9" s="50">
        <f>L9-L8</f>
        <v>0</v>
      </c>
      <c r="O9" s="416">
        <f>$D9</f>
        <v>0</v>
      </c>
      <c r="P9" s="50">
        <f>P8/(1-O9)</f>
        <v>8897.0491929203436</v>
      </c>
      <c r="Q9" s="50">
        <f>P9-P8</f>
        <v>0</v>
      </c>
      <c r="S9" s="416">
        <f>$D9</f>
        <v>0</v>
      </c>
      <c r="T9" s="50">
        <f>T8/(1-S9)</f>
        <v>86746.22963097335</v>
      </c>
      <c r="U9" s="50">
        <f>T9-T8</f>
        <v>0</v>
      </c>
      <c r="W9" s="416">
        <f>$D9</f>
        <v>0</v>
      </c>
      <c r="X9" s="50">
        <f>X8/(1-W9)</f>
        <v>108432.78703871669</v>
      </c>
      <c r="Y9" s="50">
        <f>X9-X8</f>
        <v>0</v>
      </c>
    </row>
    <row r="10" spans="1:25" x14ac:dyDescent="0.3">
      <c r="B10" t="s">
        <v>450</v>
      </c>
      <c r="C10" s="50">
        <f>Run!$AA$38*(1-C$1)</f>
        <v>50879.044627590862</v>
      </c>
      <c r="D10" s="415">
        <f>Run!W38</f>
        <v>0.26008000394717534</v>
      </c>
      <c r="E10" s="419">
        <f t="shared" si="1"/>
        <v>0.73991999605282466</v>
      </c>
      <c r="F10" s="419">
        <f>E10*F12</f>
        <v>0.65182128547810836</v>
      </c>
      <c r="H10"/>
      <c r="I10" s="50">
        <f>H11-H9</f>
        <v>52419.341328279261</v>
      </c>
      <c r="J10" s="51"/>
      <c r="K10" s="416">
        <f>D10</f>
        <v>0.26008000394717534</v>
      </c>
      <c r="L10"/>
      <c r="M10" s="50">
        <f>L11-L9</f>
        <v>52419.341328279261</v>
      </c>
      <c r="O10" s="416">
        <f>$D10</f>
        <v>0.26008000394717534</v>
      </c>
      <c r="Q10" s="50">
        <f>P11-P9</f>
        <v>3127.2902496984789</v>
      </c>
      <c r="S10" s="426">
        <f>$D10*$T$24</f>
        <v>0.26008000394717534</v>
      </c>
      <c r="U10" s="50">
        <f>T11-T9</f>
        <v>30491.079934560184</v>
      </c>
      <c r="W10" s="426">
        <f>$D10*$X$24</f>
        <v>0.26008000394717534</v>
      </c>
      <c r="Y10" s="50">
        <f>X11-X9</f>
        <v>38113.849918200227</v>
      </c>
    </row>
    <row r="11" spans="1:25" x14ac:dyDescent="0.3">
      <c r="B11" s="412" t="s">
        <v>459</v>
      </c>
      <c r="C11" s="414">
        <f>Run!H38*(1-Conv!C1)</f>
        <v>201566.7092599645</v>
      </c>
      <c r="E11" s="419"/>
      <c r="F11" s="419"/>
      <c r="H11" s="420">
        <f>E12*H12</f>
        <v>201550.83256199167</v>
      </c>
      <c r="I11" s="50"/>
      <c r="J11" s="51"/>
      <c r="K11" s="416"/>
      <c r="L11" s="420">
        <f>L9/(1-K10)</f>
        <v>201550.83256199167</v>
      </c>
      <c r="M11" s="50"/>
      <c r="O11" s="416"/>
      <c r="P11" s="420">
        <f>P9/(1-O10)</f>
        <v>12024.339442618822</v>
      </c>
      <c r="Q11" s="50"/>
      <c r="S11" s="416"/>
      <c r="T11" s="420">
        <f>T9/(1-S10)</f>
        <v>117237.30956553353</v>
      </c>
      <c r="U11" s="50"/>
      <c r="W11" s="416"/>
      <c r="X11" s="420">
        <f>X9/(1-W10)</f>
        <v>146546.63695691692</v>
      </c>
      <c r="Y11" s="50"/>
    </row>
    <row r="12" spans="1:25" x14ac:dyDescent="0.3">
      <c r="B12" t="s">
        <v>451</v>
      </c>
      <c r="D12" s="416">
        <v>0</v>
      </c>
      <c r="E12" s="419">
        <f t="shared" si="1"/>
        <v>1</v>
      </c>
      <c r="F12" s="419">
        <f t="shared" si="2"/>
        <v>0.88093481586565103</v>
      </c>
      <c r="H12" s="50">
        <f>E13*H14</f>
        <v>201550.83256199167</v>
      </c>
      <c r="I12" s="50">
        <f>H12-H11</f>
        <v>0</v>
      </c>
      <c r="J12" s="51"/>
      <c r="K12" s="416">
        <f>D12</f>
        <v>0</v>
      </c>
      <c r="L12" s="50">
        <f>L11/(1-K12)</f>
        <v>201550.83256199167</v>
      </c>
      <c r="M12" s="50">
        <f>L12-L11</f>
        <v>0</v>
      </c>
      <c r="O12" s="416">
        <f>$D12</f>
        <v>0</v>
      </c>
      <c r="P12" s="50">
        <f>P11/(1-O12)</f>
        <v>12024.339442618822</v>
      </c>
      <c r="Q12" s="50">
        <f>P12-P11</f>
        <v>0</v>
      </c>
      <c r="S12" s="416">
        <f>$D12</f>
        <v>0</v>
      </c>
      <c r="T12" s="50">
        <f>T11/(1-S12)</f>
        <v>117237.30956553353</v>
      </c>
      <c r="U12" s="50">
        <f>T12-T11</f>
        <v>0</v>
      </c>
      <c r="W12" s="416">
        <f>$D12</f>
        <v>0</v>
      </c>
      <c r="X12" s="50">
        <f>X11/(1-W12)</f>
        <v>146546.63695691692</v>
      </c>
      <c r="Y12" s="50">
        <f>X12-X11</f>
        <v>0</v>
      </c>
    </row>
    <row r="13" spans="1:25" x14ac:dyDescent="0.3">
      <c r="B13" t="s">
        <v>452</v>
      </c>
      <c r="C13" s="50">
        <f>Run!$Z$38*C$1</f>
        <v>14054.603216762713</v>
      </c>
      <c r="D13" s="415">
        <f>Run!V38</f>
        <v>0.11906518413434894</v>
      </c>
      <c r="E13" s="419">
        <f t="shared" si="1"/>
        <v>0.88093481586565103</v>
      </c>
      <c r="F13" s="419">
        <f>E13</f>
        <v>0.88093481586565103</v>
      </c>
      <c r="H13"/>
      <c r="I13" s="50">
        <f>H14-H12</f>
        <v>27241.160820558027</v>
      </c>
      <c r="J13" s="51"/>
      <c r="K13" s="416">
        <f>D13</f>
        <v>0.11906518413434894</v>
      </c>
      <c r="L13"/>
      <c r="M13" s="50">
        <f>L14-L12</f>
        <v>27241.160820558027</v>
      </c>
      <c r="O13" s="416">
        <f>$D13</f>
        <v>0.11906518413434894</v>
      </c>
      <c r="Q13" s="50">
        <f>P14-P12</f>
        <v>1625.1828898628373</v>
      </c>
      <c r="S13" s="426">
        <f>$D13*$T$24</f>
        <v>0.11906518413434894</v>
      </c>
      <c r="U13" s="50">
        <f>T14-T12</f>
        <v>15845.533176162658</v>
      </c>
      <c r="W13" s="426">
        <f>$D13*$X$24</f>
        <v>0.11906518413434894</v>
      </c>
      <c r="Y13" s="50">
        <f>X14-X12</f>
        <v>19806.916470203345</v>
      </c>
    </row>
    <row r="14" spans="1:25" x14ac:dyDescent="0.3">
      <c r="B14" t="s">
        <v>77</v>
      </c>
      <c r="C14" s="361">
        <f>Run!F38*(1-Conv!C1)</f>
        <v>228791.9933825497</v>
      </c>
      <c r="D14" s="428"/>
      <c r="E14" s="429"/>
      <c r="F14" s="429"/>
      <c r="G14" s="21"/>
      <c r="H14" s="420">
        <f>C14</f>
        <v>228791.9933825497</v>
      </c>
      <c r="I14" s="361"/>
      <c r="J14" s="430"/>
      <c r="K14" s="429"/>
      <c r="L14" s="420">
        <f>L12/(1-K13)</f>
        <v>228791.9933825497</v>
      </c>
      <c r="M14" s="361"/>
      <c r="N14" s="431"/>
      <c r="O14" s="428"/>
      <c r="P14" s="420">
        <f>P12/(1-O13)</f>
        <v>13649.52233248166</v>
      </c>
      <c r="Q14" s="361"/>
      <c r="R14" s="21"/>
      <c r="S14" s="428"/>
      <c r="T14" s="420">
        <f>T12/(1-S13)</f>
        <v>133082.84274169619</v>
      </c>
      <c r="U14" s="361"/>
      <c r="V14" s="21"/>
      <c r="W14" s="429"/>
      <c r="X14" s="420">
        <f>X12/(1-W13)</f>
        <v>166353.55342712026</v>
      </c>
      <c r="Y14" s="361"/>
    </row>
    <row r="15" spans="1:25" x14ac:dyDescent="0.3">
      <c r="B15" t="s">
        <v>549</v>
      </c>
      <c r="C15" s="50">
        <f>Summary!$AE$22*(1-C$1)</f>
        <v>126364.02200743037</v>
      </c>
      <c r="D15" s="416">
        <f>Summary!T22+Summary!T23+Summary!T24</f>
        <v>0.35579999999999995</v>
      </c>
      <c r="E15" s="419"/>
      <c r="F15" s="419"/>
      <c r="H15" s="50"/>
      <c r="I15" s="50">
        <f>H16*D15</f>
        <v>126364.02200743038</v>
      </c>
      <c r="J15" s="50"/>
      <c r="K15" s="416">
        <f>$D15</f>
        <v>0.35579999999999995</v>
      </c>
      <c r="L15" s="50"/>
      <c r="M15" s="50">
        <f>K15*L16</f>
        <v>126364.77995267177</v>
      </c>
      <c r="N15"/>
      <c r="O15" s="416">
        <f>$D15</f>
        <v>0.35579999999999995</v>
      </c>
      <c r="P15" s="50"/>
      <c r="Q15" s="50">
        <f>O15*P16</f>
        <v>7538.8078949037144</v>
      </c>
      <c r="S15" s="416">
        <f>$D15</f>
        <v>0.35579999999999995</v>
      </c>
      <c r="T15" s="50"/>
      <c r="U15" s="50">
        <f>S15*T16</f>
        <v>73503.376975311214</v>
      </c>
      <c r="W15" s="416">
        <f>$D15</f>
        <v>0.35579999999999995</v>
      </c>
      <c r="X15" s="50"/>
      <c r="Y15" s="50">
        <f>W15*X16</f>
        <v>91879.221219139043</v>
      </c>
    </row>
    <row r="16" spans="1:25" x14ac:dyDescent="0.3">
      <c r="B16" t="s">
        <v>550</v>
      </c>
      <c r="C16" s="50">
        <f>Summary!$AE$23*(1-C$1)</f>
        <v>355154.64307878132</v>
      </c>
      <c r="E16" s="419"/>
      <c r="F16" s="419"/>
      <c r="H16" s="50">
        <f>C16</f>
        <v>355154.64307878132</v>
      </c>
      <c r="I16"/>
      <c r="J16" s="50"/>
      <c r="K16" s="419"/>
      <c r="L16" s="50">
        <f>L14/(1-K15)</f>
        <v>355156.77333522146</v>
      </c>
      <c r="M16" s="50"/>
      <c r="N16"/>
      <c r="O16" s="416"/>
      <c r="P16" s="50">
        <f>P14/(1-O15)</f>
        <v>21188.330227385373</v>
      </c>
      <c r="Q16" s="50"/>
      <c r="S16" s="416"/>
      <c r="T16" s="50">
        <f>T14/(1-S15)</f>
        <v>206586.21971700739</v>
      </c>
      <c r="U16" s="50"/>
      <c r="W16" s="419"/>
      <c r="X16" s="50">
        <f>X14/(1-W15)</f>
        <v>258232.77464625929</v>
      </c>
      <c r="Y16" s="50"/>
    </row>
    <row r="17" spans="2:27" x14ac:dyDescent="0.3">
      <c r="D17" s="418"/>
      <c r="E17" s="53"/>
      <c r="F17" s="53"/>
      <c r="H17"/>
      <c r="I17"/>
      <c r="K17"/>
      <c r="L17" s="50"/>
      <c r="M17"/>
      <c r="P17" s="50"/>
      <c r="T17" s="50"/>
      <c r="X17" s="50"/>
    </row>
    <row r="18" spans="2:27" x14ac:dyDescent="0.3">
      <c r="B18" s="413" t="s">
        <v>548</v>
      </c>
      <c r="C18" s="421">
        <f>Summary!T51</f>
        <v>89800</v>
      </c>
      <c r="H18"/>
      <c r="I18" s="421">
        <f>I7+I10+I13</f>
        <v>91715.828992440831</v>
      </c>
      <c r="K18"/>
      <c r="L18" s="50"/>
      <c r="M18" s="421">
        <f>M7+M10+M13</f>
        <v>91715.828992440831</v>
      </c>
      <c r="P18" s="50"/>
      <c r="Q18" s="421">
        <f>Q7+Q10+Q13</f>
        <v>5471.6829796626653</v>
      </c>
      <c r="T18" s="50"/>
      <c r="U18" s="421">
        <f>U7+U10+U13</f>
        <v>53348.909051710987</v>
      </c>
      <c r="X18" s="50"/>
      <c r="Y18" s="421">
        <f>Y7+Y10+Y13</f>
        <v>66686.136314638759</v>
      </c>
    </row>
    <row r="19" spans="2:27" x14ac:dyDescent="0.3">
      <c r="B19" s="413" t="s">
        <v>453</v>
      </c>
      <c r="C19" s="413"/>
      <c r="D19" s="56">
        <f>Summary!U30</f>
        <v>0.39891184562560406</v>
      </c>
      <c r="H19"/>
      <c r="I19" s="422">
        <f>I18/H14</f>
        <v>0.40086992397102011</v>
      </c>
      <c r="J19" s="403"/>
      <c r="K19" s="49"/>
      <c r="L19" s="49"/>
      <c r="M19" s="422">
        <f>M18/L14</f>
        <v>0.40086992397102011</v>
      </c>
      <c r="N19" s="403"/>
      <c r="O19" s="49"/>
      <c r="P19" s="49"/>
      <c r="Q19" s="422">
        <f>Q18/P14</f>
        <v>0.40086992397102023</v>
      </c>
      <c r="R19" s="56"/>
      <c r="S19" s="56"/>
      <c r="T19" s="56"/>
      <c r="U19" s="422">
        <f>U18/T14</f>
        <v>0.40086992397102017</v>
      </c>
      <c r="V19" s="56"/>
      <c r="W19" s="56"/>
      <c r="X19" s="56"/>
      <c r="Y19" s="422">
        <f>Y18/X14</f>
        <v>0.40086992397102028</v>
      </c>
    </row>
    <row r="20" spans="2:27" x14ac:dyDescent="0.3">
      <c r="B20" s="413" t="s">
        <v>454</v>
      </c>
      <c r="C20" s="413"/>
      <c r="H20"/>
      <c r="I20" s="421">
        <f>I6+I9+I12</f>
        <v>49476.076793174347</v>
      </c>
      <c r="K20"/>
      <c r="L20" s="50"/>
      <c r="M20" s="421">
        <f>M6+M9+M12</f>
        <v>49476.076793174347</v>
      </c>
      <c r="P20" s="50"/>
      <c r="Q20" s="421">
        <f>Q6+Q9+Q12</f>
        <v>2951.697763229151</v>
      </c>
      <c r="T20" s="50"/>
      <c r="U20" s="421">
        <f>U6+U9+U12</f>
        <v>28779.053191484229</v>
      </c>
      <c r="X20" s="50"/>
      <c r="Y20" s="421">
        <f>Y6+Y9+Y12</f>
        <v>35973.816489355282</v>
      </c>
    </row>
    <row r="21" spans="2:27" x14ac:dyDescent="0.3">
      <c r="B21" s="413" t="s">
        <v>455</v>
      </c>
      <c r="C21" s="413"/>
      <c r="H21"/>
      <c r="I21" s="423">
        <f>I20/H14</f>
        <v>0.21624916178971479</v>
      </c>
      <c r="K21"/>
      <c r="L21" s="50"/>
      <c r="M21" s="423">
        <f>M20/L14</f>
        <v>0.21624916178971479</v>
      </c>
      <c r="P21" s="50"/>
      <c r="Q21" s="423">
        <f>Q20/P14</f>
        <v>0.21624916178971473</v>
      </c>
      <c r="T21" s="50"/>
      <c r="U21" s="423">
        <f>U20/T14</f>
        <v>0.21624916178971476</v>
      </c>
      <c r="X21" s="50"/>
      <c r="Y21" s="423">
        <f>Y20/X14</f>
        <v>0.21624916178971473</v>
      </c>
    </row>
    <row r="22" spans="2:27" x14ac:dyDescent="0.3">
      <c r="K22"/>
      <c r="L22"/>
      <c r="M22"/>
    </row>
    <row r="23" spans="2:27" x14ac:dyDescent="0.3">
      <c r="B23" s="413" t="s">
        <v>456</v>
      </c>
      <c r="C23" s="413"/>
      <c r="K23"/>
      <c r="L23"/>
      <c r="M23" s="49">
        <f>$D$19</f>
        <v>0.39891184562560406</v>
      </c>
      <c r="Q23" s="49">
        <f>$D$19</f>
        <v>0.39891184562560406</v>
      </c>
      <c r="R23" s="54"/>
      <c r="S23" s="54"/>
      <c r="T23" s="54"/>
      <c r="U23" s="49">
        <f>$D$19</f>
        <v>0.39891184562560406</v>
      </c>
      <c r="V23" s="54"/>
      <c r="W23" s="54"/>
      <c r="X23" s="54"/>
      <c r="Y23" s="49">
        <f>$D$19</f>
        <v>0.39891184562560406</v>
      </c>
      <c r="AA23" t="s">
        <v>460</v>
      </c>
    </row>
    <row r="24" spans="2:27" x14ac:dyDescent="0.3">
      <c r="B24" s="413" t="s">
        <v>461</v>
      </c>
      <c r="C24" s="413"/>
      <c r="K24"/>
      <c r="L24"/>
      <c r="M24"/>
      <c r="T24" s="427">
        <v>1</v>
      </c>
      <c r="X24" s="427">
        <v>1</v>
      </c>
    </row>
    <row r="25" spans="2:27" x14ac:dyDescent="0.3">
      <c r="B25" s="413"/>
      <c r="C25" s="413"/>
    </row>
    <row r="26" spans="2:27" x14ac:dyDescent="0.3">
      <c r="B26" s="413" t="s">
        <v>551</v>
      </c>
      <c r="C26" s="413"/>
      <c r="I26" s="50">
        <f>I18+I15</f>
        <v>218079.85099987121</v>
      </c>
      <c r="M26" s="50">
        <f>M18+M15</f>
        <v>218080.60894511262</v>
      </c>
      <c r="Q26" s="50">
        <f>Q18+Q15</f>
        <v>13010.49087456638</v>
      </c>
      <c r="U26" s="50">
        <f>U18+U15</f>
        <v>126852.2860270222</v>
      </c>
      <c r="Y26" s="50">
        <f>Y18+Y15</f>
        <v>158565.3575337778</v>
      </c>
    </row>
    <row r="27" spans="2:27" x14ac:dyDescent="0.3">
      <c r="B27" s="413" t="s">
        <v>552</v>
      </c>
      <c r="C27" s="413"/>
      <c r="I27">
        <f>I26/H16</f>
        <v>0.61404195397635886</v>
      </c>
      <c r="M27">
        <f>M26/L16</f>
        <v>0.6140404050221312</v>
      </c>
      <c r="Q27">
        <f>Q26/P16</f>
        <v>0.6140404050221312</v>
      </c>
      <c r="U27">
        <f>U26/T16</f>
        <v>0.6140404050221312</v>
      </c>
      <c r="Y27">
        <f>Y26/X16</f>
        <v>0.61404040502213131</v>
      </c>
    </row>
    <row r="28" spans="2:27" x14ac:dyDescent="0.3">
      <c r="B28" s="413"/>
      <c r="C28" s="413"/>
    </row>
    <row r="29" spans="2:27" x14ac:dyDescent="0.3">
      <c r="B29" s="413"/>
      <c r="C29" s="413"/>
      <c r="H29" t="s">
        <v>439</v>
      </c>
      <c r="I29"/>
      <c r="K29"/>
      <c r="L29" t="s">
        <v>440</v>
      </c>
      <c r="M29"/>
      <c r="P29" t="s">
        <v>439</v>
      </c>
      <c r="T29" t="s">
        <v>439</v>
      </c>
      <c r="X29" t="s">
        <v>439</v>
      </c>
    </row>
    <row r="30" spans="2:27" x14ac:dyDescent="0.3">
      <c r="B30" s="413"/>
      <c r="C30" s="413"/>
      <c r="H30" t="s">
        <v>436</v>
      </c>
      <c r="I30"/>
      <c r="K30"/>
      <c r="L30" t="s">
        <v>436</v>
      </c>
      <c r="M30"/>
      <c r="P30" t="s">
        <v>9</v>
      </c>
      <c r="T30" t="s">
        <v>256</v>
      </c>
      <c r="X30" t="s">
        <v>11</v>
      </c>
    </row>
    <row r="31" spans="2:27" x14ac:dyDescent="0.3">
      <c r="B31" s="413"/>
      <c r="C31" s="413"/>
      <c r="H31"/>
      <c r="I31"/>
      <c r="K31"/>
      <c r="L31"/>
      <c r="M31"/>
    </row>
    <row r="32" spans="2:27" x14ac:dyDescent="0.3">
      <c r="B32" t="s">
        <v>448</v>
      </c>
      <c r="C32" s="50">
        <f>Summary!T48</f>
        <v>45400</v>
      </c>
      <c r="H32" s="420">
        <f t="shared" ref="H32" si="4">E33*H33</f>
        <v>45218.235971657203</v>
      </c>
      <c r="I32" s="53"/>
      <c r="K32"/>
      <c r="L32" s="420">
        <f>H32</f>
        <v>45218.235971657203</v>
      </c>
      <c r="M32"/>
      <c r="P32" s="420">
        <f>P33*(1-O33)</f>
        <v>49462.794079519037</v>
      </c>
      <c r="Q32" s="53"/>
      <c r="T32" s="420">
        <f>T33*(1-S33)</f>
        <v>49462.794079519037</v>
      </c>
      <c r="U32" s="53"/>
      <c r="X32" s="420">
        <f>X33*(1-W33)</f>
        <v>82631.961874020039</v>
      </c>
      <c r="Y32" s="53"/>
    </row>
    <row r="33" spans="1:27" x14ac:dyDescent="0.3">
      <c r="A33" t="s">
        <v>457</v>
      </c>
      <c r="B33" t="s">
        <v>471</v>
      </c>
      <c r="D33" s="416">
        <f>D6</f>
        <v>0.3609385848612528</v>
      </c>
      <c r="E33" s="419">
        <f t="shared" ref="E33:E34" si="5">1-D33</f>
        <v>0.63906141513874726</v>
      </c>
      <c r="F33" s="419">
        <f t="shared" ref="F33" si="6">E33*F34</f>
        <v>0.38288091423926507</v>
      </c>
      <c r="H33" s="50">
        <f>E34*H35</f>
        <v>70757.261979022514</v>
      </c>
      <c r="I33" s="50">
        <f t="shared" ref="I33" si="7">H33-H32</f>
        <v>25539.026007365312</v>
      </c>
      <c r="K33" s="416">
        <f>D33</f>
        <v>0.3609385848612528</v>
      </c>
      <c r="L33" s="50">
        <f>L32/(1-K33)</f>
        <v>70757.261979022514</v>
      </c>
      <c r="M33" s="50">
        <f>L33-L32</f>
        <v>25539.026007365312</v>
      </c>
      <c r="O33" s="416">
        <f>$D33</f>
        <v>0.3609385848612528</v>
      </c>
      <c r="P33" s="50">
        <f>P35*(1-O34)</f>
        <v>77399.124572057161</v>
      </c>
      <c r="Q33" s="50">
        <f t="shared" ref="Q33" si="8">P33-P32</f>
        <v>27936.330492538124</v>
      </c>
      <c r="S33" s="416">
        <f>$D33</f>
        <v>0.3609385848612528</v>
      </c>
      <c r="T33" s="50">
        <f>T35*(1-S34)</f>
        <v>77399.124572057161</v>
      </c>
      <c r="U33" s="50">
        <f t="shared" ref="U33" si="9">T33-T32</f>
        <v>27936.330492538124</v>
      </c>
      <c r="W33" s="416">
        <f>$D33</f>
        <v>0.3609385848612528</v>
      </c>
      <c r="X33" s="50">
        <f>X35*(1-W34)</f>
        <v>129302.06693214257</v>
      </c>
      <c r="Y33" s="50">
        <f t="shared" ref="Y33" si="10">X33-X32</f>
        <v>46670.105058122528</v>
      </c>
    </row>
    <row r="34" spans="1:27" x14ac:dyDescent="0.3">
      <c r="B34" t="s">
        <v>470</v>
      </c>
      <c r="C34" s="50">
        <f>Run!$S$38*C1</f>
        <v>6050.1761485595862</v>
      </c>
      <c r="D34" s="415">
        <f>D7</f>
        <v>8.0836895975987838E-2</v>
      </c>
      <c r="E34" s="419">
        <f t="shared" si="5"/>
        <v>0.91916310402401213</v>
      </c>
      <c r="F34" s="419">
        <f>E34*F36</f>
        <v>0.59913007602897983</v>
      </c>
      <c r="H34"/>
      <c r="I34" s="50">
        <f>H35-H33</f>
        <v>6222.8318359420809</v>
      </c>
      <c r="K34" s="416">
        <f>D34</f>
        <v>8.0836895975987838E-2</v>
      </c>
      <c r="L34"/>
      <c r="M34" s="50">
        <f>L35-L33</f>
        <v>6222.8318359420809</v>
      </c>
      <c r="O34" s="416">
        <f>$D34</f>
        <v>8.0836895975987838E-2</v>
      </c>
      <c r="Q34" s="50">
        <f>P35-P33</f>
        <v>6806.95836709789</v>
      </c>
      <c r="S34" s="426">
        <f>$D34*$T$54</f>
        <v>8.0836895975987838E-2</v>
      </c>
      <c r="U34" s="50">
        <f>T35-T33</f>
        <v>6806.95836709789</v>
      </c>
      <c r="W34" s="426">
        <f>$D34*$X$54</f>
        <v>8.0836895975987838E-2</v>
      </c>
      <c r="Y34" s="50">
        <f>X35-X33</f>
        <v>11371.624566210579</v>
      </c>
      <c r="AA34" t="s">
        <v>462</v>
      </c>
    </row>
    <row r="35" spans="1:27" x14ac:dyDescent="0.3">
      <c r="B35" s="412" t="s">
        <v>472</v>
      </c>
      <c r="C35" s="50">
        <f>Summary!T44</f>
        <v>78800</v>
      </c>
      <c r="E35" s="419"/>
      <c r="F35" s="419"/>
      <c r="H35" s="420">
        <f>E36*H36</f>
        <v>76980.093814964595</v>
      </c>
      <c r="I35" s="50"/>
      <c r="K35" s="416"/>
      <c r="L35" s="420">
        <f>L33/(1-K34)</f>
        <v>76980.093814964595</v>
      </c>
      <c r="M35" s="50"/>
      <c r="O35" s="416"/>
      <c r="P35" s="420">
        <f>P36*(1-O36)</f>
        <v>84206.082939155051</v>
      </c>
      <c r="Q35" s="50"/>
      <c r="S35" s="416"/>
      <c r="T35" s="420">
        <f>T36*(1-S36)</f>
        <v>84206.082939155051</v>
      </c>
      <c r="U35" s="50"/>
      <c r="W35" s="416"/>
      <c r="X35" s="420">
        <f>X36*(1-W36)</f>
        <v>140673.69149835315</v>
      </c>
      <c r="Y35" s="50"/>
    </row>
    <row r="36" spans="1:27" x14ac:dyDescent="0.3">
      <c r="B36" t="s">
        <v>449</v>
      </c>
      <c r="D36" s="416">
        <f>D9</f>
        <v>0</v>
      </c>
      <c r="E36" s="419">
        <f t="shared" ref="E36:E37" si="11">1-D36</f>
        <v>1</v>
      </c>
      <c r="F36" s="419">
        <f t="shared" ref="F36" si="12">E36*F37</f>
        <v>0.65182128547810836</v>
      </c>
      <c r="H36" s="50">
        <f>E37*H38</f>
        <v>76980.093814964595</v>
      </c>
      <c r="I36" s="50">
        <f>H36-H35</f>
        <v>0</v>
      </c>
      <c r="K36" s="416">
        <f>D36</f>
        <v>0</v>
      </c>
      <c r="L36" s="50">
        <f>L35/(1-K36)</f>
        <v>76980.093814964595</v>
      </c>
      <c r="M36" s="50">
        <f>L36-L35</f>
        <v>0</v>
      </c>
      <c r="O36" s="416">
        <f>$D36</f>
        <v>0</v>
      </c>
      <c r="P36" s="50">
        <f>P38*(1-O37)</f>
        <v>84206.082939155051</v>
      </c>
      <c r="Q36" s="50">
        <f>P36-P35</f>
        <v>0</v>
      </c>
      <c r="S36" s="416">
        <f>$D36</f>
        <v>0</v>
      </c>
      <c r="T36" s="50">
        <f>T38*(1-S37)</f>
        <v>84206.082939155051</v>
      </c>
      <c r="U36" s="50">
        <f>T36-T35</f>
        <v>0</v>
      </c>
      <c r="W36" s="416">
        <f>$D36</f>
        <v>0</v>
      </c>
      <c r="X36" s="50">
        <f>X38*(1-W37)</f>
        <v>140673.69149835315</v>
      </c>
      <c r="Y36" s="50">
        <f>X36-X35</f>
        <v>0</v>
      </c>
    </row>
    <row r="37" spans="1:27" x14ac:dyDescent="0.3">
      <c r="B37" t="s">
        <v>450</v>
      </c>
      <c r="C37" s="50">
        <f>Run!$AA$38*C$1</f>
        <v>26265.466360938415</v>
      </c>
      <c r="D37" s="415">
        <f>D10</f>
        <v>0.26008000394717534</v>
      </c>
      <c r="E37" s="419">
        <f t="shared" si="11"/>
        <v>0.73991999605282466</v>
      </c>
      <c r="F37" s="419">
        <f>E37*F39</f>
        <v>0.65182128547810836</v>
      </c>
      <c r="H37"/>
      <c r="I37" s="50">
        <f>H38-H36</f>
        <v>27058.30793876879</v>
      </c>
      <c r="K37" s="416">
        <f>D37</f>
        <v>0.26008000394717534</v>
      </c>
      <c r="L37"/>
      <c r="M37" s="50">
        <f>L38-L36</f>
        <v>27058.30793876879</v>
      </c>
      <c r="O37" s="416">
        <f>$D37</f>
        <v>0.26008000394717534</v>
      </c>
      <c r="Q37" s="50">
        <f>P38-P36</f>
        <v>29598.224808115745</v>
      </c>
      <c r="S37" s="426">
        <f>$D37*$T$54</f>
        <v>0.26008000394717534</v>
      </c>
      <c r="U37" s="50">
        <f>T38-T36</f>
        <v>29598.224808115745</v>
      </c>
      <c r="W37" s="426">
        <f>$D37*$X$54</f>
        <v>0.26008000394717534</v>
      </c>
      <c r="Y37" s="50">
        <f>X38-X36</f>
        <v>49446.446150028671</v>
      </c>
    </row>
    <row r="38" spans="1:27" x14ac:dyDescent="0.3">
      <c r="B38" s="412" t="s">
        <v>459</v>
      </c>
      <c r="C38" s="50">
        <f>Summary!T40</f>
        <v>104000</v>
      </c>
      <c r="E38" s="419"/>
      <c r="F38" s="419"/>
      <c r="H38" s="420">
        <f>E39*H39</f>
        <v>104038.40175373339</v>
      </c>
      <c r="I38" s="50"/>
      <c r="K38" s="416"/>
      <c r="L38" s="420">
        <f>L36/(1-K37)</f>
        <v>104038.40175373339</v>
      </c>
      <c r="M38" s="50"/>
      <c r="O38" s="416"/>
      <c r="P38" s="420">
        <f>P39*(1-O39)</f>
        <v>113804.3077472708</v>
      </c>
      <c r="Q38" s="50"/>
      <c r="S38" s="416"/>
      <c r="T38" s="420">
        <f>T39*(1-S39)</f>
        <v>113804.3077472708</v>
      </c>
      <c r="U38" s="50"/>
      <c r="W38" s="416"/>
      <c r="X38" s="420">
        <f>X39*(1-W39)</f>
        <v>190120.13764838182</v>
      </c>
      <c r="Y38" s="50"/>
    </row>
    <row r="39" spans="1:27" x14ac:dyDescent="0.3">
      <c r="B39" t="s">
        <v>451</v>
      </c>
      <c r="D39" s="416">
        <f>D12</f>
        <v>0</v>
      </c>
      <c r="E39" s="419">
        <f t="shared" ref="E39:E40" si="13">1-D39</f>
        <v>1</v>
      </c>
      <c r="F39" s="419">
        <f t="shared" ref="F39" si="14">E39*F40</f>
        <v>0.88093481586565103</v>
      </c>
      <c r="H39" s="50">
        <f>E40*H41</f>
        <v>104038.40175373339</v>
      </c>
      <c r="I39" s="50">
        <f>H39-H38</f>
        <v>0</v>
      </c>
      <c r="K39" s="416">
        <f>D39</f>
        <v>0</v>
      </c>
      <c r="L39" s="50">
        <f>L38/(1-K39)</f>
        <v>104038.40175373339</v>
      </c>
      <c r="M39" s="50">
        <f>L39-L38</f>
        <v>0</v>
      </c>
      <c r="O39" s="416">
        <f>$D39</f>
        <v>0</v>
      </c>
      <c r="P39" s="50">
        <f>P41*(1-O40)</f>
        <v>113804.3077472708</v>
      </c>
      <c r="Q39" s="50">
        <f>P39-P38</f>
        <v>0</v>
      </c>
      <c r="S39" s="416">
        <f>$D39</f>
        <v>0</v>
      </c>
      <c r="T39" s="50">
        <f>T41*(1-S40)</f>
        <v>113804.3077472708</v>
      </c>
      <c r="U39" s="50">
        <f>T39-T38</f>
        <v>0</v>
      </c>
      <c r="W39" s="416">
        <f>$D39</f>
        <v>0</v>
      </c>
      <c r="X39" s="50">
        <f>X41*(1-W40)</f>
        <v>190120.13764838182</v>
      </c>
      <c r="Y39" s="50">
        <f>X39-X38</f>
        <v>0</v>
      </c>
    </row>
    <row r="40" spans="1:27" x14ac:dyDescent="0.3">
      <c r="B40" t="s">
        <v>452</v>
      </c>
      <c r="C40" s="50">
        <f>Run!$Z$38*C$1</f>
        <v>14054.603216762713</v>
      </c>
      <c r="D40" s="415">
        <f>D13</f>
        <v>0.11906518413434894</v>
      </c>
      <c r="E40" s="419">
        <f t="shared" si="13"/>
        <v>0.88093481586565103</v>
      </c>
      <c r="F40" s="419">
        <f>E40</f>
        <v>0.88093481586565103</v>
      </c>
      <c r="H40"/>
      <c r="I40" s="50">
        <f>H41-H39</f>
        <v>14061.598246266614</v>
      </c>
      <c r="K40" s="416">
        <f>D40</f>
        <v>0.11906518413434894</v>
      </c>
      <c r="L40"/>
      <c r="M40" s="50">
        <f>L41-L39</f>
        <v>14061.598246266614</v>
      </c>
      <c r="O40" s="416">
        <f>$D40</f>
        <v>0.11906518413434894</v>
      </c>
      <c r="Q40" s="50">
        <f>P41-P39</f>
        <v>15381.536310261363</v>
      </c>
      <c r="S40" s="426">
        <f>$D40*$T$24</f>
        <v>0.11906518413434894</v>
      </c>
      <c r="U40" s="50">
        <f>T41-T39</f>
        <v>15381.536310261363</v>
      </c>
      <c r="W40" s="426">
        <f>$D40*$X$24</f>
        <v>0.11906518413434894</v>
      </c>
      <c r="Y40" s="50">
        <f>X41-X39</f>
        <v>25696.213600671908</v>
      </c>
    </row>
    <row r="41" spans="1:27" x14ac:dyDescent="0.3">
      <c r="B41" t="s">
        <v>77</v>
      </c>
      <c r="C41" s="361">
        <f>Summary!T36</f>
        <v>118100</v>
      </c>
      <c r="D41" s="428"/>
      <c r="E41" s="21"/>
      <c r="F41" s="21"/>
      <c r="G41" s="21"/>
      <c r="H41" s="420">
        <f>C41</f>
        <v>118100</v>
      </c>
      <c r="I41" s="361"/>
      <c r="J41" s="431"/>
      <c r="K41" s="429"/>
      <c r="L41" s="420">
        <f>L39/(1-K40)</f>
        <v>118100</v>
      </c>
      <c r="M41" s="361"/>
      <c r="N41" s="431"/>
      <c r="O41" s="428"/>
      <c r="P41" s="420">
        <f>P45*$C$46</f>
        <v>129185.84405753216</v>
      </c>
      <c r="Q41" s="361"/>
      <c r="R41" s="21"/>
      <c r="S41" s="428"/>
      <c r="T41" s="420">
        <f>T45*$C$46</f>
        <v>129185.84405753216</v>
      </c>
      <c r="U41" s="361"/>
      <c r="V41" s="21"/>
      <c r="W41" s="429"/>
      <c r="X41" s="420">
        <f>X45*$C$46</f>
        <v>215816.35124905373</v>
      </c>
      <c r="Y41" s="361"/>
    </row>
    <row r="42" spans="1:27" x14ac:dyDescent="0.3">
      <c r="B42" t="s">
        <v>549</v>
      </c>
      <c r="C42" s="50">
        <f>Summary!$AE$22*(C$1)</f>
        <v>65233.339060560895</v>
      </c>
      <c r="D42" s="416">
        <f>D15</f>
        <v>0.35579999999999995</v>
      </c>
      <c r="H42" s="50"/>
      <c r="I42" s="50">
        <f>H43*D42</f>
        <v>65233.339060560895</v>
      </c>
      <c r="J42" s="50"/>
      <c r="K42" s="416">
        <f>$D42</f>
        <v>0.35579999999999995</v>
      </c>
      <c r="L42" s="50"/>
      <c r="M42" s="50">
        <f>K42*L43</f>
        <v>65228.158956845677</v>
      </c>
      <c r="N42"/>
      <c r="O42" s="416">
        <f>$D42</f>
        <v>0.35579999999999995</v>
      </c>
      <c r="P42" s="50"/>
      <c r="Q42" s="50">
        <f>O42*P43</f>
        <v>71351.014150372444</v>
      </c>
      <c r="S42" s="416">
        <f>$D42</f>
        <v>0.35579999999999995</v>
      </c>
      <c r="T42" s="50"/>
      <c r="U42" s="50">
        <f>S42*T43</f>
        <v>71351.014150372444</v>
      </c>
      <c r="W42" s="416">
        <f>$D42</f>
        <v>0.35579999999999995</v>
      </c>
      <c r="X42" s="50"/>
      <c r="Y42" s="50">
        <f>W42*X43</f>
        <v>119198.1648159163</v>
      </c>
    </row>
    <row r="43" spans="1:27" x14ac:dyDescent="0.3">
      <c r="B43" t="s">
        <v>550</v>
      </c>
      <c r="C43" s="50">
        <f>Summary!$AE$23*(C$1)</f>
        <v>183342.71798920995</v>
      </c>
      <c r="H43" s="50">
        <f>C43</f>
        <v>183342.71798920995</v>
      </c>
      <c r="I43"/>
      <c r="J43" s="50"/>
      <c r="K43" s="419"/>
      <c r="L43" s="50">
        <f>L41/(1-K42)</f>
        <v>183328.15895684567</v>
      </c>
      <c r="M43" s="50"/>
      <c r="N43"/>
      <c r="O43" s="416"/>
      <c r="P43" s="50">
        <f>P41/(1-O42)</f>
        <v>200536.85820790459</v>
      </c>
      <c r="Q43" s="50"/>
      <c r="S43" s="416"/>
      <c r="T43" s="50">
        <f>T41/(1-S42)</f>
        <v>200536.85820790459</v>
      </c>
      <c r="U43" s="50"/>
      <c r="W43" s="419"/>
      <c r="X43" s="50">
        <f>X41/(1-W42)</f>
        <v>335014.51606497</v>
      </c>
      <c r="Y43" s="50"/>
    </row>
    <row r="44" spans="1:27" x14ac:dyDescent="0.3">
      <c r="C44" s="50"/>
      <c r="H44" s="50"/>
      <c r="I44" s="50"/>
      <c r="K44" s="419"/>
      <c r="L44" s="50"/>
      <c r="M44" s="50"/>
      <c r="O44" s="416"/>
      <c r="P44" s="50"/>
      <c r="Q44" s="50"/>
      <c r="S44" s="416"/>
      <c r="T44" s="50"/>
      <c r="U44" s="50"/>
      <c r="W44" s="419"/>
      <c r="X44" s="50"/>
      <c r="Y44" s="50"/>
    </row>
    <row r="45" spans="1:27" x14ac:dyDescent="0.3">
      <c r="B45" t="s">
        <v>463</v>
      </c>
      <c r="C45" s="50">
        <v>13210000</v>
      </c>
      <c r="H45" s="50"/>
      <c r="I45" s="50"/>
      <c r="K45" s="419"/>
      <c r="L45" s="50"/>
      <c r="M45" s="50"/>
      <c r="O45" s="416"/>
      <c r="P45" s="50">
        <f>Summary!$U$18+Summary!$V$18</f>
        <v>14450000</v>
      </c>
      <c r="Q45" s="50"/>
      <c r="S45" s="416"/>
      <c r="T45" s="50">
        <f>P45</f>
        <v>14450000</v>
      </c>
      <c r="U45" s="50"/>
      <c r="W45" s="419"/>
      <c r="X45" s="50">
        <f>Summary!AD18</f>
        <v>24140000</v>
      </c>
      <c r="Y45" s="50"/>
    </row>
    <row r="46" spans="1:27" x14ac:dyDescent="0.3">
      <c r="B46" t="s">
        <v>546</v>
      </c>
      <c r="C46" s="56">
        <f>C41/C45</f>
        <v>8.9401968205904611E-3</v>
      </c>
      <c r="H46" s="50"/>
      <c r="I46" s="50"/>
      <c r="K46" s="419"/>
      <c r="L46" s="50"/>
      <c r="M46" s="50"/>
      <c r="O46" s="416"/>
      <c r="P46" s="50"/>
      <c r="Q46" s="50"/>
      <c r="S46" s="416"/>
      <c r="T46" s="50"/>
      <c r="U46" s="50"/>
      <c r="W46" s="419"/>
      <c r="X46" s="50"/>
      <c r="Y46" s="50"/>
    </row>
    <row r="47" spans="1:27" x14ac:dyDescent="0.3">
      <c r="H47" s="50"/>
      <c r="I47" s="50"/>
      <c r="K47"/>
      <c r="L47" s="50"/>
      <c r="M47"/>
      <c r="P47" s="50"/>
      <c r="T47" s="50"/>
      <c r="X47" s="50"/>
    </row>
    <row r="48" spans="1:27" x14ac:dyDescent="0.3">
      <c r="B48" s="413" t="s">
        <v>548</v>
      </c>
      <c r="C48" s="421">
        <f>Summary!T52</f>
        <v>46400</v>
      </c>
      <c r="H48"/>
      <c r="I48" s="421">
        <f>I34+I37+I40</f>
        <v>47342.738020977486</v>
      </c>
      <c r="K48"/>
      <c r="L48" s="50"/>
      <c r="M48" s="421">
        <f>M34+M37+M40</f>
        <v>47342.738020977486</v>
      </c>
      <c r="P48" s="50"/>
      <c r="Q48" s="421">
        <f>Q34+Q37+Q40</f>
        <v>51786.719485474998</v>
      </c>
      <c r="T48" s="50"/>
      <c r="U48" s="421">
        <f>U34+U37+U40</f>
        <v>51786.719485474998</v>
      </c>
      <c r="X48" s="50"/>
      <c r="Y48" s="421">
        <f>Y34+Y37+Y40</f>
        <v>86514.284316911158</v>
      </c>
    </row>
    <row r="49" spans="2:27" x14ac:dyDescent="0.3">
      <c r="B49" s="413" t="s">
        <v>453</v>
      </c>
      <c r="C49" s="413"/>
      <c r="H49"/>
      <c r="I49" s="422">
        <f>I48/H41</f>
        <v>0.40086992397102023</v>
      </c>
      <c r="K49" s="49"/>
      <c r="L49" s="49"/>
      <c r="M49" s="422">
        <f>M48/L41</f>
        <v>0.40086992397102023</v>
      </c>
      <c r="N49" s="403"/>
      <c r="O49" s="49"/>
      <c r="P49" s="49"/>
      <c r="Q49" s="422">
        <f>Q48/P41</f>
        <v>0.40086992397102028</v>
      </c>
      <c r="R49" s="56"/>
      <c r="S49" s="56"/>
      <c r="T49" s="56"/>
      <c r="U49" s="422">
        <f>U48/T41</f>
        <v>0.40086992397102028</v>
      </c>
      <c r="V49" s="56"/>
      <c r="W49" s="56"/>
      <c r="X49" s="56"/>
      <c r="Y49" s="422">
        <f>Y48/X41</f>
        <v>0.40086992397102023</v>
      </c>
      <c r="AA49" t="s">
        <v>458</v>
      </c>
    </row>
    <row r="50" spans="2:27" x14ac:dyDescent="0.3">
      <c r="B50" s="413" t="s">
        <v>454</v>
      </c>
      <c r="C50" s="413"/>
      <c r="H50"/>
      <c r="I50" s="421">
        <f>I33+I36+I39</f>
        <v>25539.026007365312</v>
      </c>
      <c r="K50"/>
      <c r="L50" s="50"/>
      <c r="M50" s="421">
        <f>M33+M36+M39</f>
        <v>25539.026007365312</v>
      </c>
      <c r="P50" s="50"/>
      <c r="Q50" s="421">
        <f>Q33+Q36+Q39</f>
        <v>27936.330492538124</v>
      </c>
      <c r="T50" s="50"/>
      <c r="U50" s="421">
        <f>U33+U36+U39</f>
        <v>27936.330492538124</v>
      </c>
      <c r="X50" s="50"/>
      <c r="Y50" s="421">
        <f>Y33+Y36+Y39</f>
        <v>46670.105058122528</v>
      </c>
    </row>
    <row r="51" spans="2:27" x14ac:dyDescent="0.3">
      <c r="B51" s="413" t="s">
        <v>455</v>
      </c>
      <c r="C51" s="413"/>
      <c r="H51"/>
      <c r="I51" s="423">
        <f>I50/H41</f>
        <v>0.21624916178971476</v>
      </c>
      <c r="K51"/>
      <c r="L51" s="50"/>
      <c r="M51" s="423">
        <f>M50/L41</f>
        <v>0.21624916178971476</v>
      </c>
      <c r="P51" s="50"/>
      <c r="Q51" s="423">
        <f>Q50/P41</f>
        <v>0.21624916178971468</v>
      </c>
      <c r="T51" s="50"/>
      <c r="U51" s="423">
        <f>U50/T41</f>
        <v>0.21624916178971468</v>
      </c>
      <c r="X51" s="50"/>
      <c r="Y51" s="423">
        <f>Y50/X41</f>
        <v>0.21624916178971476</v>
      </c>
    </row>
    <row r="52" spans="2:27" x14ac:dyDescent="0.3">
      <c r="I52" s="363"/>
      <c r="K52"/>
      <c r="L52"/>
      <c r="M52"/>
    </row>
    <row r="53" spans="2:27" x14ac:dyDescent="0.3">
      <c r="B53" s="413" t="s">
        <v>456</v>
      </c>
      <c r="C53" s="413"/>
      <c r="K53"/>
      <c r="L53"/>
      <c r="M53" s="49">
        <f>M23</f>
        <v>0.39891184562560406</v>
      </c>
      <c r="Q53" s="49">
        <f>Q23</f>
        <v>0.39891184562560406</v>
      </c>
      <c r="R53" s="54"/>
      <c r="S53" s="54"/>
      <c r="T53" s="54"/>
      <c r="U53" s="49">
        <f>U23</f>
        <v>0.39891184562560406</v>
      </c>
      <c r="V53" s="54"/>
      <c r="W53" s="54"/>
      <c r="X53" s="54"/>
      <c r="Y53" s="49">
        <f>Y23</f>
        <v>0.39891184562560406</v>
      </c>
    </row>
    <row r="54" spans="2:27" x14ac:dyDescent="0.3">
      <c r="B54" s="413" t="s">
        <v>461</v>
      </c>
      <c r="K54"/>
      <c r="L54"/>
      <c r="M54"/>
      <c r="T54" s="427">
        <f>T24</f>
        <v>1</v>
      </c>
      <c r="X54" s="427">
        <v>1</v>
      </c>
    </row>
    <row r="55" spans="2:27" x14ac:dyDescent="0.3">
      <c r="K55"/>
      <c r="L55"/>
      <c r="M55"/>
    </row>
    <row r="56" spans="2:27" x14ac:dyDescent="0.3">
      <c r="B56" s="413" t="s">
        <v>551</v>
      </c>
      <c r="I56" s="50">
        <f>I48+I42</f>
        <v>112576.07708153839</v>
      </c>
      <c r="M56" s="50">
        <f>M48+M42</f>
        <v>112570.89697782317</v>
      </c>
      <c r="Q56" s="50">
        <f>Q48+Q42</f>
        <v>123137.73363584744</v>
      </c>
      <c r="U56" s="50">
        <f>U48+U42</f>
        <v>123137.73363584744</v>
      </c>
      <c r="Y56" s="50">
        <f>Y48+Y42</f>
        <v>205712.44913282746</v>
      </c>
    </row>
    <row r="57" spans="2:27" x14ac:dyDescent="0.3">
      <c r="B57" s="413" t="s">
        <v>552</v>
      </c>
      <c r="I57">
        <f>I56/H43</f>
        <v>0.61401989845140015</v>
      </c>
      <c r="M57">
        <f>M56/L43</f>
        <v>0.6140404050221312</v>
      </c>
      <c r="Q57">
        <f>Q56/P43</f>
        <v>0.61404040502213131</v>
      </c>
      <c r="U57">
        <f>U56/T43</f>
        <v>0.61404040502213131</v>
      </c>
      <c r="Y57">
        <f>Y56/X43</f>
        <v>0.6140404050221312</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7"/>
  <sheetViews>
    <sheetView topLeftCell="A30" zoomScale="80" zoomScaleNormal="80" workbookViewId="0">
      <selection activeCell="I73" sqref="I73"/>
    </sheetView>
  </sheetViews>
  <sheetFormatPr defaultColWidth="8.88671875" defaultRowHeight="14.4" x14ac:dyDescent="0.3"/>
  <cols>
    <col min="1" max="1" width="21" bestFit="1" customWidth="1"/>
    <col min="2" max="2" width="35.33203125" bestFit="1" customWidth="1"/>
    <col min="3" max="3" width="21" bestFit="1" customWidth="1"/>
    <col min="4" max="5" width="24.6640625" customWidth="1"/>
    <col min="6" max="6" width="18.6640625" customWidth="1"/>
    <col min="7" max="7" width="22.6640625" bestFit="1" customWidth="1"/>
    <col min="8" max="8" width="13.109375" bestFit="1" customWidth="1"/>
    <col min="9" max="9" width="14.109375" bestFit="1" customWidth="1"/>
    <col min="10" max="10" width="25.5546875" customWidth="1"/>
  </cols>
  <sheetData>
    <row r="1" spans="1:8" ht="14.4" customHeight="1" x14ac:dyDescent="0.3">
      <c r="A1" s="508" t="s">
        <v>268</v>
      </c>
      <c r="B1" s="508"/>
      <c r="C1" s="508"/>
      <c r="D1" s="508"/>
      <c r="F1" s="508" t="s">
        <v>269</v>
      </c>
      <c r="G1" s="508"/>
    </row>
    <row r="2" spans="1:8" x14ac:dyDescent="0.3">
      <c r="A2" s="508"/>
      <c r="B2" s="508"/>
      <c r="C2" s="508"/>
      <c r="D2" s="508"/>
      <c r="F2" s="508"/>
      <c r="G2" s="508"/>
    </row>
    <row r="3" spans="1:8" x14ac:dyDescent="0.3">
      <c r="A3" s="508"/>
      <c r="B3" s="508"/>
      <c r="C3" s="508"/>
      <c r="D3" s="508"/>
      <c r="F3" s="508"/>
      <c r="G3" s="508"/>
    </row>
    <row r="4" spans="1:8" x14ac:dyDescent="0.3">
      <c r="A4" s="508"/>
      <c r="B4" s="508"/>
      <c r="C4" s="508"/>
      <c r="D4" s="508"/>
      <c r="F4" s="508"/>
      <c r="G4" s="508"/>
    </row>
    <row r="5" spans="1:8" x14ac:dyDescent="0.3">
      <c r="A5" s="508"/>
      <c r="B5" s="508"/>
      <c r="C5" s="508"/>
      <c r="D5" s="508"/>
      <c r="F5" s="508"/>
      <c r="G5" s="508"/>
    </row>
    <row r="6" spans="1:8" x14ac:dyDescent="0.3">
      <c r="A6" s="508"/>
      <c r="B6" s="508"/>
      <c r="C6" s="508"/>
      <c r="D6" s="508"/>
      <c r="F6" s="508"/>
      <c r="G6" s="508"/>
    </row>
    <row r="7" spans="1:8" x14ac:dyDescent="0.3">
      <c r="A7" s="508"/>
      <c r="B7" s="508"/>
      <c r="C7" s="508"/>
      <c r="D7" s="508"/>
      <c r="F7" s="508"/>
      <c r="G7" s="508"/>
    </row>
    <row r="8" spans="1:8" x14ac:dyDescent="0.3">
      <c r="A8" s="508"/>
      <c r="B8" s="508"/>
      <c r="C8" s="508"/>
      <c r="D8" s="508"/>
      <c r="F8" s="77"/>
      <c r="G8" s="77"/>
    </row>
    <row r="9" spans="1:8" x14ac:dyDescent="0.3">
      <c r="A9" s="508"/>
      <c r="B9" s="508"/>
      <c r="C9" s="508"/>
      <c r="D9" s="508"/>
      <c r="F9" s="77"/>
      <c r="G9" s="77"/>
    </row>
    <row r="10" spans="1:8" x14ac:dyDescent="0.3">
      <c r="A10" s="77"/>
      <c r="B10" s="77"/>
      <c r="C10" s="77"/>
      <c r="D10" s="77"/>
      <c r="E10" s="77"/>
      <c r="G10" s="77"/>
      <c r="H10" s="77"/>
    </row>
    <row r="11" spans="1:8" x14ac:dyDescent="0.3">
      <c r="A11" s="77"/>
      <c r="B11" s="77"/>
      <c r="C11" s="77"/>
      <c r="D11" s="77"/>
      <c r="E11" s="77"/>
      <c r="G11" s="77"/>
      <c r="H11" s="77"/>
    </row>
    <row r="12" spans="1:8" ht="15" customHeight="1" thickBot="1" x14ac:dyDescent="0.35">
      <c r="A12" t="s">
        <v>270</v>
      </c>
      <c r="C12" s="77"/>
    </row>
    <row r="13" spans="1:8" ht="14.4" customHeight="1" x14ac:dyDescent="0.3">
      <c r="A13" s="78" t="s">
        <v>271</v>
      </c>
      <c r="B13" s="79" t="s">
        <v>272</v>
      </c>
      <c r="C13" s="77"/>
    </row>
    <row r="14" spans="1:8" x14ac:dyDescent="0.3">
      <c r="A14" s="80" t="s">
        <v>273</v>
      </c>
      <c r="B14" s="81">
        <v>1500000</v>
      </c>
      <c r="C14" s="77"/>
    </row>
    <row r="15" spans="1:8" x14ac:dyDescent="0.3">
      <c r="A15" s="80" t="s">
        <v>274</v>
      </c>
      <c r="B15" s="81">
        <v>3510000</v>
      </c>
      <c r="C15" s="77"/>
    </row>
    <row r="16" spans="1:8" x14ac:dyDescent="0.3">
      <c r="A16" s="80" t="s">
        <v>275</v>
      </c>
      <c r="B16" s="81">
        <v>810000</v>
      </c>
      <c r="C16" s="77"/>
    </row>
    <row r="17" spans="1:8" x14ac:dyDescent="0.3">
      <c r="A17" s="80" t="s">
        <v>276</v>
      </c>
      <c r="B17" s="81">
        <v>2160000</v>
      </c>
      <c r="C17" s="77"/>
    </row>
    <row r="18" spans="1:8" x14ac:dyDescent="0.3">
      <c r="A18" s="80" t="s">
        <v>277</v>
      </c>
      <c r="B18" s="81">
        <v>1000000</v>
      </c>
      <c r="C18" s="77"/>
    </row>
    <row r="19" spans="1:8" x14ac:dyDescent="0.3">
      <c r="A19" s="80" t="s">
        <v>278</v>
      </c>
      <c r="B19" s="81">
        <v>1125000</v>
      </c>
      <c r="C19" s="77"/>
    </row>
    <row r="20" spans="1:8" x14ac:dyDescent="0.3">
      <c r="A20" s="80" t="s">
        <v>279</v>
      </c>
      <c r="B20" s="81">
        <v>2250000</v>
      </c>
      <c r="C20" s="77"/>
    </row>
    <row r="21" spans="1:8" x14ac:dyDescent="0.3">
      <c r="A21" s="80" t="s">
        <v>280</v>
      </c>
      <c r="B21" s="81">
        <v>1125000</v>
      </c>
      <c r="C21" s="77"/>
    </row>
    <row r="22" spans="1:8" x14ac:dyDescent="0.3">
      <c r="A22" s="80" t="s">
        <v>281</v>
      </c>
      <c r="B22" s="81">
        <v>600000</v>
      </c>
      <c r="C22" s="77"/>
    </row>
    <row r="23" spans="1:8" x14ac:dyDescent="0.3">
      <c r="A23" s="82" t="s">
        <v>267</v>
      </c>
      <c r="B23" s="83">
        <v>2700000</v>
      </c>
      <c r="C23" s="77"/>
    </row>
    <row r="24" spans="1:8" ht="15" thickBot="1" x14ac:dyDescent="0.35">
      <c r="A24" s="84" t="s">
        <v>259</v>
      </c>
      <c r="B24" s="85">
        <f>SUM(B14:B23)</f>
        <v>16780000</v>
      </c>
      <c r="C24" s="77"/>
    </row>
    <row r="25" spans="1:8" x14ac:dyDescent="0.3">
      <c r="C25" s="53"/>
      <c r="G25" s="54"/>
    </row>
    <row r="26" spans="1:8" ht="14.4" customHeight="1" thickBot="1" x14ac:dyDescent="0.35">
      <c r="A26" t="s">
        <v>282</v>
      </c>
      <c r="H26" s="56"/>
    </row>
    <row r="27" spans="1:8" x14ac:dyDescent="0.3">
      <c r="A27" s="78" t="s">
        <v>95</v>
      </c>
      <c r="B27" s="86" t="s">
        <v>283</v>
      </c>
      <c r="C27" s="86" t="s">
        <v>284</v>
      </c>
      <c r="D27" s="79" t="s">
        <v>285</v>
      </c>
      <c r="F27" s="87" t="s">
        <v>286</v>
      </c>
      <c r="G27" s="88" t="s">
        <v>287</v>
      </c>
      <c r="H27" s="56"/>
    </row>
    <row r="28" spans="1:8" x14ac:dyDescent="0.3">
      <c r="A28" s="89" t="s">
        <v>288</v>
      </c>
      <c r="B28" s="90">
        <f>0.55*G28</f>
        <v>0.13750000000000001</v>
      </c>
      <c r="C28" s="91">
        <v>18.5</v>
      </c>
      <c r="D28" s="92">
        <f>$B$24*B28</f>
        <v>2307250</v>
      </c>
      <c r="F28" s="93" t="s">
        <v>289</v>
      </c>
      <c r="G28" s="94">
        <v>0.25</v>
      </c>
      <c r="H28" s="56"/>
    </row>
    <row r="29" spans="1:8" x14ac:dyDescent="0.3">
      <c r="A29" s="89" t="s">
        <v>290</v>
      </c>
      <c r="B29" s="90">
        <f>0.55*G29</f>
        <v>0.35750000000000004</v>
      </c>
      <c r="C29" s="91">
        <v>18.5</v>
      </c>
      <c r="D29" s="92">
        <f t="shared" ref="D29:D30" si="0">$B$24*B29</f>
        <v>5998850.0000000009</v>
      </c>
      <c r="F29" s="93" t="s">
        <v>291</v>
      </c>
      <c r="G29" s="94">
        <v>0.65</v>
      </c>
      <c r="H29" s="56"/>
    </row>
    <row r="30" spans="1:8" ht="15" thickBot="1" x14ac:dyDescent="0.35">
      <c r="A30" s="89" t="s">
        <v>292</v>
      </c>
      <c r="B30" s="90">
        <f>0.55*G30</f>
        <v>5.5000000000000007E-2</v>
      </c>
      <c r="C30" s="91">
        <v>18.5</v>
      </c>
      <c r="D30" s="92">
        <f t="shared" si="0"/>
        <v>922900.00000000012</v>
      </c>
      <c r="F30" s="95" t="s">
        <v>293</v>
      </c>
      <c r="G30" s="96">
        <v>0.1</v>
      </c>
      <c r="H30" s="56"/>
    </row>
    <row r="31" spans="1:8" x14ac:dyDescent="0.3">
      <c r="A31" s="80" t="s">
        <v>294</v>
      </c>
      <c r="B31" s="53">
        <v>0.55000000000000004</v>
      </c>
      <c r="C31" s="53">
        <v>18.5</v>
      </c>
      <c r="D31" s="97">
        <f>$B$24*B31</f>
        <v>9229000</v>
      </c>
      <c r="H31" s="56"/>
    </row>
    <row r="32" spans="1:8" x14ac:dyDescent="0.3">
      <c r="A32" s="80" t="s">
        <v>295</v>
      </c>
      <c r="B32" s="53">
        <v>0.04</v>
      </c>
      <c r="C32" s="53">
        <v>8.9</v>
      </c>
      <c r="D32" s="97">
        <f>$B$24*B32</f>
        <v>671200</v>
      </c>
    </row>
    <row r="33" spans="1:9" x14ac:dyDescent="0.3">
      <c r="A33" s="80" t="s">
        <v>296</v>
      </c>
      <c r="B33" s="53">
        <v>7.0000000000000007E-2</v>
      </c>
      <c r="C33" s="53">
        <v>3.5</v>
      </c>
      <c r="D33" s="97">
        <f>$B$24*B33</f>
        <v>1174600</v>
      </c>
    </row>
    <row r="34" spans="1:9" x14ac:dyDescent="0.3">
      <c r="A34" s="82" t="s">
        <v>297</v>
      </c>
      <c r="B34" s="98">
        <v>0.31</v>
      </c>
      <c r="C34" s="98">
        <v>7.3</v>
      </c>
      <c r="D34" s="99">
        <f>$B$24*B34</f>
        <v>5201800</v>
      </c>
    </row>
    <row r="35" spans="1:9" ht="15" thickBot="1" x14ac:dyDescent="0.35">
      <c r="A35" s="84" t="s">
        <v>259</v>
      </c>
      <c r="B35" s="100">
        <f>SUM(B31:B34)</f>
        <v>0.9700000000000002</v>
      </c>
      <c r="C35" s="101"/>
      <c r="D35" s="102">
        <f>SUM(D31:D34)</f>
        <v>16276600</v>
      </c>
    </row>
    <row r="36" spans="1:9" ht="15" thickBot="1" x14ac:dyDescent="0.35">
      <c r="B36" s="72"/>
      <c r="C36" s="72"/>
      <c r="D36" s="53"/>
    </row>
    <row r="37" spans="1:9" x14ac:dyDescent="0.3">
      <c r="A37" s="103"/>
      <c r="B37" s="509" t="s">
        <v>298</v>
      </c>
      <c r="C37" s="509"/>
      <c r="D37" s="509"/>
      <c r="E37" s="509"/>
      <c r="F37" s="509"/>
      <c r="G37" s="509"/>
      <c r="H37" s="509"/>
      <c r="I37" s="510" t="s">
        <v>299</v>
      </c>
    </row>
    <row r="38" spans="1:9" x14ac:dyDescent="0.3">
      <c r="A38" s="104" t="s">
        <v>271</v>
      </c>
      <c r="B38" s="105" t="s">
        <v>288</v>
      </c>
      <c r="C38" s="105" t="s">
        <v>290</v>
      </c>
      <c r="D38" s="105" t="s">
        <v>292</v>
      </c>
      <c r="E38" s="105" t="s">
        <v>300</v>
      </c>
      <c r="F38" s="105" t="s">
        <v>295</v>
      </c>
      <c r="G38" s="105" t="s">
        <v>296</v>
      </c>
      <c r="H38" s="105" t="s">
        <v>297</v>
      </c>
      <c r="I38" s="511"/>
    </row>
    <row r="39" spans="1:9" x14ac:dyDescent="0.3">
      <c r="A39" s="80" t="s">
        <v>273</v>
      </c>
      <c r="B39" s="72">
        <f t="shared" ref="B39:B48" si="1">$B$28*B14</f>
        <v>206250.00000000003</v>
      </c>
      <c r="C39" s="72">
        <f t="shared" ref="C39:C48" si="2">$B$29*B14</f>
        <v>536250.00000000012</v>
      </c>
      <c r="D39" s="72">
        <f t="shared" ref="D39:D48" si="3">$B$30*B14</f>
        <v>82500.000000000015</v>
      </c>
      <c r="E39" s="72">
        <f t="shared" ref="E39:E48" si="4">SUM(B39:D39)</f>
        <v>825000.00000000012</v>
      </c>
      <c r="F39" s="72">
        <f t="shared" ref="F39:F48" si="5">B14*$B$32</f>
        <v>60000</v>
      </c>
      <c r="G39" s="72">
        <f t="shared" ref="G39:G48" si="6">B14*$B$33</f>
        <v>105000.00000000001</v>
      </c>
      <c r="H39" s="72">
        <f t="shared" ref="H39:H48" si="7">B14*$B$34</f>
        <v>465000</v>
      </c>
      <c r="I39" s="106">
        <f>SUM(E39:H39)</f>
        <v>1455000</v>
      </c>
    </row>
    <row r="40" spans="1:9" x14ac:dyDescent="0.3">
      <c r="A40" s="80" t="s">
        <v>274</v>
      </c>
      <c r="B40" s="72">
        <f t="shared" si="1"/>
        <v>482625.00000000006</v>
      </c>
      <c r="C40" s="72">
        <f t="shared" si="2"/>
        <v>1254825.0000000002</v>
      </c>
      <c r="D40" s="72">
        <f t="shared" si="3"/>
        <v>193050.00000000003</v>
      </c>
      <c r="E40" s="72">
        <f t="shared" si="4"/>
        <v>1930500.0000000002</v>
      </c>
      <c r="F40" s="72">
        <f t="shared" si="5"/>
        <v>140400</v>
      </c>
      <c r="G40" s="72">
        <f t="shared" si="6"/>
        <v>245700.00000000003</v>
      </c>
      <c r="H40" s="72">
        <f t="shared" si="7"/>
        <v>1088100</v>
      </c>
      <c r="I40" s="106">
        <f t="shared" ref="I40:I48" si="8">SUM(E40:H40)</f>
        <v>3404700.0000000005</v>
      </c>
    </row>
    <row r="41" spans="1:9" x14ac:dyDescent="0.3">
      <c r="A41" s="80" t="s">
        <v>275</v>
      </c>
      <c r="B41" s="72">
        <f t="shared" si="1"/>
        <v>111375.00000000001</v>
      </c>
      <c r="C41" s="72">
        <f t="shared" si="2"/>
        <v>289575.00000000006</v>
      </c>
      <c r="D41" s="72">
        <f t="shared" si="3"/>
        <v>44550.000000000007</v>
      </c>
      <c r="E41" s="72">
        <f t="shared" si="4"/>
        <v>445500.00000000006</v>
      </c>
      <c r="F41" s="72">
        <f t="shared" si="5"/>
        <v>32400</v>
      </c>
      <c r="G41" s="72">
        <f t="shared" si="6"/>
        <v>56700.000000000007</v>
      </c>
      <c r="H41" s="72">
        <f t="shared" si="7"/>
        <v>251100</v>
      </c>
      <c r="I41" s="106">
        <f t="shared" si="8"/>
        <v>785700.00000000012</v>
      </c>
    </row>
    <row r="42" spans="1:9" x14ac:dyDescent="0.3">
      <c r="A42" s="80" t="s">
        <v>276</v>
      </c>
      <c r="B42" s="72">
        <f t="shared" si="1"/>
        <v>297000</v>
      </c>
      <c r="C42" s="72">
        <f t="shared" si="2"/>
        <v>772200.00000000012</v>
      </c>
      <c r="D42" s="72">
        <f t="shared" si="3"/>
        <v>118800.00000000001</v>
      </c>
      <c r="E42" s="72">
        <f t="shared" si="4"/>
        <v>1188000</v>
      </c>
      <c r="F42" s="72">
        <f t="shared" si="5"/>
        <v>86400</v>
      </c>
      <c r="G42" s="72">
        <f t="shared" si="6"/>
        <v>151200</v>
      </c>
      <c r="H42" s="72">
        <f t="shared" si="7"/>
        <v>669600</v>
      </c>
      <c r="I42" s="106">
        <f t="shared" si="8"/>
        <v>2095200</v>
      </c>
    </row>
    <row r="43" spans="1:9" x14ac:dyDescent="0.3">
      <c r="A43" s="80" t="s">
        <v>277</v>
      </c>
      <c r="B43" s="72">
        <f t="shared" si="1"/>
        <v>137500</v>
      </c>
      <c r="C43" s="72">
        <f t="shared" si="2"/>
        <v>357500.00000000006</v>
      </c>
      <c r="D43" s="72">
        <f t="shared" si="3"/>
        <v>55000.000000000007</v>
      </c>
      <c r="E43" s="72">
        <f t="shared" si="4"/>
        <v>550000.00000000012</v>
      </c>
      <c r="F43" s="72">
        <f t="shared" si="5"/>
        <v>40000</v>
      </c>
      <c r="G43" s="72">
        <f t="shared" si="6"/>
        <v>70000</v>
      </c>
      <c r="H43" s="72">
        <f t="shared" si="7"/>
        <v>310000</v>
      </c>
      <c r="I43" s="106">
        <f t="shared" si="8"/>
        <v>970000.00000000012</v>
      </c>
    </row>
    <row r="44" spans="1:9" x14ac:dyDescent="0.3">
      <c r="A44" s="80" t="s">
        <v>278</v>
      </c>
      <c r="B44" s="72">
        <f t="shared" si="1"/>
        <v>154687.5</v>
      </c>
      <c r="C44" s="72">
        <f t="shared" si="2"/>
        <v>402187.50000000006</v>
      </c>
      <c r="D44" s="72">
        <f t="shared" si="3"/>
        <v>61875.000000000007</v>
      </c>
      <c r="E44" s="72">
        <f t="shared" si="4"/>
        <v>618750</v>
      </c>
      <c r="F44" s="72">
        <f t="shared" si="5"/>
        <v>45000</v>
      </c>
      <c r="G44" s="72">
        <f t="shared" si="6"/>
        <v>78750.000000000015</v>
      </c>
      <c r="H44" s="72">
        <f t="shared" si="7"/>
        <v>348750</v>
      </c>
      <c r="I44" s="106">
        <f t="shared" si="8"/>
        <v>1091250</v>
      </c>
    </row>
    <row r="45" spans="1:9" x14ac:dyDescent="0.3">
      <c r="A45" s="80" t="s">
        <v>279</v>
      </c>
      <c r="B45" s="72">
        <f t="shared" si="1"/>
        <v>309375</v>
      </c>
      <c r="C45" s="72">
        <f t="shared" si="2"/>
        <v>804375.00000000012</v>
      </c>
      <c r="D45" s="72">
        <f t="shared" si="3"/>
        <v>123750.00000000001</v>
      </c>
      <c r="E45" s="72">
        <f t="shared" si="4"/>
        <v>1237500</v>
      </c>
      <c r="F45" s="72">
        <f t="shared" si="5"/>
        <v>90000</v>
      </c>
      <c r="G45" s="72">
        <f t="shared" si="6"/>
        <v>157500.00000000003</v>
      </c>
      <c r="H45" s="72">
        <f t="shared" si="7"/>
        <v>697500</v>
      </c>
      <c r="I45" s="106">
        <f t="shared" si="8"/>
        <v>2182500</v>
      </c>
    </row>
    <row r="46" spans="1:9" x14ac:dyDescent="0.3">
      <c r="A46" s="80" t="s">
        <v>280</v>
      </c>
      <c r="B46" s="72">
        <f t="shared" si="1"/>
        <v>154687.5</v>
      </c>
      <c r="C46" s="72">
        <f t="shared" si="2"/>
        <v>402187.50000000006</v>
      </c>
      <c r="D46" s="72">
        <f t="shared" si="3"/>
        <v>61875.000000000007</v>
      </c>
      <c r="E46" s="72">
        <f t="shared" si="4"/>
        <v>618750</v>
      </c>
      <c r="F46" s="72">
        <f t="shared" si="5"/>
        <v>45000</v>
      </c>
      <c r="G46" s="72">
        <f t="shared" si="6"/>
        <v>78750.000000000015</v>
      </c>
      <c r="H46" s="72">
        <f t="shared" si="7"/>
        <v>348750</v>
      </c>
      <c r="I46" s="106">
        <f t="shared" si="8"/>
        <v>1091250</v>
      </c>
    </row>
    <row r="47" spans="1:9" x14ac:dyDescent="0.3">
      <c r="A47" s="80" t="s">
        <v>281</v>
      </c>
      <c r="B47" s="72">
        <f t="shared" si="1"/>
        <v>82500</v>
      </c>
      <c r="C47" s="72">
        <f t="shared" si="2"/>
        <v>214500.00000000003</v>
      </c>
      <c r="D47" s="72">
        <f t="shared" si="3"/>
        <v>33000.000000000007</v>
      </c>
      <c r="E47" s="72">
        <f t="shared" si="4"/>
        <v>330000</v>
      </c>
      <c r="F47" s="72">
        <f t="shared" si="5"/>
        <v>24000</v>
      </c>
      <c r="G47" s="72">
        <f t="shared" si="6"/>
        <v>42000.000000000007</v>
      </c>
      <c r="H47" s="72">
        <f t="shared" si="7"/>
        <v>186000</v>
      </c>
      <c r="I47" s="106">
        <f t="shared" si="8"/>
        <v>582000</v>
      </c>
    </row>
    <row r="48" spans="1:9" x14ac:dyDescent="0.3">
      <c r="A48" s="82" t="s">
        <v>267</v>
      </c>
      <c r="B48" s="107">
        <f t="shared" si="1"/>
        <v>371250.00000000006</v>
      </c>
      <c r="C48" s="107">
        <f t="shared" si="2"/>
        <v>965250.00000000012</v>
      </c>
      <c r="D48" s="107">
        <f t="shared" si="3"/>
        <v>148500.00000000003</v>
      </c>
      <c r="E48" s="107">
        <f t="shared" si="4"/>
        <v>1485000.0000000002</v>
      </c>
      <c r="F48" s="107">
        <f t="shared" si="5"/>
        <v>108000</v>
      </c>
      <c r="G48" s="107">
        <f t="shared" si="6"/>
        <v>189000.00000000003</v>
      </c>
      <c r="H48" s="107">
        <f t="shared" si="7"/>
        <v>837000</v>
      </c>
      <c r="I48" s="108">
        <f t="shared" si="8"/>
        <v>2619000</v>
      </c>
    </row>
    <row r="49" spans="1:9" ht="15" thickBot="1" x14ac:dyDescent="0.35">
      <c r="A49" s="84" t="s">
        <v>259</v>
      </c>
      <c r="B49" s="109">
        <f t="shared" ref="B49:D49" si="9">SUM(B39:B48)</f>
        <v>2307250</v>
      </c>
      <c r="C49" s="109">
        <f t="shared" si="9"/>
        <v>5998850.0000000009</v>
      </c>
      <c r="D49" s="109">
        <f t="shared" si="9"/>
        <v>922900.00000000012</v>
      </c>
      <c r="E49" s="109">
        <f>SUM(E39:E48)</f>
        <v>9229000</v>
      </c>
      <c r="F49" s="109">
        <f>SUM(F39:F48)</f>
        <v>671200</v>
      </c>
      <c r="G49" s="109">
        <f>SUM(G39:G48)</f>
        <v>1174600</v>
      </c>
      <c r="H49" s="109">
        <f>SUM(H39:H48)</f>
        <v>5201800</v>
      </c>
      <c r="I49" s="102">
        <f>SUM(E49:H49)</f>
        <v>16276600</v>
      </c>
    </row>
    <row r="50" spans="1:9" ht="15" thickBot="1" x14ac:dyDescent="0.35"/>
    <row r="51" spans="1:9" x14ac:dyDescent="0.3">
      <c r="A51" s="103"/>
      <c r="B51" s="509" t="s">
        <v>301</v>
      </c>
      <c r="C51" s="509"/>
      <c r="D51" s="509"/>
      <c r="E51" s="509"/>
      <c r="F51" s="509"/>
      <c r="G51" s="509"/>
      <c r="H51" s="509"/>
      <c r="I51" s="510" t="s">
        <v>302</v>
      </c>
    </row>
    <row r="52" spans="1:9" x14ac:dyDescent="0.3">
      <c r="A52" s="104" t="s">
        <v>271</v>
      </c>
      <c r="B52" s="105" t="s">
        <v>288</v>
      </c>
      <c r="C52" s="105" t="s">
        <v>290</v>
      </c>
      <c r="D52" s="105" t="s">
        <v>292</v>
      </c>
      <c r="E52" s="105" t="s">
        <v>300</v>
      </c>
      <c r="F52" s="105" t="s">
        <v>295</v>
      </c>
      <c r="G52" s="105" t="s">
        <v>296</v>
      </c>
      <c r="H52" s="105" t="s">
        <v>297</v>
      </c>
      <c r="I52" s="511"/>
    </row>
    <row r="53" spans="1:9" x14ac:dyDescent="0.3">
      <c r="A53" s="80" t="s">
        <v>273</v>
      </c>
      <c r="B53" s="110">
        <f t="shared" ref="B53:D62" si="10">B39/$C$28</f>
        <v>11148.64864864865</v>
      </c>
      <c r="C53" s="110">
        <f t="shared" si="10"/>
        <v>28986.486486486494</v>
      </c>
      <c r="D53" s="110">
        <f t="shared" si="10"/>
        <v>4459.45945945946</v>
      </c>
      <c r="E53" s="72">
        <f>SUM(B53:D53)</f>
        <v>44594.594594594608</v>
      </c>
      <c r="F53" s="72">
        <f t="shared" ref="F53:F62" si="11">F39/$C$32</f>
        <v>6741.5730337078649</v>
      </c>
      <c r="G53" s="72">
        <f t="shared" ref="G53:G62" si="12">G39/$C$33</f>
        <v>30000.000000000004</v>
      </c>
      <c r="H53" s="72">
        <f t="shared" ref="H53:H62" si="13">H39/$C$34</f>
        <v>63698.630136986299</v>
      </c>
      <c r="I53" s="111">
        <f>SUM(E53:H53)</f>
        <v>145034.79776528876</v>
      </c>
    </row>
    <row r="54" spans="1:9" x14ac:dyDescent="0.3">
      <c r="A54" s="80" t="s">
        <v>303</v>
      </c>
      <c r="B54" s="72">
        <f t="shared" si="10"/>
        <v>26087.83783783784</v>
      </c>
      <c r="C54" s="72">
        <f t="shared" si="10"/>
        <v>67828.378378378387</v>
      </c>
      <c r="D54" s="72">
        <f t="shared" si="10"/>
        <v>10435.135135135137</v>
      </c>
      <c r="E54" s="72">
        <f t="shared" ref="E54:E62" si="14">SUM(B54:D54)</f>
        <v>104351.35135135136</v>
      </c>
      <c r="F54" s="72">
        <f t="shared" si="11"/>
        <v>15775.280898876405</v>
      </c>
      <c r="G54" s="72">
        <f t="shared" si="12"/>
        <v>70200.000000000015</v>
      </c>
      <c r="H54" s="72">
        <f t="shared" si="13"/>
        <v>149054.79452054796</v>
      </c>
      <c r="I54" s="111">
        <f t="shared" ref="I54:I61" si="15">SUM(E54:H54)</f>
        <v>339381.42677077575</v>
      </c>
    </row>
    <row r="55" spans="1:9" x14ac:dyDescent="0.3">
      <c r="A55" s="80" t="s">
        <v>275</v>
      </c>
      <c r="B55" s="72">
        <f t="shared" si="10"/>
        <v>6020.2702702702709</v>
      </c>
      <c r="C55" s="72">
        <f t="shared" si="10"/>
        <v>15652.702702702705</v>
      </c>
      <c r="D55" s="72">
        <f t="shared" si="10"/>
        <v>2408.1081081081084</v>
      </c>
      <c r="E55" s="72">
        <f t="shared" si="14"/>
        <v>24081.081081081087</v>
      </c>
      <c r="F55" s="72">
        <f t="shared" si="11"/>
        <v>3640.4494382022472</v>
      </c>
      <c r="G55" s="72">
        <f t="shared" si="12"/>
        <v>16200.000000000002</v>
      </c>
      <c r="H55" s="72">
        <f t="shared" si="13"/>
        <v>34397.260273972606</v>
      </c>
      <c r="I55" s="111">
        <f t="shared" si="15"/>
        <v>78318.790793255932</v>
      </c>
    </row>
    <row r="56" spans="1:9" x14ac:dyDescent="0.3">
      <c r="A56" s="80" t="s">
        <v>276</v>
      </c>
      <c r="B56" s="72">
        <f t="shared" si="10"/>
        <v>16054.054054054053</v>
      </c>
      <c r="C56" s="72">
        <f t="shared" si="10"/>
        <v>41740.540540540547</v>
      </c>
      <c r="D56" s="72">
        <f t="shared" si="10"/>
        <v>6421.6216216216226</v>
      </c>
      <c r="E56" s="72">
        <f t="shared" si="14"/>
        <v>64216.21621621622</v>
      </c>
      <c r="F56" s="72">
        <f t="shared" si="11"/>
        <v>9707.8651685393252</v>
      </c>
      <c r="G56" s="72">
        <f t="shared" si="12"/>
        <v>43200</v>
      </c>
      <c r="H56" s="72">
        <f t="shared" si="13"/>
        <v>91726.027397260274</v>
      </c>
      <c r="I56" s="111">
        <f t="shared" si="15"/>
        <v>208850.1087820158</v>
      </c>
    </row>
    <row r="57" spans="1:9" x14ac:dyDescent="0.3">
      <c r="A57" s="80" t="s">
        <v>277</v>
      </c>
      <c r="B57" s="72">
        <f t="shared" si="10"/>
        <v>7432.4324324324325</v>
      </c>
      <c r="C57" s="72">
        <f t="shared" si="10"/>
        <v>19324.324324324327</v>
      </c>
      <c r="D57" s="72">
        <f t="shared" si="10"/>
        <v>2972.9729729729734</v>
      </c>
      <c r="E57" s="72">
        <f t="shared" si="14"/>
        <v>29729.729729729734</v>
      </c>
      <c r="F57" s="72">
        <f t="shared" si="11"/>
        <v>4494.3820224719102</v>
      </c>
      <c r="G57" s="72">
        <f t="shared" si="12"/>
        <v>20000</v>
      </c>
      <c r="H57" s="72">
        <f t="shared" si="13"/>
        <v>42465.753424657538</v>
      </c>
      <c r="I57" s="111">
        <f t="shared" si="15"/>
        <v>96689.865176859181</v>
      </c>
    </row>
    <row r="58" spans="1:9" x14ac:dyDescent="0.3">
      <c r="A58" s="80" t="s">
        <v>278</v>
      </c>
      <c r="B58" s="72">
        <f t="shared" si="10"/>
        <v>8361.4864864864867</v>
      </c>
      <c r="C58" s="72">
        <f t="shared" si="10"/>
        <v>21739.864864864867</v>
      </c>
      <c r="D58" s="72">
        <f t="shared" si="10"/>
        <v>3344.594594594595</v>
      </c>
      <c r="E58" s="72">
        <f t="shared" si="14"/>
        <v>33445.945945945947</v>
      </c>
      <c r="F58" s="72">
        <f t="shared" si="11"/>
        <v>5056.1797752808989</v>
      </c>
      <c r="G58" s="72">
        <f t="shared" si="12"/>
        <v>22500.000000000004</v>
      </c>
      <c r="H58" s="72">
        <f t="shared" si="13"/>
        <v>47773.972602739726</v>
      </c>
      <c r="I58" s="111">
        <f t="shared" si="15"/>
        <v>108776.09832396658</v>
      </c>
    </row>
    <row r="59" spans="1:9" x14ac:dyDescent="0.3">
      <c r="A59" s="80" t="s">
        <v>279</v>
      </c>
      <c r="B59" s="72">
        <f t="shared" si="10"/>
        <v>16722.972972972973</v>
      </c>
      <c r="C59" s="72">
        <f t="shared" si="10"/>
        <v>43479.729729729734</v>
      </c>
      <c r="D59" s="72">
        <f t="shared" si="10"/>
        <v>6689.1891891891901</v>
      </c>
      <c r="E59" s="72">
        <f t="shared" si="14"/>
        <v>66891.891891891893</v>
      </c>
      <c r="F59" s="72">
        <f t="shared" si="11"/>
        <v>10112.359550561798</v>
      </c>
      <c r="G59" s="72">
        <f t="shared" si="12"/>
        <v>45000.000000000007</v>
      </c>
      <c r="H59" s="72">
        <f t="shared" si="13"/>
        <v>95547.945205479453</v>
      </c>
      <c r="I59" s="111">
        <f t="shared" si="15"/>
        <v>217552.19664793316</v>
      </c>
    </row>
    <row r="60" spans="1:9" x14ac:dyDescent="0.3">
      <c r="A60" s="80" t="s">
        <v>280</v>
      </c>
      <c r="B60" s="72">
        <f t="shared" si="10"/>
        <v>8361.4864864864867</v>
      </c>
      <c r="C60" s="72">
        <f t="shared" si="10"/>
        <v>21739.864864864867</v>
      </c>
      <c r="D60" s="72">
        <f t="shared" si="10"/>
        <v>3344.594594594595</v>
      </c>
      <c r="E60" s="72">
        <f t="shared" si="14"/>
        <v>33445.945945945947</v>
      </c>
      <c r="F60" s="72">
        <f t="shared" si="11"/>
        <v>5056.1797752808989</v>
      </c>
      <c r="G60" s="72">
        <f t="shared" si="12"/>
        <v>22500.000000000004</v>
      </c>
      <c r="H60" s="72">
        <f t="shared" si="13"/>
        <v>47773.972602739726</v>
      </c>
      <c r="I60" s="111">
        <f t="shared" si="15"/>
        <v>108776.09832396658</v>
      </c>
    </row>
    <row r="61" spans="1:9" x14ac:dyDescent="0.3">
      <c r="A61" s="80" t="s">
        <v>281</v>
      </c>
      <c r="B61" s="72">
        <f t="shared" si="10"/>
        <v>4459.4594594594591</v>
      </c>
      <c r="C61" s="72">
        <f t="shared" si="10"/>
        <v>11594.594594594597</v>
      </c>
      <c r="D61" s="72">
        <f t="shared" si="10"/>
        <v>1783.7837837837842</v>
      </c>
      <c r="E61" s="72">
        <f t="shared" si="14"/>
        <v>17837.83783783784</v>
      </c>
      <c r="F61" s="72">
        <f t="shared" si="11"/>
        <v>2696.629213483146</v>
      </c>
      <c r="G61" s="72">
        <f t="shared" si="12"/>
        <v>12000.000000000002</v>
      </c>
      <c r="H61" s="72">
        <f t="shared" si="13"/>
        <v>25479.452054794521</v>
      </c>
      <c r="I61" s="111">
        <f t="shared" si="15"/>
        <v>58013.919106115507</v>
      </c>
    </row>
    <row r="62" spans="1:9" x14ac:dyDescent="0.3">
      <c r="A62" s="82" t="s">
        <v>267</v>
      </c>
      <c r="B62" s="107">
        <f t="shared" si="10"/>
        <v>20067.56756756757</v>
      </c>
      <c r="C62" s="107">
        <f t="shared" si="10"/>
        <v>52175.67567567568</v>
      </c>
      <c r="D62" s="107">
        <f t="shared" si="10"/>
        <v>8027.0270270270285</v>
      </c>
      <c r="E62" s="107">
        <f t="shared" si="14"/>
        <v>80270.270270270281</v>
      </c>
      <c r="F62" s="107">
        <f t="shared" si="11"/>
        <v>12134.831460674157</v>
      </c>
      <c r="G62" s="107">
        <f t="shared" si="12"/>
        <v>54000.000000000007</v>
      </c>
      <c r="H62" s="107">
        <f t="shared" si="13"/>
        <v>114657.53424657535</v>
      </c>
      <c r="I62" s="112">
        <f>SUM(E62:H62)</f>
        <v>261062.63597751979</v>
      </c>
    </row>
    <row r="63" spans="1:9" ht="15" thickBot="1" x14ac:dyDescent="0.35">
      <c r="A63" s="84" t="s">
        <v>259</v>
      </c>
      <c r="B63" s="109">
        <f t="shared" ref="B63:D63" si="16">SUM(B53:B62)</f>
        <v>124716.21621621623</v>
      </c>
      <c r="C63" s="109">
        <f t="shared" si="16"/>
        <v>324262.16216216225</v>
      </c>
      <c r="D63" s="109">
        <f t="shared" si="16"/>
        <v>49886.486486486501</v>
      </c>
      <c r="E63" s="109">
        <f>SUM(E53:E62)</f>
        <v>498864.86486486497</v>
      </c>
      <c r="F63" s="109">
        <f>SUM(F53:F62)</f>
        <v>75415.730337078654</v>
      </c>
      <c r="G63" s="109">
        <f>SUM(G53:G62)</f>
        <v>335600</v>
      </c>
      <c r="H63" s="109">
        <f>SUM(H53:H62)</f>
        <v>712575.34246575332</v>
      </c>
      <c r="I63" s="85">
        <f>SUM(I53:I62)</f>
        <v>1622455.9376676972</v>
      </c>
    </row>
    <row r="65" spans="1:11" ht="15" thickBot="1" x14ac:dyDescent="0.35">
      <c r="A65" t="s">
        <v>304</v>
      </c>
    </row>
    <row r="66" spans="1:11" x14ac:dyDescent="0.3">
      <c r="A66" s="78" t="s">
        <v>95</v>
      </c>
      <c r="B66" s="86" t="s">
        <v>305</v>
      </c>
      <c r="C66" s="86" t="s">
        <v>306</v>
      </c>
      <c r="D66" s="86" t="s">
        <v>307</v>
      </c>
      <c r="E66" s="86" t="s">
        <v>308</v>
      </c>
      <c r="F66" s="79" t="s">
        <v>309</v>
      </c>
    </row>
    <row r="67" spans="1:11" x14ac:dyDescent="0.3">
      <c r="A67" s="89" t="s">
        <v>288</v>
      </c>
      <c r="B67" s="113">
        <f>B63</f>
        <v>124716.21621621623</v>
      </c>
      <c r="C67" s="113">
        <f t="shared" ref="C67:C69" si="17">B67/0.85</f>
        <v>146724.96025437204</v>
      </c>
      <c r="D67" s="113">
        <f t="shared" ref="D67:D69" si="18">B67/0.66</f>
        <v>188963.96396396396</v>
      </c>
      <c r="E67" s="113">
        <f t="shared" ref="E67:E69" si="19">B67/0.5</f>
        <v>249432.43243243246</v>
      </c>
      <c r="F67" s="114">
        <f t="shared" ref="F67:F69" si="20">B67/0.33</f>
        <v>377927.92792792793</v>
      </c>
    </row>
    <row r="68" spans="1:11" x14ac:dyDescent="0.3">
      <c r="A68" s="89" t="s">
        <v>290</v>
      </c>
      <c r="B68" s="113">
        <f>C63</f>
        <v>324262.16216216225</v>
      </c>
      <c r="C68" s="113">
        <f t="shared" si="17"/>
        <v>381484.89666136738</v>
      </c>
      <c r="D68" s="113">
        <f t="shared" si="18"/>
        <v>491306.30630630639</v>
      </c>
      <c r="E68" s="113">
        <f t="shared" si="19"/>
        <v>648524.32432432449</v>
      </c>
      <c r="F68" s="114">
        <f t="shared" si="20"/>
        <v>982612.61261261278</v>
      </c>
    </row>
    <row r="69" spans="1:11" x14ac:dyDescent="0.3">
      <c r="A69" s="89" t="s">
        <v>292</v>
      </c>
      <c r="B69" s="113">
        <f>D63</f>
        <v>49886.486486486501</v>
      </c>
      <c r="C69" s="113">
        <f t="shared" si="17"/>
        <v>58689.984101748829</v>
      </c>
      <c r="D69" s="113">
        <f t="shared" si="18"/>
        <v>75585.585585585606</v>
      </c>
      <c r="E69" s="113">
        <f t="shared" si="19"/>
        <v>99772.972972973002</v>
      </c>
      <c r="F69" s="114">
        <f t="shared" si="20"/>
        <v>151171.17117117121</v>
      </c>
    </row>
    <row r="70" spans="1:11" x14ac:dyDescent="0.3">
      <c r="A70" s="80" t="s">
        <v>294</v>
      </c>
      <c r="B70" s="72">
        <f>SUM(B67:B69)</f>
        <v>498864.86486486497</v>
      </c>
      <c r="C70" s="72">
        <f>B70/0.85</f>
        <v>586899.84101748816</v>
      </c>
      <c r="D70" s="72">
        <f>B70/0.66</f>
        <v>755855.85585585597</v>
      </c>
      <c r="E70" s="72">
        <f>B70/0.5</f>
        <v>997729.72972972994</v>
      </c>
      <c r="F70" s="81">
        <f>B70/0.33</f>
        <v>1511711.7117117119</v>
      </c>
    </row>
    <row r="71" spans="1:11" x14ac:dyDescent="0.3">
      <c r="A71" s="80" t="s">
        <v>295</v>
      </c>
      <c r="B71" s="72">
        <f>F63</f>
        <v>75415.730337078654</v>
      </c>
      <c r="C71" s="72">
        <f t="shared" ref="C71:C73" si="21">B71/0.85</f>
        <v>88724.388631857248</v>
      </c>
      <c r="D71" s="72">
        <f>B71/0.66</f>
        <v>114266.25808648281</v>
      </c>
      <c r="E71" s="72">
        <f>B71/0.5</f>
        <v>150831.46067415731</v>
      </c>
      <c r="F71" s="81">
        <f>B71/0.33</f>
        <v>228532.51617296561</v>
      </c>
    </row>
    <row r="72" spans="1:11" x14ac:dyDescent="0.3">
      <c r="A72" s="80" t="s">
        <v>296</v>
      </c>
      <c r="B72" s="72">
        <f>G63</f>
        <v>335600</v>
      </c>
      <c r="C72" s="72">
        <f t="shared" si="21"/>
        <v>394823.5294117647</v>
      </c>
      <c r="D72" s="72">
        <f>B72/0.66</f>
        <v>508484.84848484845</v>
      </c>
      <c r="E72" s="72">
        <f>B72/0.5</f>
        <v>671200</v>
      </c>
      <c r="F72" s="81">
        <f>B72/0.33</f>
        <v>1016969.6969696969</v>
      </c>
    </row>
    <row r="73" spans="1:11" x14ac:dyDescent="0.3">
      <c r="A73" s="82" t="s">
        <v>297</v>
      </c>
      <c r="B73" s="107">
        <f>H63</f>
        <v>712575.34246575332</v>
      </c>
      <c r="C73" s="107">
        <f t="shared" si="21"/>
        <v>838323.93231265096</v>
      </c>
      <c r="D73" s="107">
        <f>B73/0.66</f>
        <v>1079659.609796596</v>
      </c>
      <c r="E73" s="107">
        <f>B73/0.5</f>
        <v>1425150.6849315066</v>
      </c>
      <c r="F73" s="83">
        <f>B73/0.33</f>
        <v>2159319.219593192</v>
      </c>
    </row>
    <row r="74" spans="1:11" ht="15" thickBot="1" x14ac:dyDescent="0.35">
      <c r="A74" s="84" t="s">
        <v>259</v>
      </c>
      <c r="B74" s="109">
        <f>SUM(B70:B73)</f>
        <v>1622455.937667697</v>
      </c>
      <c r="C74" s="109">
        <f>B74/0.85</f>
        <v>1908771.6913737613</v>
      </c>
      <c r="D74" s="109">
        <f>B74/0.66</f>
        <v>2458266.572223783</v>
      </c>
      <c r="E74" s="109">
        <f>B74/0.5</f>
        <v>3244911.8753353939</v>
      </c>
      <c r="F74" s="85">
        <f>B74/0.33</f>
        <v>4916533.144447566</v>
      </c>
    </row>
    <row r="75" spans="1:11" x14ac:dyDescent="0.3">
      <c r="A75" s="115"/>
      <c r="B75" s="116"/>
      <c r="C75" s="116"/>
      <c r="D75" s="116"/>
      <c r="E75" s="116"/>
      <c r="F75" s="116"/>
    </row>
    <row r="76" spans="1:11" x14ac:dyDescent="0.3">
      <c r="A76" s="115"/>
      <c r="B76" s="116"/>
      <c r="C76" s="116"/>
      <c r="D76" s="116"/>
      <c r="E76" s="116"/>
      <c r="F76" s="116"/>
    </row>
    <row r="77" spans="1:11" ht="15" thickBot="1" x14ac:dyDescent="0.35">
      <c r="A77" s="498" t="s">
        <v>310</v>
      </c>
      <c r="B77" s="498"/>
      <c r="C77" s="498"/>
      <c r="D77" s="498"/>
      <c r="E77" s="498"/>
      <c r="F77" s="498"/>
      <c r="G77" s="498"/>
      <c r="H77" s="498"/>
      <c r="I77" s="498"/>
      <c r="J77" s="117"/>
      <c r="K77" s="117"/>
    </row>
    <row r="78" spans="1:11" x14ac:dyDescent="0.3">
      <c r="A78" s="118"/>
      <c r="B78" s="119"/>
      <c r="C78" s="499" t="s">
        <v>311</v>
      </c>
      <c r="D78" s="500"/>
      <c r="E78" s="500"/>
      <c r="F78" s="500"/>
      <c r="G78" s="501"/>
      <c r="H78" s="502" t="s">
        <v>312</v>
      </c>
      <c r="I78" s="502"/>
      <c r="J78" s="120" t="s">
        <v>313</v>
      </c>
      <c r="K78" s="503" t="s">
        <v>314</v>
      </c>
    </row>
    <row r="79" spans="1:11" x14ac:dyDescent="0.3">
      <c r="A79" s="121" t="s">
        <v>271</v>
      </c>
      <c r="B79" s="122" t="s">
        <v>315</v>
      </c>
      <c r="C79" s="123" t="s">
        <v>266</v>
      </c>
      <c r="D79" s="124" t="s">
        <v>316</v>
      </c>
      <c r="E79" s="124" t="s">
        <v>317</v>
      </c>
      <c r="F79" s="124" t="s">
        <v>318</v>
      </c>
      <c r="G79" s="125" t="s">
        <v>319</v>
      </c>
      <c r="H79" s="124" t="s">
        <v>267</v>
      </c>
      <c r="I79" s="124" t="s">
        <v>320</v>
      </c>
      <c r="J79" s="126" t="s">
        <v>321</v>
      </c>
      <c r="K79" s="504"/>
    </row>
    <row r="80" spans="1:11" x14ac:dyDescent="0.3">
      <c r="A80" s="127" t="s">
        <v>273</v>
      </c>
      <c r="B80" s="128">
        <f>D53</f>
        <v>4459.45945945946</v>
      </c>
      <c r="C80" s="129"/>
      <c r="D80" s="130"/>
      <c r="E80" s="130">
        <v>0.1</v>
      </c>
      <c r="F80" s="130">
        <v>0.8</v>
      </c>
      <c r="G80" s="131"/>
      <c r="H80" s="130">
        <v>0.1</v>
      </c>
      <c r="I80" s="132"/>
      <c r="J80" s="133"/>
      <c r="K80" s="134">
        <f>SUM(C80:J80)</f>
        <v>1</v>
      </c>
    </row>
    <row r="81" spans="1:11" x14ac:dyDescent="0.3">
      <c r="A81" s="127" t="s">
        <v>303</v>
      </c>
      <c r="B81" s="128">
        <f t="shared" ref="B81:B89" si="22">D54</f>
        <v>10435.135135135137</v>
      </c>
      <c r="C81" s="129"/>
      <c r="D81" s="130"/>
      <c r="E81" s="130">
        <v>0.3</v>
      </c>
      <c r="F81" s="130">
        <v>0.7</v>
      </c>
      <c r="G81" s="131"/>
      <c r="H81" s="130"/>
      <c r="I81" s="130"/>
      <c r="J81" s="135"/>
      <c r="K81" s="134">
        <f t="shared" ref="K81:K90" si="23">SUM(C81:J81)</f>
        <v>1</v>
      </c>
    </row>
    <row r="82" spans="1:11" x14ac:dyDescent="0.3">
      <c r="A82" s="127" t="s">
        <v>275</v>
      </c>
      <c r="B82" s="128">
        <f t="shared" si="22"/>
        <v>2408.1081081081084</v>
      </c>
      <c r="C82" s="129">
        <v>0.5</v>
      </c>
      <c r="D82" s="130"/>
      <c r="E82" s="130">
        <v>0.1</v>
      </c>
      <c r="F82" s="130">
        <v>0.4</v>
      </c>
      <c r="G82" s="131"/>
      <c r="H82" s="130"/>
      <c r="I82" s="130"/>
      <c r="J82" s="133"/>
      <c r="K82" s="134">
        <f t="shared" si="23"/>
        <v>1</v>
      </c>
    </row>
    <row r="83" spans="1:11" x14ac:dyDescent="0.3">
      <c r="A83" s="127" t="s">
        <v>276</v>
      </c>
      <c r="B83" s="128">
        <f t="shared" si="22"/>
        <v>6421.6216216216226</v>
      </c>
      <c r="C83" s="129"/>
      <c r="D83" s="130"/>
      <c r="E83" s="132">
        <v>0.25</v>
      </c>
      <c r="F83" s="132">
        <v>0.75</v>
      </c>
      <c r="G83" s="136"/>
      <c r="H83" s="130"/>
      <c r="I83" s="130"/>
      <c r="J83" s="133"/>
      <c r="K83" s="134">
        <f t="shared" si="23"/>
        <v>1</v>
      </c>
    </row>
    <row r="84" spans="1:11" x14ac:dyDescent="0.3">
      <c r="A84" s="127" t="s">
        <v>277</v>
      </c>
      <c r="B84" s="128">
        <f t="shared" si="22"/>
        <v>2972.9729729729734</v>
      </c>
      <c r="C84" s="129"/>
      <c r="D84" s="130"/>
      <c r="E84" s="130">
        <v>0.1</v>
      </c>
      <c r="F84" s="132">
        <v>0.9</v>
      </c>
      <c r="G84" s="136"/>
      <c r="H84" s="130"/>
      <c r="I84" s="130"/>
      <c r="J84" s="133"/>
      <c r="K84" s="134">
        <f t="shared" si="23"/>
        <v>1</v>
      </c>
    </row>
    <row r="85" spans="1:11" x14ac:dyDescent="0.3">
      <c r="A85" s="127" t="s">
        <v>278</v>
      </c>
      <c r="B85" s="128">
        <f t="shared" si="22"/>
        <v>3344.594594594595</v>
      </c>
      <c r="C85" s="129"/>
      <c r="D85" s="130"/>
      <c r="E85" s="130">
        <v>0.1</v>
      </c>
      <c r="F85" s="130">
        <v>0.9</v>
      </c>
      <c r="G85" s="131"/>
      <c r="H85" s="130"/>
      <c r="I85" s="130"/>
      <c r="J85" s="133"/>
      <c r="K85" s="134">
        <f t="shared" si="23"/>
        <v>1</v>
      </c>
    </row>
    <row r="86" spans="1:11" x14ac:dyDescent="0.3">
      <c r="A86" s="127" t="s">
        <v>279</v>
      </c>
      <c r="B86" s="128">
        <f t="shared" si="22"/>
        <v>6689.1891891891901</v>
      </c>
      <c r="C86" s="129"/>
      <c r="D86" s="130"/>
      <c r="E86" s="130">
        <v>0.1</v>
      </c>
      <c r="F86" s="132">
        <v>0.9</v>
      </c>
      <c r="G86" s="136"/>
      <c r="H86" s="130"/>
      <c r="I86" s="130"/>
      <c r="J86" s="133"/>
      <c r="K86" s="134">
        <f t="shared" si="23"/>
        <v>1</v>
      </c>
    </row>
    <row r="87" spans="1:11" x14ac:dyDescent="0.3">
      <c r="A87" s="127" t="s">
        <v>280</v>
      </c>
      <c r="B87" s="128">
        <f t="shared" si="22"/>
        <v>3344.594594594595</v>
      </c>
      <c r="C87" s="129"/>
      <c r="D87" s="130"/>
      <c r="E87" s="130">
        <v>0.1</v>
      </c>
      <c r="F87" s="130">
        <v>0.9</v>
      </c>
      <c r="G87" s="131"/>
      <c r="H87" s="130"/>
      <c r="I87" s="130"/>
      <c r="J87" s="133"/>
      <c r="K87" s="134">
        <f t="shared" si="23"/>
        <v>1</v>
      </c>
    </row>
    <row r="88" spans="1:11" x14ac:dyDescent="0.3">
      <c r="A88" s="127" t="s">
        <v>281</v>
      </c>
      <c r="B88" s="128">
        <f t="shared" si="22"/>
        <v>1783.7837837837842</v>
      </c>
      <c r="C88" s="129"/>
      <c r="D88" s="130"/>
      <c r="E88" s="130">
        <v>0.1</v>
      </c>
      <c r="F88" s="130">
        <v>0.9</v>
      </c>
      <c r="G88" s="131"/>
      <c r="H88" s="130"/>
      <c r="I88" s="130"/>
      <c r="J88" s="133"/>
      <c r="K88" s="134">
        <f t="shared" si="23"/>
        <v>1</v>
      </c>
    </row>
    <row r="89" spans="1:11" x14ac:dyDescent="0.3">
      <c r="A89" s="137" t="s">
        <v>267</v>
      </c>
      <c r="B89" s="138">
        <f t="shared" si="22"/>
        <v>8027.0270270270285</v>
      </c>
      <c r="C89" s="139"/>
      <c r="D89" s="140"/>
      <c r="E89" s="140">
        <v>0.3</v>
      </c>
      <c r="F89" s="140">
        <v>0.2</v>
      </c>
      <c r="G89" s="141"/>
      <c r="H89" s="142">
        <v>0.5</v>
      </c>
      <c r="I89" s="140"/>
      <c r="J89" s="143"/>
      <c r="K89" s="144">
        <f t="shared" si="23"/>
        <v>1</v>
      </c>
    </row>
    <row r="90" spans="1:11" ht="15" thickBot="1" x14ac:dyDescent="0.35">
      <c r="A90" s="145" t="s">
        <v>259</v>
      </c>
      <c r="B90" s="146">
        <f>SUM(B80:B89)</f>
        <v>49886.486486486501</v>
      </c>
      <c r="C90" s="147">
        <f>SUM(C80:C89)</f>
        <v>0.5</v>
      </c>
      <c r="D90" s="147">
        <f t="shared" ref="D90:J90" si="24">SUM(D80:D89)</f>
        <v>0</v>
      </c>
      <c r="E90" s="147">
        <f t="shared" si="24"/>
        <v>1.5500000000000003</v>
      </c>
      <c r="F90" s="147">
        <f t="shared" si="24"/>
        <v>7.3500000000000014</v>
      </c>
      <c r="G90" s="148">
        <f t="shared" si="24"/>
        <v>0</v>
      </c>
      <c r="H90" s="147">
        <f t="shared" si="24"/>
        <v>0.6</v>
      </c>
      <c r="I90" s="148">
        <f t="shared" si="24"/>
        <v>0</v>
      </c>
      <c r="J90" s="148">
        <f t="shared" si="24"/>
        <v>0</v>
      </c>
      <c r="K90" s="149">
        <f t="shared" si="23"/>
        <v>10.000000000000002</v>
      </c>
    </row>
    <row r="91" spans="1:11" x14ac:dyDescent="0.3">
      <c r="A91" s="115"/>
      <c r="B91" s="150"/>
      <c r="C91" s="151"/>
      <c r="D91" s="151"/>
      <c r="E91" s="151"/>
      <c r="F91" s="151"/>
      <c r="G91" s="151"/>
      <c r="H91" s="151"/>
      <c r="I91" s="151"/>
      <c r="J91" s="151"/>
      <c r="K91" s="55"/>
    </row>
    <row r="92" spans="1:11" ht="15" thickBot="1" x14ac:dyDescent="0.35">
      <c r="A92" s="498" t="s">
        <v>322</v>
      </c>
      <c r="B92" s="498"/>
      <c r="C92" s="498"/>
      <c r="D92" s="498"/>
      <c r="E92" s="498"/>
      <c r="F92" s="498"/>
      <c r="G92" s="498"/>
      <c r="H92" s="498"/>
      <c r="I92" s="498"/>
      <c r="J92" s="117"/>
      <c r="K92" s="117"/>
    </row>
    <row r="93" spans="1:11" x14ac:dyDescent="0.3">
      <c r="A93" s="118"/>
      <c r="B93" s="152"/>
      <c r="C93" s="500" t="s">
        <v>311</v>
      </c>
      <c r="D93" s="500"/>
      <c r="E93" s="500"/>
      <c r="F93" s="500"/>
      <c r="G93" s="501"/>
      <c r="H93" s="502" t="s">
        <v>312</v>
      </c>
      <c r="I93" s="505"/>
      <c r="J93" s="153" t="s">
        <v>313</v>
      </c>
      <c r="K93" s="506" t="s">
        <v>314</v>
      </c>
    </row>
    <row r="94" spans="1:11" x14ac:dyDescent="0.3">
      <c r="A94" s="121" t="s">
        <v>271</v>
      </c>
      <c r="B94" s="154" t="s">
        <v>315</v>
      </c>
      <c r="C94" s="124" t="s">
        <v>266</v>
      </c>
      <c r="D94" s="124" t="s">
        <v>316</v>
      </c>
      <c r="E94" s="124" t="s">
        <v>317</v>
      </c>
      <c r="F94" s="124" t="s">
        <v>318</v>
      </c>
      <c r="G94" s="125" t="s">
        <v>319</v>
      </c>
      <c r="H94" s="124" t="s">
        <v>267</v>
      </c>
      <c r="I94" s="125" t="s">
        <v>320</v>
      </c>
      <c r="J94" s="155" t="s">
        <v>321</v>
      </c>
      <c r="K94" s="507"/>
    </row>
    <row r="95" spans="1:11" x14ac:dyDescent="0.3">
      <c r="A95" s="127" t="s">
        <v>273</v>
      </c>
      <c r="B95" s="156">
        <f>B80</f>
        <v>4459.45945945946</v>
      </c>
      <c r="C95" s="157">
        <f t="shared" ref="C95:J104" si="25">$B80*C80</f>
        <v>0</v>
      </c>
      <c r="D95" s="157">
        <f t="shared" si="25"/>
        <v>0</v>
      </c>
      <c r="E95" s="157">
        <f t="shared" si="25"/>
        <v>445.94594594594605</v>
      </c>
      <c r="F95" s="157">
        <f t="shared" si="25"/>
        <v>3567.5675675675684</v>
      </c>
      <c r="G95" s="158">
        <f t="shared" si="25"/>
        <v>0</v>
      </c>
      <c r="H95" s="157">
        <f t="shared" si="25"/>
        <v>445.94594594594605</v>
      </c>
      <c r="I95" s="158">
        <f t="shared" si="25"/>
        <v>0</v>
      </c>
      <c r="J95" s="158">
        <f t="shared" si="25"/>
        <v>0</v>
      </c>
      <c r="K95" s="159">
        <f>SUM(C95:J95)</f>
        <v>4459.45945945946</v>
      </c>
    </row>
    <row r="96" spans="1:11" x14ac:dyDescent="0.3">
      <c r="A96" s="127" t="s">
        <v>303</v>
      </c>
      <c r="B96" s="156">
        <f t="shared" ref="B96:B104" si="26">B81</f>
        <v>10435.135135135137</v>
      </c>
      <c r="C96" s="157">
        <f t="shared" si="25"/>
        <v>0</v>
      </c>
      <c r="D96" s="157">
        <f t="shared" si="25"/>
        <v>0</v>
      </c>
      <c r="E96" s="157">
        <f t="shared" si="25"/>
        <v>3130.5405405405409</v>
      </c>
      <c r="F96" s="157">
        <f t="shared" si="25"/>
        <v>7304.594594594595</v>
      </c>
      <c r="G96" s="158">
        <f t="shared" si="25"/>
        <v>0</v>
      </c>
      <c r="H96" s="157">
        <f t="shared" si="25"/>
        <v>0</v>
      </c>
      <c r="I96" s="158">
        <f t="shared" si="25"/>
        <v>0</v>
      </c>
      <c r="J96" s="158">
        <f t="shared" si="25"/>
        <v>0</v>
      </c>
      <c r="K96" s="159">
        <f t="shared" ref="K96:K105" si="27">SUM(C96:J96)</f>
        <v>10435.135135135137</v>
      </c>
    </row>
    <row r="97" spans="1:11" x14ac:dyDescent="0.3">
      <c r="A97" s="127" t="s">
        <v>275</v>
      </c>
      <c r="B97" s="156">
        <f t="shared" si="26"/>
        <v>2408.1081081081084</v>
      </c>
      <c r="C97" s="157">
        <f t="shared" si="25"/>
        <v>1204.0540540540542</v>
      </c>
      <c r="D97" s="157">
        <f t="shared" si="25"/>
        <v>0</v>
      </c>
      <c r="E97" s="157">
        <f t="shared" si="25"/>
        <v>240.81081081081084</v>
      </c>
      <c r="F97" s="157">
        <f t="shared" si="25"/>
        <v>963.24324324324334</v>
      </c>
      <c r="G97" s="158">
        <f t="shared" si="25"/>
        <v>0</v>
      </c>
      <c r="H97" s="157">
        <f t="shared" si="25"/>
        <v>0</v>
      </c>
      <c r="I97" s="158">
        <f t="shared" si="25"/>
        <v>0</v>
      </c>
      <c r="J97" s="158">
        <f t="shared" si="25"/>
        <v>0</v>
      </c>
      <c r="K97" s="159">
        <f t="shared" si="27"/>
        <v>2408.1081081081084</v>
      </c>
    </row>
    <row r="98" spans="1:11" x14ac:dyDescent="0.3">
      <c r="A98" s="127" t="s">
        <v>276</v>
      </c>
      <c r="B98" s="156">
        <f t="shared" si="26"/>
        <v>6421.6216216216226</v>
      </c>
      <c r="C98" s="157">
        <f t="shared" si="25"/>
        <v>0</v>
      </c>
      <c r="D98" s="157">
        <f t="shared" si="25"/>
        <v>0</v>
      </c>
      <c r="E98" s="157">
        <f t="shared" si="25"/>
        <v>1605.4054054054056</v>
      </c>
      <c r="F98" s="157">
        <f t="shared" si="25"/>
        <v>4816.2162162162167</v>
      </c>
      <c r="G98" s="158">
        <f t="shared" si="25"/>
        <v>0</v>
      </c>
      <c r="H98" s="157">
        <f t="shared" si="25"/>
        <v>0</v>
      </c>
      <c r="I98" s="158">
        <f t="shared" si="25"/>
        <v>0</v>
      </c>
      <c r="J98" s="158">
        <f t="shared" si="25"/>
        <v>0</v>
      </c>
      <c r="K98" s="159">
        <f t="shared" si="27"/>
        <v>6421.6216216216226</v>
      </c>
    </row>
    <row r="99" spans="1:11" x14ac:dyDescent="0.3">
      <c r="A99" s="127" t="s">
        <v>277</v>
      </c>
      <c r="B99" s="156">
        <f t="shared" si="26"/>
        <v>2972.9729729729734</v>
      </c>
      <c r="C99" s="157">
        <f t="shared" si="25"/>
        <v>0</v>
      </c>
      <c r="D99" s="157">
        <f t="shared" si="25"/>
        <v>0</v>
      </c>
      <c r="E99" s="157">
        <f t="shared" si="25"/>
        <v>297.29729729729735</v>
      </c>
      <c r="F99" s="157">
        <f t="shared" si="25"/>
        <v>2675.6756756756763</v>
      </c>
      <c r="G99" s="158">
        <f t="shared" si="25"/>
        <v>0</v>
      </c>
      <c r="H99" s="157">
        <f t="shared" si="25"/>
        <v>0</v>
      </c>
      <c r="I99" s="158">
        <f t="shared" si="25"/>
        <v>0</v>
      </c>
      <c r="J99" s="158">
        <f t="shared" si="25"/>
        <v>0</v>
      </c>
      <c r="K99" s="159">
        <f t="shared" si="27"/>
        <v>2972.9729729729738</v>
      </c>
    </row>
    <row r="100" spans="1:11" x14ac:dyDescent="0.3">
      <c r="A100" s="127" t="s">
        <v>278</v>
      </c>
      <c r="B100" s="156">
        <f t="shared" si="26"/>
        <v>3344.594594594595</v>
      </c>
      <c r="C100" s="157">
        <f t="shared" si="25"/>
        <v>0</v>
      </c>
      <c r="D100" s="157">
        <f t="shared" si="25"/>
        <v>0</v>
      </c>
      <c r="E100" s="157">
        <f t="shared" si="25"/>
        <v>334.45945945945954</v>
      </c>
      <c r="F100" s="157">
        <f t="shared" si="25"/>
        <v>3010.1351351351354</v>
      </c>
      <c r="G100" s="158">
        <f t="shared" si="25"/>
        <v>0</v>
      </c>
      <c r="H100" s="157">
        <f t="shared" si="25"/>
        <v>0</v>
      </c>
      <c r="I100" s="158">
        <f t="shared" si="25"/>
        <v>0</v>
      </c>
      <c r="J100" s="158">
        <f t="shared" si="25"/>
        <v>0</v>
      </c>
      <c r="K100" s="159">
        <f t="shared" si="27"/>
        <v>3344.594594594595</v>
      </c>
    </row>
    <row r="101" spans="1:11" x14ac:dyDescent="0.3">
      <c r="A101" s="127" t="s">
        <v>279</v>
      </c>
      <c r="B101" s="156">
        <f t="shared" si="26"/>
        <v>6689.1891891891901</v>
      </c>
      <c r="C101" s="157">
        <f t="shared" si="25"/>
        <v>0</v>
      </c>
      <c r="D101" s="157">
        <f t="shared" si="25"/>
        <v>0</v>
      </c>
      <c r="E101" s="157">
        <f t="shared" si="25"/>
        <v>668.91891891891908</v>
      </c>
      <c r="F101" s="157">
        <f t="shared" si="25"/>
        <v>6020.2702702702709</v>
      </c>
      <c r="G101" s="158">
        <f t="shared" si="25"/>
        <v>0</v>
      </c>
      <c r="H101" s="157">
        <f t="shared" si="25"/>
        <v>0</v>
      </c>
      <c r="I101" s="158">
        <f t="shared" si="25"/>
        <v>0</v>
      </c>
      <c r="J101" s="158">
        <f t="shared" si="25"/>
        <v>0</v>
      </c>
      <c r="K101" s="159">
        <f t="shared" si="27"/>
        <v>6689.1891891891901</v>
      </c>
    </row>
    <row r="102" spans="1:11" x14ac:dyDescent="0.3">
      <c r="A102" s="127" t="s">
        <v>280</v>
      </c>
      <c r="B102" s="156">
        <f t="shared" si="26"/>
        <v>3344.594594594595</v>
      </c>
      <c r="C102" s="157">
        <f t="shared" si="25"/>
        <v>0</v>
      </c>
      <c r="D102" s="157">
        <f t="shared" si="25"/>
        <v>0</v>
      </c>
      <c r="E102" s="157">
        <f t="shared" si="25"/>
        <v>334.45945945945954</v>
      </c>
      <c r="F102" s="157">
        <f t="shared" si="25"/>
        <v>3010.1351351351354</v>
      </c>
      <c r="G102" s="158">
        <f t="shared" si="25"/>
        <v>0</v>
      </c>
      <c r="H102" s="157">
        <f t="shared" si="25"/>
        <v>0</v>
      </c>
      <c r="I102" s="158">
        <f t="shared" si="25"/>
        <v>0</v>
      </c>
      <c r="J102" s="158">
        <f t="shared" si="25"/>
        <v>0</v>
      </c>
      <c r="K102" s="159">
        <f t="shared" si="27"/>
        <v>3344.594594594595</v>
      </c>
    </row>
    <row r="103" spans="1:11" x14ac:dyDescent="0.3">
      <c r="A103" s="127" t="s">
        <v>281</v>
      </c>
      <c r="B103" s="156">
        <f t="shared" si="26"/>
        <v>1783.7837837837842</v>
      </c>
      <c r="C103" s="157">
        <f t="shared" si="25"/>
        <v>0</v>
      </c>
      <c r="D103" s="157">
        <f t="shared" si="25"/>
        <v>0</v>
      </c>
      <c r="E103" s="157">
        <f t="shared" si="25"/>
        <v>178.37837837837844</v>
      </c>
      <c r="F103" s="157">
        <f t="shared" si="25"/>
        <v>1605.4054054054059</v>
      </c>
      <c r="G103" s="158">
        <f t="shared" si="25"/>
        <v>0</v>
      </c>
      <c r="H103" s="157">
        <f t="shared" si="25"/>
        <v>0</v>
      </c>
      <c r="I103" s="158">
        <f t="shared" si="25"/>
        <v>0</v>
      </c>
      <c r="J103" s="158">
        <f t="shared" si="25"/>
        <v>0</v>
      </c>
      <c r="K103" s="159">
        <f t="shared" si="27"/>
        <v>1783.7837837837842</v>
      </c>
    </row>
    <row r="104" spans="1:11" x14ac:dyDescent="0.3">
      <c r="A104" s="137" t="s">
        <v>267</v>
      </c>
      <c r="B104" s="138">
        <f t="shared" si="26"/>
        <v>8027.0270270270285</v>
      </c>
      <c r="C104" s="160">
        <f t="shared" si="25"/>
        <v>0</v>
      </c>
      <c r="D104" s="160">
        <f t="shared" si="25"/>
        <v>0</v>
      </c>
      <c r="E104" s="160">
        <f t="shared" si="25"/>
        <v>2408.1081081081084</v>
      </c>
      <c r="F104" s="160">
        <f t="shared" si="25"/>
        <v>1605.4054054054059</v>
      </c>
      <c r="G104" s="161">
        <f t="shared" si="25"/>
        <v>0</v>
      </c>
      <c r="H104" s="160">
        <f t="shared" si="25"/>
        <v>4013.5135135135142</v>
      </c>
      <c r="I104" s="161">
        <f t="shared" si="25"/>
        <v>0</v>
      </c>
      <c r="J104" s="161">
        <f t="shared" si="25"/>
        <v>0</v>
      </c>
      <c r="K104" s="162">
        <f t="shared" si="27"/>
        <v>8027.0270270270285</v>
      </c>
    </row>
    <row r="105" spans="1:11" ht="15" thickBot="1" x14ac:dyDescent="0.35">
      <c r="A105" s="145" t="s">
        <v>259</v>
      </c>
      <c r="B105" s="146">
        <f>SUM(B95:B104)</f>
        <v>49886.486486486501</v>
      </c>
      <c r="C105" s="163">
        <f>SUM(C95:C104)</f>
        <v>1204.0540540540542</v>
      </c>
      <c r="D105" s="163">
        <f t="shared" ref="D105:J105" si="28">SUM(D95:D104)</f>
        <v>0</v>
      </c>
      <c r="E105" s="163">
        <f t="shared" si="28"/>
        <v>9644.3243243243251</v>
      </c>
      <c r="F105" s="163">
        <f t="shared" si="28"/>
        <v>34578.648648648654</v>
      </c>
      <c r="G105" s="164">
        <f t="shared" si="28"/>
        <v>0</v>
      </c>
      <c r="H105" s="163">
        <f t="shared" si="28"/>
        <v>4459.45945945946</v>
      </c>
      <c r="I105" s="164">
        <f t="shared" si="28"/>
        <v>0</v>
      </c>
      <c r="J105" s="164">
        <f t="shared" si="28"/>
        <v>0</v>
      </c>
      <c r="K105" s="165">
        <f t="shared" si="27"/>
        <v>49886.486486486494</v>
      </c>
    </row>
    <row r="106" spans="1:11" x14ac:dyDescent="0.3">
      <c r="A106" s="115"/>
      <c r="B106" s="116"/>
      <c r="C106" s="116"/>
      <c r="D106" s="116"/>
      <c r="E106" s="116"/>
      <c r="F106" s="116"/>
    </row>
    <row r="108" spans="1:11" ht="15" thickBot="1" x14ac:dyDescent="0.35">
      <c r="A108" t="s">
        <v>323</v>
      </c>
    </row>
    <row r="109" spans="1:11" x14ac:dyDescent="0.3">
      <c r="A109" s="166" t="s">
        <v>6</v>
      </c>
      <c r="B109" s="167" t="s">
        <v>7</v>
      </c>
      <c r="C109" s="167" t="s">
        <v>324</v>
      </c>
      <c r="D109" s="168" t="s">
        <v>306</v>
      </c>
      <c r="E109" s="168" t="s">
        <v>307</v>
      </c>
      <c r="F109" s="168" t="s">
        <v>308</v>
      </c>
      <c r="G109" s="169" t="s">
        <v>309</v>
      </c>
    </row>
    <row r="110" spans="1:11" x14ac:dyDescent="0.3">
      <c r="A110" s="497" t="s">
        <v>325</v>
      </c>
      <c r="B110" s="170" t="s">
        <v>326</v>
      </c>
      <c r="C110" s="171">
        <f>C105</f>
        <v>1204.0540540540542</v>
      </c>
      <c r="D110" s="171">
        <f>C110/0.85</f>
        <v>1416.5341812400638</v>
      </c>
      <c r="E110" s="171">
        <f>C110/0.66</f>
        <v>1824.3243243243244</v>
      </c>
      <c r="F110" s="171">
        <f>C110/0.5</f>
        <v>2408.1081081081084</v>
      </c>
      <c r="G110" s="172">
        <f>C110/0.33</f>
        <v>3648.6486486486488</v>
      </c>
    </row>
    <row r="111" spans="1:11" x14ac:dyDescent="0.3">
      <c r="A111" s="497"/>
      <c r="B111" s="170" t="s">
        <v>327</v>
      </c>
      <c r="C111" s="171">
        <f>E105</f>
        <v>9644.3243243243251</v>
      </c>
      <c r="D111" s="171">
        <f t="shared" ref="D111:D120" si="29">C111/0.85</f>
        <v>11346.263910969794</v>
      </c>
      <c r="E111" s="171">
        <f t="shared" ref="E111:E112" si="30">C111/0.66</f>
        <v>14612.612612612613</v>
      </c>
      <c r="F111" s="171">
        <f t="shared" ref="F111:F112" si="31">C111/0.5</f>
        <v>19288.64864864865</v>
      </c>
      <c r="G111" s="172">
        <f t="shared" ref="G111:G112" si="32">C111/0.33</f>
        <v>29225.225225225226</v>
      </c>
    </row>
    <row r="112" spans="1:11" x14ac:dyDescent="0.3">
      <c r="A112" s="497"/>
      <c r="B112" s="170" t="s">
        <v>328</v>
      </c>
      <c r="C112" s="171">
        <f>F105</f>
        <v>34578.648648648654</v>
      </c>
      <c r="D112" s="171">
        <f t="shared" si="29"/>
        <v>40680.763116057242</v>
      </c>
      <c r="E112" s="171">
        <f t="shared" si="30"/>
        <v>52391.891891891901</v>
      </c>
      <c r="F112" s="171">
        <f t="shared" si="31"/>
        <v>69157.297297297308</v>
      </c>
      <c r="G112" s="172">
        <f t="shared" si="32"/>
        <v>104783.7837837838</v>
      </c>
    </row>
    <row r="113" spans="1:7" x14ac:dyDescent="0.3">
      <c r="A113" s="173" t="s">
        <v>329</v>
      </c>
      <c r="B113" s="174"/>
      <c r="C113" s="175">
        <f t="shared" ref="C113" si="33">SUM(C110:C112)</f>
        <v>45427.027027027034</v>
      </c>
      <c r="D113" s="175">
        <f>SUM(D110:D112)</f>
        <v>53443.5612082671</v>
      </c>
      <c r="E113" s="175">
        <f t="shared" ref="E113:G113" si="34">SUM(E110:E112)</f>
        <v>68828.828828828846</v>
      </c>
      <c r="F113" s="175">
        <f t="shared" si="34"/>
        <v>90854.054054054068</v>
      </c>
      <c r="G113" s="176">
        <f t="shared" si="34"/>
        <v>137657.65765765769</v>
      </c>
    </row>
    <row r="114" spans="1:7" x14ac:dyDescent="0.3">
      <c r="A114" s="177" t="s">
        <v>312</v>
      </c>
      <c r="B114" s="170" t="s">
        <v>330</v>
      </c>
      <c r="C114" s="171">
        <f>H105</f>
        <v>4459.45945945946</v>
      </c>
      <c r="D114" s="171">
        <f t="shared" si="29"/>
        <v>5246.4228934817174</v>
      </c>
      <c r="E114" s="171">
        <f t="shared" ref="E114" si="35">C114/0.66</f>
        <v>6756.7567567567576</v>
      </c>
      <c r="F114" s="171">
        <f t="shared" ref="F114" si="36">C114/0.5</f>
        <v>8918.9189189189201</v>
      </c>
      <c r="G114" s="172">
        <f t="shared" ref="G114" si="37">C114/0.33</f>
        <v>13513.513513513515</v>
      </c>
    </row>
    <row r="115" spans="1:7" x14ac:dyDescent="0.3">
      <c r="A115" s="173" t="s">
        <v>331</v>
      </c>
      <c r="B115" s="174"/>
      <c r="C115" s="175">
        <f>SUM(C114:C114)</f>
        <v>4459.45945945946</v>
      </c>
      <c r="D115" s="175">
        <f>SUM(D114:D114)</f>
        <v>5246.4228934817174</v>
      </c>
      <c r="E115" s="175">
        <f>SUM(E114:E114)</f>
        <v>6756.7567567567576</v>
      </c>
      <c r="F115" s="175">
        <f>SUM(F114:F114)</f>
        <v>8918.9189189189201</v>
      </c>
      <c r="G115" s="176">
        <f>SUM(G114:G114)</f>
        <v>13513.513513513515</v>
      </c>
    </row>
    <row r="116" spans="1:7" x14ac:dyDescent="0.3">
      <c r="A116" s="178" t="s">
        <v>332</v>
      </c>
      <c r="B116" s="179"/>
      <c r="C116" s="180">
        <f>C115+C113</f>
        <v>49886.486486486494</v>
      </c>
      <c r="D116" s="180">
        <f>D115+D113</f>
        <v>58689.984101748814</v>
      </c>
      <c r="E116" s="180">
        <f>E115+E113</f>
        <v>75585.585585585606</v>
      </c>
      <c r="F116" s="180">
        <f>F115+F113</f>
        <v>99772.972972972988</v>
      </c>
      <c r="G116" s="181">
        <f>G115+G113</f>
        <v>151171.17117117121</v>
      </c>
    </row>
    <row r="117" spans="1:7" x14ac:dyDescent="0.3">
      <c r="A117" s="497" t="s">
        <v>333</v>
      </c>
      <c r="B117" s="170" t="s">
        <v>334</v>
      </c>
      <c r="C117" s="171">
        <f>(2421/(2421+832+3444+7908))*$D$54</f>
        <v>1729.7817296927192</v>
      </c>
      <c r="D117" s="171">
        <f t="shared" si="29"/>
        <v>2035.037329050258</v>
      </c>
      <c r="E117" s="171">
        <f t="shared" ref="E117:E120" si="38">C117/0.66</f>
        <v>2620.8814086253319</v>
      </c>
      <c r="F117" s="171">
        <f t="shared" ref="F117:F120" si="39">C117/0.5</f>
        <v>3459.5634593854384</v>
      </c>
      <c r="G117" s="172">
        <f t="shared" ref="G117:G120" si="40">C117/0.33</f>
        <v>5241.7628172506638</v>
      </c>
    </row>
    <row r="118" spans="1:7" x14ac:dyDescent="0.3">
      <c r="A118" s="497"/>
      <c r="B118" s="170" t="s">
        <v>335</v>
      </c>
      <c r="C118" s="171">
        <f>(832/(2421+832+3444+7908))*$D$54</f>
        <v>594.45617476428856</v>
      </c>
      <c r="D118" s="171">
        <f t="shared" si="29"/>
        <v>699.36020560504539</v>
      </c>
      <c r="E118" s="171">
        <f t="shared" si="38"/>
        <v>900.69117388528571</v>
      </c>
      <c r="F118" s="171">
        <f t="shared" si="39"/>
        <v>1188.9123495285771</v>
      </c>
      <c r="G118" s="172">
        <f t="shared" si="40"/>
        <v>1801.3823477705714</v>
      </c>
    </row>
    <row r="119" spans="1:7" x14ac:dyDescent="0.3">
      <c r="A119" s="497"/>
      <c r="B119" s="170" t="s">
        <v>336</v>
      </c>
      <c r="C119" s="171">
        <f>(3444/(2421+832+3444+7908))*$D$54</f>
        <v>2460.7056080387133</v>
      </c>
      <c r="D119" s="171">
        <f t="shared" si="29"/>
        <v>2894.9477741631922</v>
      </c>
      <c r="E119" s="171">
        <f t="shared" si="38"/>
        <v>3728.3418303616868</v>
      </c>
      <c r="F119" s="171">
        <f t="shared" si="39"/>
        <v>4921.4112160774266</v>
      </c>
      <c r="G119" s="172">
        <f t="shared" si="40"/>
        <v>7456.6836607233736</v>
      </c>
    </row>
    <row r="120" spans="1:7" x14ac:dyDescent="0.3">
      <c r="A120" s="497"/>
      <c r="B120" s="170" t="s">
        <v>337</v>
      </c>
      <c r="C120" s="171">
        <f>(7908/(2421+832+3444+7908))*$D$54</f>
        <v>5650.1916226394151</v>
      </c>
      <c r="D120" s="171">
        <f t="shared" si="29"/>
        <v>6647.2842619287239</v>
      </c>
      <c r="E120" s="171">
        <f t="shared" si="38"/>
        <v>8560.896397938508</v>
      </c>
      <c r="F120" s="171">
        <f t="shared" si="39"/>
        <v>11300.38324527883</v>
      </c>
      <c r="G120" s="172">
        <f t="shared" si="40"/>
        <v>17121.792795877016</v>
      </c>
    </row>
    <row r="121" spans="1:7" x14ac:dyDescent="0.3">
      <c r="A121" s="173" t="s">
        <v>338</v>
      </c>
      <c r="B121" s="174"/>
      <c r="C121" s="175">
        <f t="shared" ref="C121" si="41">SUM(C117:C120)</f>
        <v>10435.135135135137</v>
      </c>
      <c r="D121" s="175">
        <f t="shared" ref="D121" si="42">SUM(D117:D120)</f>
        <v>12276.62957074722</v>
      </c>
      <c r="E121" s="175">
        <f>SUM(E117:E120)</f>
        <v>15810.810810810812</v>
      </c>
      <c r="F121" s="175">
        <f t="shared" ref="F121:G121" si="43">SUM(F117:F120)</f>
        <v>20870.270270270274</v>
      </c>
      <c r="G121" s="176">
        <f t="shared" si="43"/>
        <v>31621.621621621623</v>
      </c>
    </row>
    <row r="122" spans="1:7" ht="15" thickBot="1" x14ac:dyDescent="0.35">
      <c r="A122" s="182" t="s">
        <v>339</v>
      </c>
      <c r="B122" s="183"/>
      <c r="C122" s="184">
        <f>C113+C115+C121</f>
        <v>60321.621621621627</v>
      </c>
      <c r="D122" s="184">
        <f>D113+D115+D121</f>
        <v>70966.613672496038</v>
      </c>
      <c r="E122" s="184">
        <f>E113+E115+E121</f>
        <v>91396.39639639642</v>
      </c>
      <c r="F122" s="184">
        <f>F113+F115+F121</f>
        <v>120643.24324324325</v>
      </c>
      <c r="G122" s="185">
        <f>G113+G115+G121</f>
        <v>182792.79279279284</v>
      </c>
    </row>
    <row r="125" spans="1:7" x14ac:dyDescent="0.3">
      <c r="C125" s="72"/>
      <c r="D125" s="72"/>
      <c r="E125" s="72"/>
      <c r="F125" s="72"/>
      <c r="G125" s="72"/>
    </row>
    <row r="126" spans="1:7" x14ac:dyDescent="0.3">
      <c r="B126" s="55"/>
      <c r="F126" s="186"/>
    </row>
    <row r="127" spans="1:7" x14ac:dyDescent="0.3">
      <c r="B127" s="55"/>
    </row>
  </sheetData>
  <mergeCells count="16">
    <mergeCell ref="A1:D9"/>
    <mergeCell ref="F1:G7"/>
    <mergeCell ref="B37:H37"/>
    <mergeCell ref="I37:I38"/>
    <mergeCell ref="B51:H51"/>
    <mergeCell ref="I51:I52"/>
    <mergeCell ref="K78:K79"/>
    <mergeCell ref="A92:I92"/>
    <mergeCell ref="C93:G93"/>
    <mergeCell ref="H93:I93"/>
    <mergeCell ref="K93:K94"/>
    <mergeCell ref="A110:A112"/>
    <mergeCell ref="A117:A120"/>
    <mergeCell ref="A77:I77"/>
    <mergeCell ref="C78:G78"/>
    <mergeCell ref="H78:I7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4"/>
  <sheetViews>
    <sheetView zoomScale="80" zoomScaleNormal="80" workbookViewId="0">
      <selection activeCell="E46" sqref="E46"/>
    </sheetView>
  </sheetViews>
  <sheetFormatPr defaultColWidth="9.109375" defaultRowHeight="14.4" x14ac:dyDescent="0.3"/>
  <cols>
    <col min="2" max="2" width="18.44140625" customWidth="1"/>
    <col min="3" max="3" width="30.33203125" bestFit="1" customWidth="1"/>
    <col min="4" max="4" width="27.44140625" bestFit="1" customWidth="1"/>
    <col min="5" max="5" width="21.88671875" bestFit="1" customWidth="1"/>
    <col min="6" max="6" width="16.44140625" customWidth="1"/>
    <col min="7" max="7" width="17.5546875" customWidth="1"/>
    <col min="8" max="8" width="15.33203125" customWidth="1"/>
    <col min="9" max="9" width="12.6640625" bestFit="1" customWidth="1"/>
    <col min="10" max="10" width="11.5546875" bestFit="1" customWidth="1"/>
    <col min="11" max="11" width="10.44140625" bestFit="1" customWidth="1"/>
  </cols>
  <sheetData>
    <row r="1" spans="2:11" ht="30" customHeight="1" x14ac:dyDescent="0.3">
      <c r="B1" s="512" t="s">
        <v>342</v>
      </c>
      <c r="C1" s="512"/>
      <c r="D1" s="512"/>
      <c r="E1" s="512"/>
      <c r="F1" s="512"/>
      <c r="G1" s="512"/>
      <c r="H1" s="512"/>
      <c r="I1" s="512"/>
      <c r="J1" s="512"/>
      <c r="K1" s="512"/>
    </row>
    <row r="2" spans="2:11" ht="35.25" customHeight="1" thickBot="1" x14ac:dyDescent="0.35">
      <c r="B2" s="513"/>
      <c r="C2" s="513"/>
      <c r="D2" s="513"/>
      <c r="E2" s="513"/>
      <c r="F2" s="513"/>
      <c r="G2" s="513"/>
      <c r="H2" s="513"/>
      <c r="I2" s="513"/>
      <c r="J2" s="513"/>
      <c r="K2" s="513"/>
    </row>
    <row r="3" spans="2:11" x14ac:dyDescent="0.3">
      <c r="B3" s="166" t="s">
        <v>271</v>
      </c>
      <c r="C3" s="167" t="s">
        <v>343</v>
      </c>
      <c r="D3" s="167" t="s">
        <v>344</v>
      </c>
      <c r="E3" s="167" t="s">
        <v>345</v>
      </c>
      <c r="F3" s="167" t="s">
        <v>346</v>
      </c>
      <c r="G3" s="167" t="s">
        <v>347</v>
      </c>
      <c r="H3" s="167" t="s">
        <v>348</v>
      </c>
      <c r="I3" s="167" t="s">
        <v>349</v>
      </c>
      <c r="J3" s="167" t="s">
        <v>350</v>
      </c>
      <c r="K3" s="191" t="s">
        <v>351</v>
      </c>
    </row>
    <row r="4" spans="2:11" x14ac:dyDescent="0.3">
      <c r="B4" s="192" t="s">
        <v>273</v>
      </c>
      <c r="C4" s="193">
        <v>2467</v>
      </c>
      <c r="D4" s="194">
        <f>800/365</f>
        <v>2.1917808219178081</v>
      </c>
      <c r="E4" s="193">
        <f t="shared" ref="E4:E10" si="0">D4*C4*365</f>
        <v>1973600</v>
      </c>
      <c r="F4" s="193">
        <f t="shared" ref="F4:F10" si="1">(E4*$C$27)/$D$27/0.8</f>
        <v>18335.81081081081</v>
      </c>
      <c r="G4" s="193">
        <f t="shared" ref="G4:G10" si="2">(E4*$C$28)/$D$28/0.8</f>
        <v>47673.108108108114</v>
      </c>
      <c r="H4" s="193">
        <f t="shared" ref="H4:H10" si="3">(E4*$C$29)/$D$29/0.8</f>
        <v>7334.3243243243251</v>
      </c>
      <c r="I4" s="193">
        <f t="shared" ref="I4:I10" si="4">(E4*$C$31)/$D$31/0.8</f>
        <v>11087.6404494382</v>
      </c>
      <c r="J4" s="193">
        <f t="shared" ref="J4:J10" si="5">(E4*$C$32)/$D$32/0.8</f>
        <v>49340</v>
      </c>
      <c r="K4" s="195">
        <f t="shared" ref="K4:K10" si="6">(E4*$C$33)/$D$33/0.8</f>
        <v>104763.01369863014</v>
      </c>
    </row>
    <row r="5" spans="2:11" x14ac:dyDescent="0.3">
      <c r="B5" s="192" t="s">
        <v>352</v>
      </c>
      <c r="C5" s="193">
        <v>10000</v>
      </c>
      <c r="D5" s="196">
        <v>1.25</v>
      </c>
      <c r="E5" s="193">
        <f t="shared" si="0"/>
        <v>4562500</v>
      </c>
      <c r="F5" s="193">
        <f t="shared" si="1"/>
        <v>42388.091216216213</v>
      </c>
      <c r="G5" s="193">
        <f t="shared" si="2"/>
        <v>110209.03716216217</v>
      </c>
      <c r="H5" s="193">
        <f t="shared" si="3"/>
        <v>16955.236486486487</v>
      </c>
      <c r="I5" s="193">
        <f t="shared" si="4"/>
        <v>25632.022471910113</v>
      </c>
      <c r="J5" s="193">
        <f t="shared" si="5"/>
        <v>114062.50000000001</v>
      </c>
      <c r="K5" s="195">
        <f t="shared" si="6"/>
        <v>242187.5</v>
      </c>
    </row>
    <row r="6" spans="2:11" x14ac:dyDescent="0.3">
      <c r="B6" s="127" t="s">
        <v>278</v>
      </c>
      <c r="C6" s="128">
        <v>400</v>
      </c>
      <c r="D6" s="196">
        <v>1.75</v>
      </c>
      <c r="E6" s="193">
        <f t="shared" si="0"/>
        <v>255500</v>
      </c>
      <c r="F6" s="193">
        <f t="shared" si="1"/>
        <v>2373.7331081081079</v>
      </c>
      <c r="G6" s="193">
        <f t="shared" si="2"/>
        <v>6171.7060810810817</v>
      </c>
      <c r="H6" s="193">
        <f t="shared" si="3"/>
        <v>949.49324324324334</v>
      </c>
      <c r="I6" s="193">
        <f t="shared" si="4"/>
        <v>1435.3932584269662</v>
      </c>
      <c r="J6" s="193">
        <f t="shared" si="5"/>
        <v>6387.5</v>
      </c>
      <c r="K6" s="195">
        <f t="shared" si="6"/>
        <v>13562.5</v>
      </c>
    </row>
    <row r="7" spans="2:11" x14ac:dyDescent="0.3">
      <c r="B7" s="127" t="s">
        <v>279</v>
      </c>
      <c r="C7" s="128">
        <v>250</v>
      </c>
      <c r="D7" s="196">
        <v>1.75</v>
      </c>
      <c r="E7" s="193">
        <f t="shared" si="0"/>
        <v>159687.5</v>
      </c>
      <c r="F7" s="193">
        <f t="shared" si="1"/>
        <v>1483.5831925675673</v>
      </c>
      <c r="G7" s="193">
        <f t="shared" si="2"/>
        <v>3857.3163006756758</v>
      </c>
      <c r="H7" s="193">
        <f t="shared" si="3"/>
        <v>593.43327702702709</v>
      </c>
      <c r="I7" s="193">
        <f t="shared" si="4"/>
        <v>897.12078651685385</v>
      </c>
      <c r="J7" s="193">
        <f t="shared" si="5"/>
        <v>3992.1875000000005</v>
      </c>
      <c r="K7" s="195">
        <f t="shared" si="6"/>
        <v>8476.5625</v>
      </c>
    </row>
    <row r="8" spans="2:11" x14ac:dyDescent="0.3">
      <c r="B8" s="197" t="s">
        <v>267</v>
      </c>
      <c r="C8" s="198">
        <v>2900</v>
      </c>
      <c r="D8" s="199">
        <v>2</v>
      </c>
      <c r="E8" s="198">
        <f t="shared" si="0"/>
        <v>2117000</v>
      </c>
      <c r="F8" s="198">
        <f t="shared" si="1"/>
        <v>19668.074324324323</v>
      </c>
      <c r="G8" s="198">
        <f t="shared" si="2"/>
        <v>51136.993243243247</v>
      </c>
      <c r="H8" s="198">
        <f t="shared" si="3"/>
        <v>7867.22972972973</v>
      </c>
      <c r="I8" s="198">
        <f t="shared" si="4"/>
        <v>11893.258426966291</v>
      </c>
      <c r="J8" s="198">
        <f t="shared" si="5"/>
        <v>52925</v>
      </c>
      <c r="K8" s="200">
        <f t="shared" si="6"/>
        <v>112375</v>
      </c>
    </row>
    <row r="9" spans="2:11" x14ac:dyDescent="0.3">
      <c r="B9" s="192" t="s">
        <v>353</v>
      </c>
      <c r="C9" s="193">
        <v>1500</v>
      </c>
      <c r="D9" s="194">
        <v>1.25</v>
      </c>
      <c r="E9" s="193">
        <f t="shared" si="0"/>
        <v>684375</v>
      </c>
      <c r="F9" s="193">
        <f t="shared" si="1"/>
        <v>6358.2136824324334</v>
      </c>
      <c r="G9" s="193">
        <f t="shared" si="2"/>
        <v>16531.355574324327</v>
      </c>
      <c r="H9" s="193">
        <f t="shared" si="3"/>
        <v>2543.2854729729734</v>
      </c>
      <c r="I9" s="193">
        <f t="shared" si="4"/>
        <v>3844.8033707865161</v>
      </c>
      <c r="J9" s="193">
        <f t="shared" si="5"/>
        <v>17109.375</v>
      </c>
      <c r="K9" s="195">
        <f t="shared" si="6"/>
        <v>36328.125</v>
      </c>
    </row>
    <row r="10" spans="2:11" x14ac:dyDescent="0.3">
      <c r="B10" s="137" t="s">
        <v>354</v>
      </c>
      <c r="C10" s="201">
        <v>5000</v>
      </c>
      <c r="D10" s="202">
        <v>1.75</v>
      </c>
      <c r="E10" s="198">
        <f t="shared" si="0"/>
        <v>3193750</v>
      </c>
      <c r="F10" s="198">
        <f t="shared" si="1"/>
        <v>29671.663851351354</v>
      </c>
      <c r="G10" s="198">
        <f t="shared" si="2"/>
        <v>77146.326013513521</v>
      </c>
      <c r="H10" s="198">
        <f t="shared" si="3"/>
        <v>11868.665540540542</v>
      </c>
      <c r="I10" s="198">
        <f t="shared" si="4"/>
        <v>17942.415730337078</v>
      </c>
      <c r="J10" s="198">
        <f t="shared" si="5"/>
        <v>79843.75</v>
      </c>
      <c r="K10" s="200">
        <f t="shared" si="6"/>
        <v>169531.25</v>
      </c>
    </row>
    <row r="11" spans="2:11" x14ac:dyDescent="0.3">
      <c r="B11" s="203" t="s">
        <v>355</v>
      </c>
      <c r="C11" s="514" t="s">
        <v>356</v>
      </c>
      <c r="D11" s="514"/>
      <c r="E11" s="204">
        <f>0.125*SUM(E4:E10)</f>
        <v>1618301.5625</v>
      </c>
      <c r="F11" s="204">
        <f t="shared" ref="F11:K11" si="7">0.125*SUM(F4:F10)</f>
        <v>15034.896273226354</v>
      </c>
      <c r="G11" s="204">
        <f t="shared" si="7"/>
        <v>39090.730310388521</v>
      </c>
      <c r="H11" s="204">
        <f t="shared" si="7"/>
        <v>6013.9585092905409</v>
      </c>
      <c r="I11" s="204">
        <f t="shared" si="7"/>
        <v>9091.5818117977524</v>
      </c>
      <c r="J11" s="204">
        <f t="shared" si="7"/>
        <v>40457.5390625</v>
      </c>
      <c r="K11" s="204">
        <f t="shared" si="7"/>
        <v>85902.993899828769</v>
      </c>
    </row>
    <row r="12" spans="2:11" ht="15" thickBot="1" x14ac:dyDescent="0.35">
      <c r="B12" s="182" t="s">
        <v>259</v>
      </c>
      <c r="C12" s="205"/>
      <c r="D12" s="205"/>
      <c r="E12" s="206">
        <f t="shared" ref="E12:K12" si="8">SUM(E4:E11)</f>
        <v>14564714.0625</v>
      </c>
      <c r="F12" s="206">
        <f t="shared" si="8"/>
        <v>135314.06645903719</v>
      </c>
      <c r="G12" s="206">
        <f t="shared" si="8"/>
        <v>351816.57279349666</v>
      </c>
      <c r="H12" s="206">
        <f t="shared" si="8"/>
        <v>54125.626583614867</v>
      </c>
      <c r="I12" s="206">
        <f t="shared" si="8"/>
        <v>81824.236306179766</v>
      </c>
      <c r="J12" s="206">
        <f t="shared" si="8"/>
        <v>364117.8515625</v>
      </c>
      <c r="K12" s="207">
        <f t="shared" si="8"/>
        <v>773126.94509845891</v>
      </c>
    </row>
    <row r="13" spans="2:11" x14ac:dyDescent="0.3">
      <c r="F13" s="50"/>
      <c r="G13" s="50"/>
      <c r="H13" s="50"/>
    </row>
    <row r="14" spans="2:11" ht="15" thickBot="1" x14ac:dyDescent="0.35">
      <c r="B14" t="s">
        <v>357</v>
      </c>
      <c r="F14" s="50"/>
      <c r="G14" s="50"/>
      <c r="H14" s="50"/>
    </row>
    <row r="15" spans="2:11" x14ac:dyDescent="0.3">
      <c r="B15" s="78" t="s">
        <v>358</v>
      </c>
      <c r="C15" s="86" t="s">
        <v>346</v>
      </c>
      <c r="D15" s="86" t="s">
        <v>347</v>
      </c>
      <c r="E15" s="168" t="s">
        <v>348</v>
      </c>
      <c r="F15" s="208" t="s">
        <v>349</v>
      </c>
      <c r="G15" s="208" t="s">
        <v>350</v>
      </c>
      <c r="H15" s="209" t="s">
        <v>351</v>
      </c>
    </row>
    <row r="16" spans="2:11" x14ac:dyDescent="0.3">
      <c r="B16" s="210">
        <v>0.05</v>
      </c>
      <c r="C16" s="211">
        <f>F$12*$B$16</f>
        <v>6765.7033229518602</v>
      </c>
      <c r="D16" s="211">
        <f t="shared" ref="D16:H16" si="9">G$12*$B$16</f>
        <v>17590.828639674834</v>
      </c>
      <c r="E16" s="212">
        <f t="shared" si="9"/>
        <v>2706.2813291807433</v>
      </c>
      <c r="F16" s="211">
        <f t="shared" si="9"/>
        <v>4091.2118153089887</v>
      </c>
      <c r="G16" s="211">
        <f t="shared" si="9"/>
        <v>18205.892578125</v>
      </c>
      <c r="H16" s="213">
        <f t="shared" si="9"/>
        <v>38656.347254922948</v>
      </c>
    </row>
    <row r="17" spans="2:12" x14ac:dyDescent="0.3">
      <c r="B17" s="210">
        <v>0.1</v>
      </c>
      <c r="C17" s="211">
        <f>F$12*$B$17</f>
        <v>13531.40664590372</v>
      </c>
      <c r="D17" s="211">
        <f t="shared" ref="D17:H17" si="10">G$12*$B$17</f>
        <v>35181.657279349667</v>
      </c>
      <c r="E17" s="212">
        <f t="shared" si="10"/>
        <v>5412.5626583614867</v>
      </c>
      <c r="F17" s="211">
        <f t="shared" si="10"/>
        <v>8182.4236306179773</v>
      </c>
      <c r="G17" s="211">
        <f t="shared" si="10"/>
        <v>36411.78515625</v>
      </c>
      <c r="H17" s="213">
        <f t="shared" si="10"/>
        <v>77312.694509845896</v>
      </c>
    </row>
    <row r="18" spans="2:12" x14ac:dyDescent="0.3">
      <c r="B18" s="210">
        <v>0.25</v>
      </c>
      <c r="C18" s="211">
        <f>F$12*$B$18</f>
        <v>33828.516614759297</v>
      </c>
      <c r="D18" s="211">
        <f t="shared" ref="D18:H18" si="11">G$12*$B$18</f>
        <v>87954.143198374164</v>
      </c>
      <c r="E18" s="212">
        <f t="shared" si="11"/>
        <v>13531.406645903717</v>
      </c>
      <c r="F18" s="211">
        <f t="shared" si="11"/>
        <v>20456.059076544941</v>
      </c>
      <c r="G18" s="211">
        <f t="shared" si="11"/>
        <v>91029.462890625</v>
      </c>
      <c r="H18" s="213">
        <f t="shared" si="11"/>
        <v>193281.73627461473</v>
      </c>
    </row>
    <row r="19" spans="2:12" x14ac:dyDescent="0.3">
      <c r="B19" s="210">
        <v>0.33</v>
      </c>
      <c r="C19" s="211">
        <f>F$12*$B$19</f>
        <v>44653.641931482278</v>
      </c>
      <c r="D19" s="211">
        <f t="shared" ref="D19:H19" si="12">G$12*$B$19</f>
        <v>116099.4690218539</v>
      </c>
      <c r="E19" s="212">
        <f t="shared" si="12"/>
        <v>17861.456772592908</v>
      </c>
      <c r="F19" s="211">
        <f t="shared" si="12"/>
        <v>27001.997981039323</v>
      </c>
      <c r="G19" s="211">
        <f t="shared" si="12"/>
        <v>120158.89101562501</v>
      </c>
      <c r="H19" s="213">
        <f t="shared" si="12"/>
        <v>255131.89188249144</v>
      </c>
    </row>
    <row r="20" spans="2:12" x14ac:dyDescent="0.3">
      <c r="B20" s="210">
        <v>0.5</v>
      </c>
      <c r="C20" s="211">
        <f>F$12*$B$20</f>
        <v>67657.033229518594</v>
      </c>
      <c r="D20" s="211">
        <f t="shared" ref="D20:H20" si="13">G$12*$B$20</f>
        <v>175908.28639674833</v>
      </c>
      <c r="E20" s="212">
        <f t="shared" si="13"/>
        <v>27062.813291807433</v>
      </c>
      <c r="F20" s="211">
        <f t="shared" si="13"/>
        <v>40912.118153089883</v>
      </c>
      <c r="G20" s="211">
        <f t="shared" si="13"/>
        <v>182058.92578125</v>
      </c>
      <c r="H20" s="213">
        <f t="shared" si="13"/>
        <v>386563.47254922945</v>
      </c>
    </row>
    <row r="21" spans="2:12" x14ac:dyDescent="0.3">
      <c r="B21" s="210">
        <v>0.75</v>
      </c>
      <c r="C21" s="211">
        <f>F$12*$B$21</f>
        <v>101485.54984427789</v>
      </c>
      <c r="D21" s="211">
        <f t="shared" ref="D21:H21" si="14">G$12*$B$21</f>
        <v>263862.42959512246</v>
      </c>
      <c r="E21" s="212">
        <f t="shared" si="14"/>
        <v>40594.219937711154</v>
      </c>
      <c r="F21" s="211">
        <f t="shared" si="14"/>
        <v>61368.177229634821</v>
      </c>
      <c r="G21" s="211">
        <f t="shared" si="14"/>
        <v>273088.388671875</v>
      </c>
      <c r="H21" s="213">
        <f t="shared" si="14"/>
        <v>579845.20882384421</v>
      </c>
    </row>
    <row r="22" spans="2:12" ht="15" thickBot="1" x14ac:dyDescent="0.35">
      <c r="B22" s="214">
        <v>1</v>
      </c>
      <c r="C22" s="215">
        <f>F$12*$B$22</f>
        <v>135314.06645903719</v>
      </c>
      <c r="D22" s="215">
        <f t="shared" ref="D22:H22" si="15">G$12*$B$22</f>
        <v>351816.57279349666</v>
      </c>
      <c r="E22" s="216">
        <f t="shared" si="15"/>
        <v>54125.626583614867</v>
      </c>
      <c r="F22" s="215">
        <f t="shared" si="15"/>
        <v>81824.236306179766</v>
      </c>
      <c r="G22" s="215">
        <f t="shared" si="15"/>
        <v>364117.8515625</v>
      </c>
      <c r="H22" s="217">
        <f t="shared" si="15"/>
        <v>773126.94509845891</v>
      </c>
    </row>
    <row r="23" spans="2:12" x14ac:dyDescent="0.3">
      <c r="F23" s="50"/>
      <c r="G23" s="50"/>
      <c r="H23" s="50"/>
    </row>
    <row r="25" spans="2:12" ht="15" thickBot="1" x14ac:dyDescent="0.35">
      <c r="B25" t="s">
        <v>282</v>
      </c>
    </row>
    <row r="26" spans="2:12" x14ac:dyDescent="0.3">
      <c r="B26" s="78" t="s">
        <v>95</v>
      </c>
      <c r="C26" s="86" t="s">
        <v>283</v>
      </c>
      <c r="D26" s="79" t="s">
        <v>284</v>
      </c>
      <c r="F26" s="218"/>
      <c r="G26" s="218"/>
      <c r="H26" s="218"/>
      <c r="I26" s="218"/>
      <c r="J26" s="218"/>
      <c r="K26" s="218"/>
      <c r="L26" s="54"/>
    </row>
    <row r="27" spans="2:12" x14ac:dyDescent="0.3">
      <c r="B27" s="89" t="s">
        <v>288</v>
      </c>
      <c r="C27" s="90">
        <f>0.25*C30</f>
        <v>0.13750000000000001</v>
      </c>
      <c r="D27" s="219">
        <v>18.5</v>
      </c>
      <c r="F27" s="218"/>
      <c r="G27" s="218"/>
      <c r="H27" s="218"/>
      <c r="I27" s="218"/>
      <c r="J27" s="218"/>
      <c r="K27" s="218"/>
      <c r="L27" s="55"/>
    </row>
    <row r="28" spans="2:12" x14ac:dyDescent="0.3">
      <c r="B28" s="89" t="s">
        <v>290</v>
      </c>
      <c r="C28" s="90">
        <f>0.65*C30</f>
        <v>0.35750000000000004</v>
      </c>
      <c r="D28" s="219">
        <v>18.5</v>
      </c>
      <c r="F28" s="50"/>
      <c r="G28" s="50"/>
      <c r="H28" s="50"/>
    </row>
    <row r="29" spans="2:12" x14ac:dyDescent="0.3">
      <c r="B29" s="89" t="s">
        <v>292</v>
      </c>
      <c r="C29" s="90">
        <f>0.1*C30</f>
        <v>5.5000000000000007E-2</v>
      </c>
      <c r="D29" s="219">
        <v>18.5</v>
      </c>
      <c r="F29" s="50"/>
      <c r="G29" s="50"/>
      <c r="H29" s="50"/>
    </row>
    <row r="30" spans="2:12" x14ac:dyDescent="0.3">
      <c r="B30" s="80" t="s">
        <v>294</v>
      </c>
      <c r="C30" s="53">
        <v>0.55000000000000004</v>
      </c>
      <c r="D30" s="220">
        <v>18.5</v>
      </c>
      <c r="F30" s="50"/>
      <c r="G30" s="50"/>
      <c r="H30" s="50"/>
    </row>
    <row r="31" spans="2:12" x14ac:dyDescent="0.3">
      <c r="B31" s="80" t="s">
        <v>295</v>
      </c>
      <c r="C31" s="53">
        <v>0.04</v>
      </c>
      <c r="D31" s="220">
        <v>8.9</v>
      </c>
      <c r="F31" s="50"/>
      <c r="G31" s="50"/>
      <c r="H31" s="50"/>
    </row>
    <row r="32" spans="2:12" x14ac:dyDescent="0.3">
      <c r="B32" s="80" t="s">
        <v>296</v>
      </c>
      <c r="C32" s="53">
        <v>7.0000000000000007E-2</v>
      </c>
      <c r="D32" s="220">
        <v>3.5</v>
      </c>
      <c r="F32" s="50"/>
      <c r="G32" s="50"/>
      <c r="H32" s="50"/>
    </row>
    <row r="33" spans="2:8" x14ac:dyDescent="0.3">
      <c r="B33" s="82" t="s">
        <v>297</v>
      </c>
      <c r="C33" s="98">
        <v>0.31</v>
      </c>
      <c r="D33" s="221">
        <v>7.3</v>
      </c>
      <c r="F33" s="50"/>
      <c r="G33" s="50"/>
      <c r="H33" s="50"/>
    </row>
    <row r="34" spans="2:8" ht="15" thickBot="1" x14ac:dyDescent="0.35">
      <c r="B34" s="84" t="s">
        <v>259</v>
      </c>
      <c r="C34" s="100">
        <f>SUM(C30:C33)</f>
        <v>0.9700000000000002</v>
      </c>
      <c r="D34" s="222"/>
      <c r="F34" s="50"/>
      <c r="G34" s="50"/>
      <c r="H34" s="50"/>
    </row>
  </sheetData>
  <mergeCells count="2">
    <mergeCell ref="B1:K2"/>
    <mergeCell ref="C11:D1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24"/>
  <sheetViews>
    <sheetView workbookViewId="0">
      <selection activeCell="F36" sqref="F36"/>
    </sheetView>
  </sheetViews>
  <sheetFormatPr defaultRowHeight="14.4" x14ac:dyDescent="0.3"/>
  <cols>
    <col min="1" max="1" width="15.33203125" customWidth="1"/>
    <col min="2" max="2" width="15.44140625" customWidth="1"/>
    <col min="3" max="3" width="1.33203125" customWidth="1"/>
    <col min="7" max="7" width="13.88671875" customWidth="1"/>
    <col min="8" max="8" width="14.33203125" customWidth="1"/>
  </cols>
  <sheetData>
    <row r="2" spans="1:11" x14ac:dyDescent="0.3">
      <c r="D2" t="s">
        <v>255</v>
      </c>
      <c r="E2" t="s">
        <v>8</v>
      </c>
      <c r="G2" t="s">
        <v>263</v>
      </c>
      <c r="H2" s="53" t="s">
        <v>262</v>
      </c>
      <c r="I2" t="s">
        <v>9</v>
      </c>
      <c r="J2" t="s">
        <v>256</v>
      </c>
      <c r="K2" t="s">
        <v>11</v>
      </c>
    </row>
    <row r="3" spans="1:11" x14ac:dyDescent="0.3">
      <c r="A3" t="s">
        <v>253</v>
      </c>
      <c r="B3" t="s">
        <v>13</v>
      </c>
      <c r="H3" s="72">
        <v>30000</v>
      </c>
    </row>
    <row r="4" spans="1:11" x14ac:dyDescent="0.3">
      <c r="B4" t="s">
        <v>14</v>
      </c>
    </row>
    <row r="5" spans="1:11" x14ac:dyDescent="0.3">
      <c r="B5" t="s">
        <v>15</v>
      </c>
    </row>
    <row r="6" spans="1:11" x14ac:dyDescent="0.3">
      <c r="B6" t="s">
        <v>80</v>
      </c>
    </row>
    <row r="7" spans="1:11" x14ac:dyDescent="0.3">
      <c r="B7" t="s">
        <v>16</v>
      </c>
    </row>
    <row r="8" spans="1:11" x14ac:dyDescent="0.3">
      <c r="B8" t="s">
        <v>259</v>
      </c>
    </row>
    <row r="10" spans="1:11" x14ac:dyDescent="0.3">
      <c r="A10" t="s">
        <v>254</v>
      </c>
      <c r="B10" t="s">
        <v>13</v>
      </c>
    </row>
    <row r="11" spans="1:11" x14ac:dyDescent="0.3">
      <c r="B11" t="s">
        <v>14</v>
      </c>
    </row>
    <row r="12" spans="1:11" x14ac:dyDescent="0.3">
      <c r="B12" t="s">
        <v>15</v>
      </c>
    </row>
    <row r="13" spans="1:11" x14ac:dyDescent="0.3">
      <c r="B13" t="s">
        <v>80</v>
      </c>
    </row>
    <row r="14" spans="1:11" x14ac:dyDescent="0.3">
      <c r="B14" t="s">
        <v>16</v>
      </c>
    </row>
    <row r="15" spans="1:11" x14ac:dyDescent="0.3">
      <c r="B15" t="s">
        <v>259</v>
      </c>
      <c r="G15" s="50">
        <v>60000</v>
      </c>
      <c r="H15" s="73">
        <v>43500</v>
      </c>
    </row>
    <row r="16" spans="1:11" x14ac:dyDescent="0.3">
      <c r="H16" s="74"/>
    </row>
    <row r="17" spans="4:10" x14ac:dyDescent="0.3">
      <c r="H17" s="74"/>
    </row>
    <row r="18" spans="4:10" x14ac:dyDescent="0.3">
      <c r="H18" s="74"/>
    </row>
    <row r="20" spans="4:10" x14ac:dyDescent="0.3">
      <c r="F20" t="s">
        <v>436</v>
      </c>
      <c r="G20" t="s">
        <v>437</v>
      </c>
      <c r="H20" t="s">
        <v>9</v>
      </c>
      <c r="I20" t="s">
        <v>10</v>
      </c>
      <c r="J20" t="s">
        <v>11</v>
      </c>
    </row>
    <row r="21" spans="4:10" x14ac:dyDescent="0.3">
      <c r="D21" s="515" t="s">
        <v>265</v>
      </c>
      <c r="E21" s="244" t="s">
        <v>266</v>
      </c>
      <c r="F21" s="358">
        <v>0</v>
      </c>
      <c r="G21" s="245">
        <f>HistoricAbund.!F110</f>
        <v>2408.1081081081084</v>
      </c>
      <c r="H21" s="246">
        <v>500</v>
      </c>
      <c r="I21" s="246">
        <v>5000</v>
      </c>
      <c r="J21" s="247">
        <f>1.5*I21</f>
        <v>7500</v>
      </c>
    </row>
    <row r="22" spans="4:10" x14ac:dyDescent="0.3">
      <c r="D22" s="515"/>
      <c r="E22" s="244" t="s">
        <v>340</v>
      </c>
      <c r="F22" s="358">
        <v>0</v>
      </c>
      <c r="G22" s="245">
        <f>HistoricAbund.!F111</f>
        <v>19288.64864864865</v>
      </c>
      <c r="H22" s="246">
        <v>1000</v>
      </c>
      <c r="I22" s="246">
        <f>10000</f>
        <v>10000</v>
      </c>
      <c r="J22" s="247">
        <f>1.5*I22</f>
        <v>15000</v>
      </c>
    </row>
    <row r="23" spans="4:10" x14ac:dyDescent="0.3">
      <c r="D23" s="516"/>
      <c r="E23" s="244" t="s">
        <v>267</v>
      </c>
      <c r="F23" s="358">
        <v>0</v>
      </c>
      <c r="G23" s="248">
        <f>HistoricAbund.!F114</f>
        <v>8918.9189189189201</v>
      </c>
      <c r="H23" s="246">
        <v>500</v>
      </c>
      <c r="I23" s="246">
        <v>765</v>
      </c>
      <c r="J23" s="247">
        <f>1.5*I23</f>
        <v>1147.5</v>
      </c>
    </row>
    <row r="24" spans="4:10" x14ac:dyDescent="0.3">
      <c r="G24" s="72">
        <f>SUM(G21:G23)</f>
        <v>30615.67567567568</v>
      </c>
      <c r="H24" s="72">
        <f t="shared" ref="H24:J24" si="0">SUM(H21:H23)</f>
        <v>2000</v>
      </c>
      <c r="I24" s="72">
        <f t="shared" si="0"/>
        <v>15765</v>
      </c>
      <c r="J24" s="72">
        <f t="shared" si="0"/>
        <v>23647.5</v>
      </c>
    </row>
  </sheetData>
  <mergeCells count="1">
    <mergeCell ref="D21:D23"/>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P71"/>
  <sheetViews>
    <sheetView zoomScale="70" zoomScaleNormal="70" workbookViewId="0">
      <selection activeCell="C24" sqref="C24"/>
    </sheetView>
  </sheetViews>
  <sheetFormatPr defaultRowHeight="14.4" x14ac:dyDescent="0.3"/>
  <cols>
    <col min="1" max="1" width="3.88671875" customWidth="1"/>
    <col min="2" max="2" width="18.77734375" customWidth="1"/>
    <col min="3" max="3" width="8.44140625" customWidth="1"/>
    <col min="4" max="4" width="8.77734375" customWidth="1"/>
    <col min="5" max="5" width="8.6640625" customWidth="1"/>
    <col min="6" max="8" width="6.77734375" customWidth="1"/>
  </cols>
  <sheetData>
    <row r="1" spans="2:37" x14ac:dyDescent="0.3">
      <c r="I1" t="s">
        <v>42</v>
      </c>
    </row>
    <row r="2" spans="2:37" x14ac:dyDescent="0.3">
      <c r="I2" t="s">
        <v>43</v>
      </c>
      <c r="J2" t="s">
        <v>44</v>
      </c>
    </row>
    <row r="3" spans="2:37" x14ac:dyDescent="0.3">
      <c r="I3" s="25" t="s">
        <v>45</v>
      </c>
      <c r="J3" s="26" t="s">
        <v>46</v>
      </c>
      <c r="K3" s="27" t="s">
        <v>47</v>
      </c>
      <c r="L3" s="28"/>
      <c r="M3" s="29" t="s">
        <v>48</v>
      </c>
      <c r="N3" s="30"/>
      <c r="O3" s="548" t="s">
        <v>49</v>
      </c>
      <c r="P3" s="549"/>
      <c r="Q3" s="550" t="s">
        <v>50</v>
      </c>
      <c r="R3" s="551"/>
      <c r="S3" s="550" t="s">
        <v>51</v>
      </c>
      <c r="T3" s="551"/>
      <c r="U3" s="31" t="s">
        <v>52</v>
      </c>
      <c r="V3" s="32" t="s">
        <v>53</v>
      </c>
      <c r="W3" s="33" t="s">
        <v>49</v>
      </c>
      <c r="X3" s="552" t="s">
        <v>54</v>
      </c>
      <c r="Y3" s="553"/>
      <c r="Z3" s="552" t="s">
        <v>55</v>
      </c>
      <c r="AA3" s="553"/>
      <c r="AB3" s="552" t="s">
        <v>56</v>
      </c>
      <c r="AC3" s="553"/>
      <c r="AD3" s="28"/>
      <c r="AE3" s="545" t="s">
        <v>33</v>
      </c>
      <c r="AF3" s="545"/>
      <c r="AG3" s="30"/>
      <c r="AH3" s="546" t="s">
        <v>57</v>
      </c>
      <c r="AI3" s="34"/>
      <c r="AJ3" s="34" t="s">
        <v>17</v>
      </c>
      <c r="AK3" s="34"/>
    </row>
    <row r="4" spans="2:37" ht="28.8" x14ac:dyDescent="0.3">
      <c r="C4" s="399" t="s">
        <v>498</v>
      </c>
      <c r="D4" s="400"/>
      <c r="I4" s="35" t="s">
        <v>58</v>
      </c>
      <c r="J4" s="36" t="s">
        <v>59</v>
      </c>
      <c r="K4" s="37" t="s">
        <v>60</v>
      </c>
      <c r="L4" s="38" t="s">
        <v>61</v>
      </c>
      <c r="M4" s="39" t="s">
        <v>62</v>
      </c>
      <c r="N4" s="40" t="s">
        <v>63</v>
      </c>
      <c r="O4" s="38" t="s">
        <v>61</v>
      </c>
      <c r="P4" s="40" t="s">
        <v>63</v>
      </c>
      <c r="Q4" s="38" t="s">
        <v>61</v>
      </c>
      <c r="R4" s="40" t="s">
        <v>63</v>
      </c>
      <c r="S4" s="41" t="s">
        <v>61</v>
      </c>
      <c r="T4" s="40" t="s">
        <v>63</v>
      </c>
      <c r="U4" s="41" t="s">
        <v>61</v>
      </c>
      <c r="V4" s="39" t="s">
        <v>62</v>
      </c>
      <c r="W4" s="40" t="s">
        <v>63</v>
      </c>
      <c r="X4" s="41" t="s">
        <v>61</v>
      </c>
      <c r="Y4" s="40" t="s">
        <v>63</v>
      </c>
      <c r="Z4" s="41" t="s">
        <v>61</v>
      </c>
      <c r="AA4" s="40" t="s">
        <v>63</v>
      </c>
      <c r="AB4" s="38" t="s">
        <v>62</v>
      </c>
      <c r="AC4" s="40" t="s">
        <v>63</v>
      </c>
      <c r="AD4" s="41" t="s">
        <v>61</v>
      </c>
      <c r="AE4" s="39" t="s">
        <v>62</v>
      </c>
      <c r="AF4" s="42" t="s">
        <v>63</v>
      </c>
      <c r="AG4" s="40" t="s">
        <v>64</v>
      </c>
      <c r="AH4" s="547"/>
      <c r="AI4" s="34"/>
      <c r="AJ4" s="34" t="s">
        <v>65</v>
      </c>
      <c r="AK4" s="34" t="s">
        <v>66</v>
      </c>
    </row>
    <row r="5" spans="2:37" x14ac:dyDescent="0.3">
      <c r="I5" s="43">
        <v>1988</v>
      </c>
      <c r="J5" s="45">
        <v>112</v>
      </c>
      <c r="K5" s="46">
        <v>2</v>
      </c>
      <c r="L5" s="44" t="s">
        <v>68</v>
      </c>
      <c r="M5" s="44" t="s">
        <v>69</v>
      </c>
      <c r="N5" s="44" t="s">
        <v>67</v>
      </c>
      <c r="O5" s="44" t="s">
        <v>67</v>
      </c>
      <c r="P5" s="44" t="s">
        <v>67</v>
      </c>
      <c r="Q5" s="44" t="s">
        <v>67</v>
      </c>
      <c r="R5" s="44" t="s">
        <v>67</v>
      </c>
      <c r="S5" s="44" t="s">
        <v>67</v>
      </c>
      <c r="T5" s="44" t="s">
        <v>67</v>
      </c>
      <c r="U5" s="44" t="s">
        <v>67</v>
      </c>
      <c r="V5" s="44" t="s">
        <v>67</v>
      </c>
      <c r="W5" s="44" t="s">
        <v>67</v>
      </c>
      <c r="X5" s="44" t="s">
        <v>67</v>
      </c>
      <c r="Y5" s="44" t="s">
        <v>67</v>
      </c>
      <c r="Z5" s="44" t="s">
        <v>67</v>
      </c>
      <c r="AA5" s="44" t="s">
        <v>67</v>
      </c>
      <c r="AB5" s="44" t="s">
        <v>67</v>
      </c>
      <c r="AC5" s="44" t="s">
        <v>67</v>
      </c>
      <c r="AD5" s="44" t="s">
        <v>67</v>
      </c>
      <c r="AE5" s="44" t="s">
        <v>67</v>
      </c>
      <c r="AF5" s="44" t="s">
        <v>67</v>
      </c>
      <c r="AG5" s="44" t="s">
        <v>67</v>
      </c>
      <c r="AH5" s="44" t="s">
        <v>67</v>
      </c>
      <c r="AI5" s="44"/>
      <c r="AJ5" s="44"/>
      <c r="AK5" s="44"/>
    </row>
    <row r="6" spans="2:37" x14ac:dyDescent="0.3">
      <c r="C6" s="53" t="s">
        <v>90</v>
      </c>
      <c r="D6" s="53" t="s">
        <v>91</v>
      </c>
      <c r="E6" s="53" t="s">
        <v>91</v>
      </c>
      <c r="I6" s="43">
        <v>1989</v>
      </c>
      <c r="J6" s="45">
        <v>118</v>
      </c>
      <c r="K6" s="47" t="s">
        <v>70</v>
      </c>
      <c r="L6" s="44" t="s">
        <v>68</v>
      </c>
      <c r="M6" s="44" t="s">
        <v>69</v>
      </c>
      <c r="N6" s="44" t="s">
        <v>67</v>
      </c>
      <c r="O6" s="44" t="s">
        <v>67</v>
      </c>
      <c r="P6" s="44" t="s">
        <v>67</v>
      </c>
      <c r="Q6" s="44" t="s">
        <v>67</v>
      </c>
      <c r="R6" s="44" t="s">
        <v>67</v>
      </c>
      <c r="S6" s="44" t="s">
        <v>67</v>
      </c>
      <c r="T6" s="44" t="s">
        <v>67</v>
      </c>
      <c r="U6" s="44" t="s">
        <v>67</v>
      </c>
      <c r="V6" s="44" t="s">
        <v>67</v>
      </c>
      <c r="W6" s="44" t="s">
        <v>67</v>
      </c>
      <c r="X6" s="44" t="s">
        <v>67</v>
      </c>
      <c r="Y6" s="44" t="s">
        <v>67</v>
      </c>
      <c r="Z6" s="44" t="s">
        <v>67</v>
      </c>
      <c r="AA6" s="44" t="s">
        <v>67</v>
      </c>
      <c r="AB6" s="44" t="s">
        <v>67</v>
      </c>
      <c r="AC6" s="44" t="s">
        <v>67</v>
      </c>
      <c r="AD6" s="44" t="s">
        <v>67</v>
      </c>
      <c r="AE6" s="44" t="s">
        <v>67</v>
      </c>
      <c r="AF6" s="44" t="s">
        <v>67</v>
      </c>
      <c r="AG6" s="44" t="s">
        <v>67</v>
      </c>
      <c r="AH6" s="44" t="s">
        <v>67</v>
      </c>
      <c r="AI6" s="44"/>
      <c r="AJ6" s="44"/>
      <c r="AK6" s="44"/>
    </row>
    <row r="7" spans="2:37" x14ac:dyDescent="0.3">
      <c r="C7" s="53" t="s">
        <v>500</v>
      </c>
      <c r="D7" s="53" t="s">
        <v>499</v>
      </c>
      <c r="E7" t="s">
        <v>501</v>
      </c>
      <c r="I7" s="43">
        <v>1990</v>
      </c>
      <c r="J7" s="45">
        <v>476</v>
      </c>
      <c r="K7" s="47" t="s">
        <v>71</v>
      </c>
      <c r="L7" s="48">
        <v>9.1999999999999998E-2</v>
      </c>
      <c r="M7" s="48">
        <v>8.0000000000000002E-3</v>
      </c>
      <c r="N7" s="48">
        <v>2E-3</v>
      </c>
      <c r="O7" s="48">
        <v>0.05</v>
      </c>
      <c r="P7" s="48">
        <v>0</v>
      </c>
      <c r="Q7" s="48">
        <v>8.7999999999999995E-2</v>
      </c>
      <c r="R7" s="48">
        <v>3.5999999999999997E-2</v>
      </c>
      <c r="S7" s="48">
        <v>0</v>
      </c>
      <c r="T7" s="48">
        <v>0</v>
      </c>
      <c r="U7" s="48">
        <v>4.0000000000000001E-3</v>
      </c>
      <c r="V7" s="48">
        <v>6.0000000000000001E-3</v>
      </c>
      <c r="W7" s="48">
        <v>0</v>
      </c>
      <c r="X7" s="48">
        <v>6.0000000000000001E-3</v>
      </c>
      <c r="Y7" s="48">
        <v>8.0000000000000002E-3</v>
      </c>
      <c r="Z7" s="48">
        <v>0</v>
      </c>
      <c r="AA7" s="48">
        <v>0</v>
      </c>
      <c r="AB7" s="48">
        <v>0</v>
      </c>
      <c r="AC7" s="48">
        <v>0</v>
      </c>
      <c r="AD7" s="48">
        <v>0</v>
      </c>
      <c r="AE7" s="48">
        <v>0.23300000000000001</v>
      </c>
      <c r="AF7" s="48">
        <v>6.3E-2</v>
      </c>
      <c r="AG7" s="48">
        <v>0</v>
      </c>
      <c r="AH7" s="48">
        <v>0.40100000000000002</v>
      </c>
      <c r="AI7" s="48">
        <f>1-AH7</f>
        <v>0.59899999999999998</v>
      </c>
      <c r="AJ7" s="48">
        <f t="shared" ref="AJ7:AJ28" si="0">SUM(AD7:AG7)</f>
        <v>0.29600000000000004</v>
      </c>
      <c r="AK7" s="48">
        <f>AJ7/(AJ7+AH7)</f>
        <v>0.42467718794835008</v>
      </c>
    </row>
    <row r="8" spans="2:37" x14ac:dyDescent="0.3">
      <c r="B8" s="2" t="s">
        <v>82</v>
      </c>
      <c r="D8" s="49">
        <f>E8</f>
        <v>0.21560000000000001</v>
      </c>
      <c r="E8" s="49">
        <f>SUM(L31:N31)</f>
        <v>0.21560000000000001</v>
      </c>
      <c r="I8" s="43">
        <v>1991</v>
      </c>
      <c r="J8" s="45">
        <v>615</v>
      </c>
      <c r="K8" s="47" t="s">
        <v>72</v>
      </c>
      <c r="L8" s="48">
        <v>0.107</v>
      </c>
      <c r="M8" s="48">
        <v>0</v>
      </c>
      <c r="N8" s="48">
        <v>1.4999999999999999E-2</v>
      </c>
      <c r="O8" s="48">
        <v>0.106</v>
      </c>
      <c r="P8" s="48">
        <v>5.0000000000000001E-3</v>
      </c>
      <c r="Q8" s="48">
        <v>5.1999999999999998E-2</v>
      </c>
      <c r="R8" s="48">
        <v>0</v>
      </c>
      <c r="S8" s="48">
        <v>0</v>
      </c>
      <c r="T8" s="48">
        <v>0.01</v>
      </c>
      <c r="U8" s="48">
        <v>2E-3</v>
      </c>
      <c r="V8" s="48">
        <v>0</v>
      </c>
      <c r="W8" s="48">
        <v>0</v>
      </c>
      <c r="X8" s="48">
        <v>5.0000000000000001E-3</v>
      </c>
      <c r="Y8" s="48">
        <v>0</v>
      </c>
      <c r="Z8" s="48">
        <v>5.0000000000000001E-3</v>
      </c>
      <c r="AA8" s="48">
        <v>5.0000000000000001E-3</v>
      </c>
      <c r="AB8" s="48">
        <v>0</v>
      </c>
      <c r="AC8" s="48">
        <v>0</v>
      </c>
      <c r="AD8" s="48">
        <v>0</v>
      </c>
      <c r="AE8" s="48">
        <v>0.22600000000000001</v>
      </c>
      <c r="AF8" s="48">
        <v>3.6999999999999998E-2</v>
      </c>
      <c r="AG8" s="48">
        <v>0</v>
      </c>
      <c r="AH8" s="48">
        <v>0.42599999999999999</v>
      </c>
      <c r="AI8" s="48">
        <f t="shared" ref="AI8:AI29" si="1">1-AH8</f>
        <v>0.57400000000000007</v>
      </c>
      <c r="AJ8" s="48">
        <f t="shared" si="0"/>
        <v>0.26300000000000001</v>
      </c>
      <c r="AK8" s="48">
        <f t="shared" ref="AK8:AK29" si="2">AJ8/(AJ8+AH8)</f>
        <v>0.38171262699564584</v>
      </c>
    </row>
    <row r="9" spans="2:37" x14ac:dyDescent="0.3">
      <c r="B9" s="2" t="s">
        <v>83</v>
      </c>
      <c r="D9" s="49">
        <f>E9</f>
        <v>0.12749999999999997</v>
      </c>
      <c r="E9" s="49">
        <f>SUM(O31:W31)</f>
        <v>0.12749999999999997</v>
      </c>
      <c r="I9" s="43">
        <v>1992</v>
      </c>
      <c r="J9" s="45">
        <v>367</v>
      </c>
      <c r="K9" s="47" t="s">
        <v>72</v>
      </c>
      <c r="L9" s="48">
        <v>0.161</v>
      </c>
      <c r="M9" s="48">
        <v>0.153</v>
      </c>
      <c r="N9" s="48">
        <v>1.4E-2</v>
      </c>
      <c r="O9" s="48">
        <v>0.06</v>
      </c>
      <c r="P9" s="48">
        <v>0</v>
      </c>
      <c r="Q9" s="48">
        <v>0.155</v>
      </c>
      <c r="R9" s="48">
        <v>0</v>
      </c>
      <c r="S9" s="48">
        <v>0</v>
      </c>
      <c r="T9" s="48">
        <v>0</v>
      </c>
      <c r="U9" s="48">
        <v>0</v>
      </c>
      <c r="V9" s="48">
        <v>0</v>
      </c>
      <c r="W9" s="48">
        <v>0</v>
      </c>
      <c r="X9" s="48">
        <v>0</v>
      </c>
      <c r="Y9" s="48">
        <v>8.0000000000000002E-3</v>
      </c>
      <c r="Z9" s="48">
        <v>8.0000000000000002E-3</v>
      </c>
      <c r="AA9" s="48">
        <v>0</v>
      </c>
      <c r="AB9" s="48">
        <v>0</v>
      </c>
      <c r="AC9" s="48">
        <v>0</v>
      </c>
      <c r="AD9" s="48">
        <v>0</v>
      </c>
      <c r="AE9" s="48">
        <v>0.15</v>
      </c>
      <c r="AF9" s="48">
        <v>1.4E-2</v>
      </c>
      <c r="AG9" s="48">
        <v>0</v>
      </c>
      <c r="AH9" s="48">
        <v>0.27800000000000002</v>
      </c>
      <c r="AI9" s="48">
        <f t="shared" si="1"/>
        <v>0.72199999999999998</v>
      </c>
      <c r="AJ9" s="48">
        <f t="shared" si="0"/>
        <v>0.16400000000000001</v>
      </c>
      <c r="AK9" s="48">
        <f t="shared" si="2"/>
        <v>0.37104072398190041</v>
      </c>
    </row>
    <row r="10" spans="2:37" x14ac:dyDescent="0.3">
      <c r="B10" s="2" t="s">
        <v>84</v>
      </c>
      <c r="D10" s="49">
        <f>SUM(X31:AC31)</f>
        <v>1.83E-2</v>
      </c>
      <c r="E10" s="49">
        <f>SUM(X31:AC31)</f>
        <v>1.83E-2</v>
      </c>
      <c r="I10" s="43">
        <v>1993</v>
      </c>
      <c r="J10" s="45">
        <v>418</v>
      </c>
      <c r="K10" s="47" t="s">
        <v>72</v>
      </c>
      <c r="L10" s="48">
        <v>0.189</v>
      </c>
      <c r="M10" s="48">
        <v>0</v>
      </c>
      <c r="N10" s="48">
        <v>2.1999999999999999E-2</v>
      </c>
      <c r="O10" s="48">
        <v>3.1E-2</v>
      </c>
      <c r="P10" s="48">
        <v>1.2E-2</v>
      </c>
      <c r="Q10" s="48">
        <v>0.06</v>
      </c>
      <c r="R10" s="48">
        <v>1.9E-2</v>
      </c>
      <c r="S10" s="48">
        <v>0</v>
      </c>
      <c r="T10" s="48">
        <v>0</v>
      </c>
      <c r="U10" s="48">
        <v>0</v>
      </c>
      <c r="V10" s="48">
        <v>2.1999999999999999E-2</v>
      </c>
      <c r="W10" s="48">
        <v>0</v>
      </c>
      <c r="X10" s="48">
        <v>3.5999999999999997E-2</v>
      </c>
      <c r="Y10" s="48">
        <v>0</v>
      </c>
      <c r="Z10" s="48">
        <v>0</v>
      </c>
      <c r="AA10" s="48">
        <v>0</v>
      </c>
      <c r="AB10" s="48">
        <v>0</v>
      </c>
      <c r="AC10" s="48">
        <v>0.01</v>
      </c>
      <c r="AD10" s="48">
        <v>0</v>
      </c>
      <c r="AE10" s="48">
        <v>0.151</v>
      </c>
      <c r="AF10" s="48">
        <v>7.1999999999999995E-2</v>
      </c>
      <c r="AG10" s="48">
        <v>1.2E-2</v>
      </c>
      <c r="AH10" s="48">
        <v>0.36599999999999999</v>
      </c>
      <c r="AI10" s="48">
        <f t="shared" si="1"/>
        <v>0.63400000000000001</v>
      </c>
      <c r="AJ10" s="48">
        <f t="shared" si="0"/>
        <v>0.23499999999999999</v>
      </c>
      <c r="AK10" s="48">
        <f t="shared" si="2"/>
        <v>0.39101497504159732</v>
      </c>
    </row>
    <row r="11" spans="2:37" x14ac:dyDescent="0.3">
      <c r="B11" t="s">
        <v>87</v>
      </c>
      <c r="C11" s="54"/>
      <c r="D11" s="54">
        <f>C11*(1-SUM(Fisheries!$D$8:$D$10))</f>
        <v>0</v>
      </c>
      <c r="I11" s="43">
        <v>1994</v>
      </c>
      <c r="J11" s="45">
        <v>772</v>
      </c>
      <c r="K11" s="47" t="s">
        <v>72</v>
      </c>
      <c r="L11" s="48">
        <v>0.17100000000000001</v>
      </c>
      <c r="M11" s="48">
        <v>3.1E-2</v>
      </c>
      <c r="N11" s="48">
        <v>0</v>
      </c>
      <c r="O11" s="48">
        <v>5.3999999999999999E-2</v>
      </c>
      <c r="P11" s="48">
        <v>0</v>
      </c>
      <c r="Q11" s="48">
        <v>4.7E-2</v>
      </c>
      <c r="R11" s="48">
        <v>0</v>
      </c>
      <c r="S11" s="48">
        <v>0</v>
      </c>
      <c r="T11" s="48">
        <v>0</v>
      </c>
      <c r="U11" s="48">
        <v>3.0000000000000001E-3</v>
      </c>
      <c r="V11" s="48">
        <v>1.2999999999999999E-2</v>
      </c>
      <c r="W11" s="48">
        <v>0</v>
      </c>
      <c r="X11" s="48">
        <v>6.0000000000000001E-3</v>
      </c>
      <c r="Y11" s="48">
        <v>0</v>
      </c>
      <c r="Z11" s="48">
        <v>0</v>
      </c>
      <c r="AA11" s="48">
        <v>0</v>
      </c>
      <c r="AB11" s="48">
        <v>0</v>
      </c>
      <c r="AC11" s="48">
        <v>0</v>
      </c>
      <c r="AD11" s="48">
        <v>0</v>
      </c>
      <c r="AE11" s="48">
        <v>5.3999999999999999E-2</v>
      </c>
      <c r="AF11" s="48">
        <v>0.122</v>
      </c>
      <c r="AG11" s="48">
        <v>0</v>
      </c>
      <c r="AH11" s="48">
        <v>0.499</v>
      </c>
      <c r="AI11" s="48">
        <f t="shared" si="1"/>
        <v>0.501</v>
      </c>
      <c r="AJ11" s="48">
        <f t="shared" si="0"/>
        <v>0.17599999999999999</v>
      </c>
      <c r="AK11" s="48">
        <f t="shared" si="2"/>
        <v>0.26074074074074072</v>
      </c>
    </row>
    <row r="12" spans="2:37" x14ac:dyDescent="0.3">
      <c r="B12" t="s">
        <v>88</v>
      </c>
      <c r="C12" s="54"/>
      <c r="D12" s="54">
        <f>C12*(1-SUM(Fisheries!$D$8:$D$10))</f>
        <v>0</v>
      </c>
      <c r="E12" s="49">
        <f>SUM(AD31:AF31)</f>
        <v>0.28549999999999998</v>
      </c>
      <c r="I12" s="43">
        <v>1995</v>
      </c>
      <c r="J12" s="45">
        <v>690</v>
      </c>
      <c r="K12" s="47" t="s">
        <v>72</v>
      </c>
      <c r="L12" s="48">
        <v>0.13300000000000001</v>
      </c>
      <c r="M12" s="48">
        <v>0</v>
      </c>
      <c r="N12" s="48">
        <v>4.2000000000000003E-2</v>
      </c>
      <c r="O12" s="48">
        <v>5.5E-2</v>
      </c>
      <c r="P12" s="48">
        <v>0</v>
      </c>
      <c r="Q12" s="48">
        <v>2.9000000000000001E-2</v>
      </c>
      <c r="R12" s="48">
        <v>0</v>
      </c>
      <c r="S12" s="48">
        <v>0</v>
      </c>
      <c r="T12" s="48">
        <v>0</v>
      </c>
      <c r="U12" s="48">
        <v>0</v>
      </c>
      <c r="V12" s="48">
        <v>0</v>
      </c>
      <c r="W12" s="48">
        <v>0</v>
      </c>
      <c r="X12" s="48">
        <v>0</v>
      </c>
      <c r="Y12" s="48">
        <v>0</v>
      </c>
      <c r="Z12" s="48">
        <v>0</v>
      </c>
      <c r="AA12" s="48">
        <v>0</v>
      </c>
      <c r="AB12" s="48">
        <v>0</v>
      </c>
      <c r="AC12" s="48">
        <v>0</v>
      </c>
      <c r="AD12" s="48">
        <v>0</v>
      </c>
      <c r="AE12" s="48">
        <v>9.4E-2</v>
      </c>
      <c r="AF12" s="48">
        <v>7.0000000000000007E-2</v>
      </c>
      <c r="AG12" s="48">
        <v>0</v>
      </c>
      <c r="AH12" s="48">
        <v>0.57699999999999996</v>
      </c>
      <c r="AI12" s="48">
        <f t="shared" si="1"/>
        <v>0.42300000000000004</v>
      </c>
      <c r="AJ12" s="48">
        <f t="shared" si="0"/>
        <v>0.16400000000000001</v>
      </c>
      <c r="AK12" s="48">
        <f t="shared" si="2"/>
        <v>0.2213225371120108</v>
      </c>
    </row>
    <row r="13" spans="2:37" x14ac:dyDescent="0.3">
      <c r="B13" s="2" t="s">
        <v>89</v>
      </c>
      <c r="C13" s="54"/>
      <c r="D13" s="54">
        <f>C13*(1-SUM(Fisheries!$D$8:$D$10))</f>
        <v>0</v>
      </c>
      <c r="I13" s="43">
        <v>1996</v>
      </c>
      <c r="J13" s="45">
        <v>628</v>
      </c>
      <c r="K13" s="47" t="s">
        <v>72</v>
      </c>
      <c r="L13" s="48">
        <v>0.13100000000000001</v>
      </c>
      <c r="M13" s="48">
        <v>0</v>
      </c>
      <c r="N13" s="48">
        <v>0</v>
      </c>
      <c r="O13" s="48">
        <v>8.0000000000000002E-3</v>
      </c>
      <c r="P13" s="48">
        <v>0</v>
      </c>
      <c r="Q13" s="48">
        <v>6.0000000000000001E-3</v>
      </c>
      <c r="R13" s="48">
        <v>0</v>
      </c>
      <c r="S13" s="48">
        <v>0</v>
      </c>
      <c r="T13" s="48">
        <v>0</v>
      </c>
      <c r="U13" s="48">
        <v>0</v>
      </c>
      <c r="V13" s="48">
        <v>6.0000000000000001E-3</v>
      </c>
      <c r="W13" s="48">
        <v>0</v>
      </c>
      <c r="X13" s="48">
        <v>0</v>
      </c>
      <c r="Y13" s="48">
        <v>0</v>
      </c>
      <c r="Z13" s="48">
        <v>0</v>
      </c>
      <c r="AA13" s="48">
        <v>0</v>
      </c>
      <c r="AB13" s="48">
        <v>0</v>
      </c>
      <c r="AC13" s="48">
        <v>0</v>
      </c>
      <c r="AD13" s="48">
        <v>0</v>
      </c>
      <c r="AE13" s="48">
        <v>0.27400000000000002</v>
      </c>
      <c r="AF13" s="48">
        <v>7.8E-2</v>
      </c>
      <c r="AG13" s="48">
        <v>0</v>
      </c>
      <c r="AH13" s="48">
        <v>0.497</v>
      </c>
      <c r="AI13" s="48">
        <f t="shared" si="1"/>
        <v>0.503</v>
      </c>
      <c r="AJ13" s="48">
        <f t="shared" si="0"/>
        <v>0.35200000000000004</v>
      </c>
      <c r="AK13" s="48">
        <f t="shared" si="2"/>
        <v>0.4146054181389871</v>
      </c>
    </row>
    <row r="14" spans="2:37" x14ac:dyDescent="0.3">
      <c r="B14" s="9" t="s">
        <v>86</v>
      </c>
      <c r="C14" s="401"/>
      <c r="D14" s="402">
        <f>AF31</f>
        <v>0.10769999999999999</v>
      </c>
      <c r="E14" s="55"/>
      <c r="I14" s="43">
        <v>1997</v>
      </c>
      <c r="J14" s="45">
        <v>649</v>
      </c>
      <c r="K14" s="47" t="s">
        <v>72</v>
      </c>
      <c r="L14" s="48">
        <v>0.16800000000000001</v>
      </c>
      <c r="M14" s="48">
        <v>1.0999999999999999E-2</v>
      </c>
      <c r="N14" s="48">
        <v>1.0999999999999999E-2</v>
      </c>
      <c r="O14" s="48">
        <v>3.1E-2</v>
      </c>
      <c r="P14" s="48">
        <v>3.1E-2</v>
      </c>
      <c r="Q14" s="48">
        <v>8.0000000000000002E-3</v>
      </c>
      <c r="R14" s="48">
        <v>0</v>
      </c>
      <c r="S14" s="48">
        <v>0</v>
      </c>
      <c r="T14" s="48">
        <v>0</v>
      </c>
      <c r="U14" s="48">
        <v>0</v>
      </c>
      <c r="V14" s="48">
        <v>0</v>
      </c>
      <c r="W14" s="48">
        <v>0</v>
      </c>
      <c r="X14" s="48">
        <v>0</v>
      </c>
      <c r="Y14" s="48">
        <v>0</v>
      </c>
      <c r="Z14" s="48">
        <v>8.9999999999999993E-3</v>
      </c>
      <c r="AA14" s="48">
        <v>0</v>
      </c>
      <c r="AB14" s="48">
        <v>0</v>
      </c>
      <c r="AC14" s="48">
        <v>0</v>
      </c>
      <c r="AD14" s="48">
        <v>0</v>
      </c>
      <c r="AE14" s="48">
        <v>0.13900000000000001</v>
      </c>
      <c r="AF14" s="48">
        <v>7.0999999999999994E-2</v>
      </c>
      <c r="AG14" s="48">
        <v>0</v>
      </c>
      <c r="AH14" s="48">
        <v>0.52200000000000002</v>
      </c>
      <c r="AI14" s="48">
        <f t="shared" si="1"/>
        <v>0.47799999999999998</v>
      </c>
      <c r="AJ14" s="48">
        <f t="shared" si="0"/>
        <v>0.21000000000000002</v>
      </c>
      <c r="AK14" s="48">
        <f t="shared" si="2"/>
        <v>0.28688524590163939</v>
      </c>
    </row>
    <row r="15" spans="2:37" x14ac:dyDescent="0.3">
      <c r="I15" s="43">
        <v>1998</v>
      </c>
      <c r="J15" s="45">
        <v>335</v>
      </c>
      <c r="K15" s="47" t="s">
        <v>72</v>
      </c>
      <c r="L15" s="48">
        <v>0.13700000000000001</v>
      </c>
      <c r="M15" s="48">
        <v>0</v>
      </c>
      <c r="N15" s="48">
        <v>0</v>
      </c>
      <c r="O15" s="48">
        <v>0.113</v>
      </c>
      <c r="P15" s="48">
        <v>6.0000000000000001E-3</v>
      </c>
      <c r="Q15" s="48">
        <v>0</v>
      </c>
      <c r="R15" s="48">
        <v>0</v>
      </c>
      <c r="S15" s="48">
        <v>0</v>
      </c>
      <c r="T15" s="48">
        <v>0</v>
      </c>
      <c r="U15" s="48">
        <v>0</v>
      </c>
      <c r="V15" s="48">
        <v>0</v>
      </c>
      <c r="W15" s="48">
        <v>0</v>
      </c>
      <c r="X15" s="48">
        <v>0</v>
      </c>
      <c r="Y15" s="48">
        <v>0</v>
      </c>
      <c r="Z15" s="48">
        <v>0</v>
      </c>
      <c r="AA15" s="48">
        <v>0</v>
      </c>
      <c r="AB15" s="48">
        <v>0</v>
      </c>
      <c r="AC15" s="48">
        <v>0</v>
      </c>
      <c r="AD15" s="48">
        <v>0</v>
      </c>
      <c r="AE15" s="48">
        <v>0.17299999999999999</v>
      </c>
      <c r="AF15" s="48">
        <v>6.9000000000000006E-2</v>
      </c>
      <c r="AG15" s="48">
        <v>0</v>
      </c>
      <c r="AH15" s="48">
        <v>0.501</v>
      </c>
      <c r="AI15" s="48">
        <f t="shared" si="1"/>
        <v>0.499</v>
      </c>
      <c r="AJ15" s="48">
        <f t="shared" si="0"/>
        <v>0.24199999999999999</v>
      </c>
      <c r="AK15" s="48">
        <f t="shared" si="2"/>
        <v>0.32570659488559894</v>
      </c>
    </row>
    <row r="16" spans="2:37" x14ac:dyDescent="0.3">
      <c r="B16" t="s">
        <v>93</v>
      </c>
      <c r="D16" s="49">
        <f>SUM(D8:D14)</f>
        <v>0.46909999999999996</v>
      </c>
      <c r="E16" s="49">
        <f>SUM(E8:E14)</f>
        <v>0.64689999999999992</v>
      </c>
      <c r="I16" s="43">
        <v>1999</v>
      </c>
      <c r="J16" s="45">
        <v>279</v>
      </c>
      <c r="K16" s="47" t="s">
        <v>72</v>
      </c>
      <c r="L16" s="48">
        <v>0.13600000000000001</v>
      </c>
      <c r="M16" s="48">
        <v>4.0000000000000001E-3</v>
      </c>
      <c r="N16" s="48">
        <v>2.1999999999999999E-2</v>
      </c>
      <c r="O16" s="48">
        <v>0.129</v>
      </c>
      <c r="P16" s="48">
        <v>0</v>
      </c>
      <c r="Q16" s="48">
        <v>0</v>
      </c>
      <c r="R16" s="48">
        <v>0</v>
      </c>
      <c r="S16" s="48">
        <v>0</v>
      </c>
      <c r="T16" s="48">
        <v>0</v>
      </c>
      <c r="U16" s="48">
        <v>0</v>
      </c>
      <c r="V16" s="48">
        <v>0</v>
      </c>
      <c r="W16" s="48">
        <v>0</v>
      </c>
      <c r="X16" s="48">
        <v>0</v>
      </c>
      <c r="Y16" s="48">
        <v>0</v>
      </c>
      <c r="Z16" s="48">
        <v>0</v>
      </c>
      <c r="AA16" s="48">
        <v>0</v>
      </c>
      <c r="AB16" s="48">
        <v>0</v>
      </c>
      <c r="AC16" s="48">
        <v>0</v>
      </c>
      <c r="AD16" s="48">
        <v>0</v>
      </c>
      <c r="AE16" s="48">
        <v>0.11799999999999999</v>
      </c>
      <c r="AF16" s="48">
        <v>5.7000000000000002E-2</v>
      </c>
      <c r="AG16" s="48">
        <v>0</v>
      </c>
      <c r="AH16" s="48">
        <v>0.53400000000000003</v>
      </c>
      <c r="AI16" s="48">
        <f t="shared" si="1"/>
        <v>0.46599999999999997</v>
      </c>
      <c r="AJ16" s="48">
        <f t="shared" si="0"/>
        <v>0.17499999999999999</v>
      </c>
      <c r="AK16" s="48">
        <f t="shared" si="2"/>
        <v>0.24682651622002816</v>
      </c>
    </row>
    <row r="17" spans="2:37" x14ac:dyDescent="0.3">
      <c r="I17" s="43">
        <v>2000</v>
      </c>
      <c r="J17" s="45">
        <v>232</v>
      </c>
      <c r="K17" s="47" t="s">
        <v>72</v>
      </c>
      <c r="L17" s="48">
        <v>0.20699999999999999</v>
      </c>
      <c r="M17" s="48">
        <v>4.0000000000000001E-3</v>
      </c>
      <c r="N17" s="48">
        <v>2.1999999999999999E-2</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0.28399999999999997</v>
      </c>
      <c r="AF17" s="48">
        <v>5.1999999999999998E-2</v>
      </c>
      <c r="AG17" s="48">
        <v>0</v>
      </c>
      <c r="AH17" s="48">
        <v>0.43099999999999999</v>
      </c>
      <c r="AI17" s="48">
        <f t="shared" si="1"/>
        <v>0.56899999999999995</v>
      </c>
      <c r="AJ17" s="48">
        <f t="shared" si="0"/>
        <v>0.33599999999999997</v>
      </c>
      <c r="AK17" s="48">
        <f t="shared" si="2"/>
        <v>0.43807040417209908</v>
      </c>
    </row>
    <row r="18" spans="2:37" x14ac:dyDescent="0.3">
      <c r="B18" t="s">
        <v>505</v>
      </c>
      <c r="D18" s="49">
        <f>SUM(D8:D10)</f>
        <v>0.36139999999999994</v>
      </c>
      <c r="E18" s="49">
        <f>SUM(E8:E10)</f>
        <v>0.36139999999999994</v>
      </c>
      <c r="I18" s="43">
        <v>2001</v>
      </c>
      <c r="J18" s="45">
        <v>361</v>
      </c>
      <c r="K18" s="47" t="s">
        <v>72</v>
      </c>
      <c r="L18" s="48">
        <v>5.8000000000000003E-2</v>
      </c>
      <c r="M18" s="48">
        <v>6.0000000000000001E-3</v>
      </c>
      <c r="N18" s="48">
        <v>1.0999999999999999E-2</v>
      </c>
      <c r="O18" s="48">
        <v>0</v>
      </c>
      <c r="P18" s="48">
        <v>0</v>
      </c>
      <c r="Q18" s="48">
        <v>0</v>
      </c>
      <c r="R18" s="48">
        <v>0</v>
      </c>
      <c r="S18" s="48">
        <v>0</v>
      </c>
      <c r="T18" s="48">
        <v>0</v>
      </c>
      <c r="U18" s="48">
        <v>0</v>
      </c>
      <c r="V18" s="48">
        <v>0</v>
      </c>
      <c r="W18" s="48">
        <v>0</v>
      </c>
      <c r="X18" s="48">
        <v>8.0000000000000002E-3</v>
      </c>
      <c r="Y18" s="48">
        <v>0</v>
      </c>
      <c r="Z18" s="48">
        <v>6.0000000000000001E-3</v>
      </c>
      <c r="AA18" s="48">
        <v>0</v>
      </c>
      <c r="AB18" s="48">
        <v>0</v>
      </c>
      <c r="AC18" s="48">
        <v>0</v>
      </c>
      <c r="AD18" s="48">
        <v>0</v>
      </c>
      <c r="AE18" s="48">
        <v>0.21299999999999999</v>
      </c>
      <c r="AF18" s="48">
        <v>0.15</v>
      </c>
      <c r="AG18" s="48">
        <v>0</v>
      </c>
      <c r="AH18" s="48">
        <v>0.54800000000000004</v>
      </c>
      <c r="AI18" s="48">
        <f t="shared" si="1"/>
        <v>0.45199999999999996</v>
      </c>
      <c r="AJ18" s="48">
        <f t="shared" si="0"/>
        <v>0.36299999999999999</v>
      </c>
      <c r="AK18" s="48">
        <f t="shared" si="2"/>
        <v>0.39846322722283201</v>
      </c>
    </row>
    <row r="19" spans="2:37" x14ac:dyDescent="0.3">
      <c r="B19" t="s">
        <v>504</v>
      </c>
      <c r="D19" s="56">
        <f>SUM(D11:D14)</f>
        <v>0.10769999999999999</v>
      </c>
      <c r="E19" s="56">
        <f>SUM(E11:E14)</f>
        <v>0.28549999999999998</v>
      </c>
      <c r="I19" s="43">
        <v>2002</v>
      </c>
      <c r="J19" s="45">
        <v>897</v>
      </c>
      <c r="K19" s="47" t="s">
        <v>72</v>
      </c>
      <c r="L19" s="48">
        <v>0.17899999999999999</v>
      </c>
      <c r="M19" s="48">
        <v>0</v>
      </c>
      <c r="N19" s="48">
        <v>1.4E-2</v>
      </c>
      <c r="O19" s="48">
        <v>8.0000000000000002E-3</v>
      </c>
      <c r="P19" s="48">
        <v>6.0000000000000001E-3</v>
      </c>
      <c r="Q19" s="48">
        <v>2.7E-2</v>
      </c>
      <c r="R19" s="48">
        <v>0</v>
      </c>
      <c r="S19" s="48">
        <v>0</v>
      </c>
      <c r="T19" s="48">
        <v>0</v>
      </c>
      <c r="U19" s="48">
        <v>0</v>
      </c>
      <c r="V19" s="48">
        <v>0</v>
      </c>
      <c r="W19" s="48">
        <v>0</v>
      </c>
      <c r="X19" s="48">
        <v>8.9999999999999993E-3</v>
      </c>
      <c r="Y19" s="48">
        <v>0</v>
      </c>
      <c r="Z19" s="48">
        <v>7.0000000000000001E-3</v>
      </c>
      <c r="AA19" s="48">
        <v>2E-3</v>
      </c>
      <c r="AB19" s="48">
        <v>0</v>
      </c>
      <c r="AC19" s="48">
        <v>0</v>
      </c>
      <c r="AD19" s="48">
        <v>0</v>
      </c>
      <c r="AE19" s="48">
        <v>9.7000000000000003E-2</v>
      </c>
      <c r="AF19" s="48">
        <v>0.108</v>
      </c>
      <c r="AG19" s="48">
        <v>0.02</v>
      </c>
      <c r="AH19" s="48">
        <v>0.52300000000000002</v>
      </c>
      <c r="AI19" s="48">
        <f t="shared" si="1"/>
        <v>0.47699999999999998</v>
      </c>
      <c r="AJ19" s="48">
        <f t="shared" si="0"/>
        <v>0.22500000000000001</v>
      </c>
      <c r="AK19" s="48">
        <f t="shared" si="2"/>
        <v>0.30080213903743314</v>
      </c>
    </row>
    <row r="20" spans="2:37" x14ac:dyDescent="0.3">
      <c r="I20" s="43">
        <v>2003</v>
      </c>
      <c r="J20" s="45">
        <v>1547</v>
      </c>
      <c r="K20" s="47" t="s">
        <v>72</v>
      </c>
      <c r="L20" s="48">
        <v>0.13600000000000001</v>
      </c>
      <c r="M20" s="48">
        <v>0</v>
      </c>
      <c r="N20" s="48">
        <v>8.9999999999999993E-3</v>
      </c>
      <c r="O20" s="48">
        <v>4.1000000000000002E-2</v>
      </c>
      <c r="P20" s="48">
        <v>1.0999999999999999E-2</v>
      </c>
      <c r="Q20" s="48">
        <v>0</v>
      </c>
      <c r="R20" s="48">
        <v>4.0000000000000001E-3</v>
      </c>
      <c r="S20" s="48">
        <v>0</v>
      </c>
      <c r="T20" s="48">
        <v>0</v>
      </c>
      <c r="U20" s="48">
        <v>0</v>
      </c>
      <c r="V20" s="48">
        <v>0</v>
      </c>
      <c r="W20" s="48">
        <v>0</v>
      </c>
      <c r="X20" s="48">
        <v>3.0000000000000001E-3</v>
      </c>
      <c r="Y20" s="48">
        <v>3.0000000000000001E-3</v>
      </c>
      <c r="Z20" s="48">
        <v>3.0000000000000001E-3</v>
      </c>
      <c r="AA20" s="48">
        <v>0</v>
      </c>
      <c r="AB20" s="48">
        <v>0</v>
      </c>
      <c r="AC20" s="48">
        <v>0</v>
      </c>
      <c r="AD20" s="48">
        <v>0</v>
      </c>
      <c r="AE20" s="48">
        <v>0.13900000000000001</v>
      </c>
      <c r="AF20" s="48">
        <v>9.1999999999999998E-2</v>
      </c>
      <c r="AG20" s="48">
        <v>0</v>
      </c>
      <c r="AH20" s="48">
        <v>0.55900000000000005</v>
      </c>
      <c r="AI20" s="48">
        <f t="shared" si="1"/>
        <v>0.44099999999999995</v>
      </c>
      <c r="AJ20" s="48">
        <f t="shared" si="0"/>
        <v>0.23100000000000001</v>
      </c>
      <c r="AK20" s="48">
        <f t="shared" si="2"/>
        <v>0.29240506329113924</v>
      </c>
    </row>
    <row r="21" spans="2:37" x14ac:dyDescent="0.3">
      <c r="I21" s="43">
        <v>2004</v>
      </c>
      <c r="J21" s="45">
        <v>1901</v>
      </c>
      <c r="K21" s="47" t="s">
        <v>72</v>
      </c>
      <c r="L21" s="48">
        <v>0.187</v>
      </c>
      <c r="M21" s="48">
        <v>2.1000000000000001E-2</v>
      </c>
      <c r="N21" s="48">
        <v>0.03</v>
      </c>
      <c r="O21" s="48">
        <v>6.5000000000000002E-2</v>
      </c>
      <c r="P21" s="48">
        <v>3.3000000000000002E-2</v>
      </c>
      <c r="Q21" s="48">
        <v>2.8000000000000001E-2</v>
      </c>
      <c r="R21" s="48">
        <v>0</v>
      </c>
      <c r="S21" s="48">
        <v>0</v>
      </c>
      <c r="T21" s="48">
        <v>4.0000000000000001E-3</v>
      </c>
      <c r="U21" s="48">
        <v>0</v>
      </c>
      <c r="V21" s="48">
        <v>0</v>
      </c>
      <c r="W21" s="48">
        <v>0</v>
      </c>
      <c r="X21" s="48">
        <v>2E-3</v>
      </c>
      <c r="Y21" s="48">
        <v>3.0000000000000001E-3</v>
      </c>
      <c r="Z21" s="48">
        <v>2E-3</v>
      </c>
      <c r="AA21" s="48">
        <v>0</v>
      </c>
      <c r="AB21" s="48">
        <v>0</v>
      </c>
      <c r="AC21" s="48">
        <v>0</v>
      </c>
      <c r="AD21" s="48">
        <v>0</v>
      </c>
      <c r="AE21" s="48">
        <v>0.13200000000000001</v>
      </c>
      <c r="AF21" s="48">
        <v>0.04</v>
      </c>
      <c r="AG21" s="48">
        <v>0</v>
      </c>
      <c r="AH21" s="48">
        <v>0.45400000000000001</v>
      </c>
      <c r="AI21" s="48">
        <f t="shared" si="1"/>
        <v>0.54600000000000004</v>
      </c>
      <c r="AJ21" s="48">
        <f t="shared" si="0"/>
        <v>0.17200000000000001</v>
      </c>
      <c r="AK21" s="48">
        <f t="shared" si="2"/>
        <v>0.27476038338658149</v>
      </c>
    </row>
    <row r="22" spans="2:37" x14ac:dyDescent="0.3">
      <c r="I22" s="43">
        <v>2005</v>
      </c>
      <c r="J22" s="45">
        <v>464</v>
      </c>
      <c r="K22" s="47" t="s">
        <v>72</v>
      </c>
      <c r="L22" s="48">
        <v>0.13100000000000001</v>
      </c>
      <c r="M22" s="48">
        <v>0</v>
      </c>
      <c r="N22" s="48">
        <v>0</v>
      </c>
      <c r="O22" s="48">
        <v>8.7999999999999995E-2</v>
      </c>
      <c r="P22" s="48">
        <v>0.03</v>
      </c>
      <c r="Q22" s="48">
        <v>4.1000000000000002E-2</v>
      </c>
      <c r="R22" s="48">
        <v>8.9999999999999993E-3</v>
      </c>
      <c r="S22" s="48">
        <v>0</v>
      </c>
      <c r="T22" s="48">
        <v>0</v>
      </c>
      <c r="U22" s="48">
        <v>0</v>
      </c>
      <c r="V22" s="48">
        <v>0</v>
      </c>
      <c r="W22" s="48">
        <v>0</v>
      </c>
      <c r="X22" s="48">
        <v>2.1999999999999999E-2</v>
      </c>
      <c r="Y22" s="48">
        <v>1.0999999999999999E-2</v>
      </c>
      <c r="Z22" s="48">
        <v>4.0000000000000001E-3</v>
      </c>
      <c r="AA22" s="48">
        <v>0</v>
      </c>
      <c r="AB22" s="48">
        <v>0</v>
      </c>
      <c r="AC22" s="48">
        <v>0</v>
      </c>
      <c r="AD22" s="48">
        <v>0</v>
      </c>
      <c r="AE22" s="48">
        <v>0.121</v>
      </c>
      <c r="AF22" s="48">
        <v>0.155</v>
      </c>
      <c r="AG22" s="48">
        <v>0</v>
      </c>
      <c r="AH22" s="48">
        <v>0.38800000000000001</v>
      </c>
      <c r="AI22" s="48">
        <f t="shared" si="1"/>
        <v>0.61199999999999999</v>
      </c>
      <c r="AJ22" s="48">
        <f t="shared" si="0"/>
        <v>0.27600000000000002</v>
      </c>
      <c r="AK22" s="48">
        <f t="shared" si="2"/>
        <v>0.41566265060240964</v>
      </c>
    </row>
    <row r="23" spans="2:37" x14ac:dyDescent="0.3">
      <c r="I23" s="43">
        <v>2006</v>
      </c>
      <c r="J23" s="45">
        <v>566</v>
      </c>
      <c r="K23" s="47" t="s">
        <v>72</v>
      </c>
      <c r="L23" s="48">
        <v>0.191</v>
      </c>
      <c r="M23" s="48">
        <v>0</v>
      </c>
      <c r="N23" s="48">
        <v>8.9999999999999993E-3</v>
      </c>
      <c r="O23" s="48">
        <v>5.0999999999999997E-2</v>
      </c>
      <c r="P23" s="48">
        <v>0</v>
      </c>
      <c r="Q23" s="48">
        <v>2.7E-2</v>
      </c>
      <c r="R23" s="48">
        <v>2.5000000000000001E-2</v>
      </c>
      <c r="S23" s="48">
        <v>0</v>
      </c>
      <c r="T23" s="48">
        <v>0</v>
      </c>
      <c r="U23" s="48">
        <v>0</v>
      </c>
      <c r="V23" s="48">
        <v>0</v>
      </c>
      <c r="W23" s="48">
        <v>0</v>
      </c>
      <c r="X23" s="48">
        <v>4.0000000000000001E-3</v>
      </c>
      <c r="Y23" s="48">
        <v>0</v>
      </c>
      <c r="Z23" s="48">
        <v>4.0000000000000001E-3</v>
      </c>
      <c r="AA23" s="48">
        <v>0</v>
      </c>
      <c r="AB23" s="48">
        <v>0</v>
      </c>
      <c r="AC23" s="48">
        <v>0</v>
      </c>
      <c r="AD23" s="48">
        <v>0</v>
      </c>
      <c r="AE23" s="48">
        <v>0.14699999999999999</v>
      </c>
      <c r="AF23" s="48">
        <v>0.19400000000000001</v>
      </c>
      <c r="AG23" s="48">
        <v>0</v>
      </c>
      <c r="AH23" s="48">
        <v>0.35</v>
      </c>
      <c r="AI23" s="48">
        <f t="shared" si="1"/>
        <v>0.65</v>
      </c>
      <c r="AJ23" s="48">
        <f t="shared" si="0"/>
        <v>0.34099999999999997</v>
      </c>
      <c r="AK23" s="48">
        <f t="shared" si="2"/>
        <v>0.49348769898697536</v>
      </c>
    </row>
    <row r="24" spans="2:37" x14ac:dyDescent="0.3">
      <c r="I24" s="43">
        <v>2007</v>
      </c>
      <c r="J24" s="45">
        <v>314</v>
      </c>
      <c r="K24" s="47" t="s">
        <v>72</v>
      </c>
      <c r="L24" s="48">
        <v>0.23200000000000001</v>
      </c>
      <c r="M24" s="48">
        <v>0</v>
      </c>
      <c r="N24" s="48">
        <v>0.01</v>
      </c>
      <c r="O24" s="48">
        <v>7.0000000000000007E-2</v>
      </c>
      <c r="P24" s="48">
        <v>7.2999999999999995E-2</v>
      </c>
      <c r="Q24" s="48">
        <v>2.5000000000000001E-2</v>
      </c>
      <c r="R24" s="48">
        <v>0</v>
      </c>
      <c r="S24" s="48">
        <v>0</v>
      </c>
      <c r="T24" s="48">
        <v>0</v>
      </c>
      <c r="U24" s="48">
        <v>0</v>
      </c>
      <c r="V24" s="48">
        <v>1.2999999999999999E-2</v>
      </c>
      <c r="W24" s="48">
        <v>0</v>
      </c>
      <c r="X24" s="48">
        <v>6.0000000000000001E-3</v>
      </c>
      <c r="Y24" s="48">
        <v>0</v>
      </c>
      <c r="Z24" s="48">
        <v>6.0000000000000001E-3</v>
      </c>
      <c r="AA24" s="48">
        <v>0</v>
      </c>
      <c r="AB24" s="48">
        <v>0</v>
      </c>
      <c r="AC24" s="48">
        <v>0</v>
      </c>
      <c r="AD24" s="48">
        <v>0</v>
      </c>
      <c r="AE24" s="48">
        <v>6.7000000000000004E-2</v>
      </c>
      <c r="AF24" s="48">
        <v>0.16900000000000001</v>
      </c>
      <c r="AG24" s="48">
        <v>0</v>
      </c>
      <c r="AH24" s="48">
        <v>0.32800000000000001</v>
      </c>
      <c r="AI24" s="48">
        <f t="shared" si="1"/>
        <v>0.67199999999999993</v>
      </c>
      <c r="AJ24" s="48">
        <f t="shared" si="0"/>
        <v>0.23600000000000002</v>
      </c>
      <c r="AK24" s="48">
        <f t="shared" si="2"/>
        <v>0.41843971631205673</v>
      </c>
    </row>
    <row r="25" spans="2:37" x14ac:dyDescent="0.3">
      <c r="I25" s="43">
        <v>2008</v>
      </c>
      <c r="J25" s="45">
        <v>222</v>
      </c>
      <c r="K25" s="47" t="s">
        <v>72</v>
      </c>
      <c r="L25" s="48">
        <v>0.33800000000000002</v>
      </c>
      <c r="M25" s="48">
        <v>0</v>
      </c>
      <c r="N25" s="48">
        <v>5.3999999999999999E-2</v>
      </c>
      <c r="O25" s="48">
        <v>1.4E-2</v>
      </c>
      <c r="P25" s="48">
        <v>1.7999999999999999E-2</v>
      </c>
      <c r="Q25" s="48">
        <v>3.2000000000000001E-2</v>
      </c>
      <c r="R25" s="48">
        <v>1.7999999999999999E-2</v>
      </c>
      <c r="S25" s="48">
        <v>0</v>
      </c>
      <c r="T25" s="48">
        <v>0</v>
      </c>
      <c r="U25" s="48">
        <v>0</v>
      </c>
      <c r="V25" s="48">
        <v>0</v>
      </c>
      <c r="W25" s="48">
        <v>0</v>
      </c>
      <c r="X25" s="48">
        <v>0</v>
      </c>
      <c r="Y25" s="48">
        <v>0</v>
      </c>
      <c r="Z25" s="48">
        <v>0</v>
      </c>
      <c r="AA25" s="48">
        <v>0</v>
      </c>
      <c r="AB25" s="48">
        <v>0</v>
      </c>
      <c r="AC25" s="48">
        <v>0</v>
      </c>
      <c r="AD25" s="48">
        <v>0</v>
      </c>
      <c r="AE25" s="48">
        <v>0.17599999999999999</v>
      </c>
      <c r="AF25" s="48">
        <v>7.1999999999999995E-2</v>
      </c>
      <c r="AG25" s="48">
        <v>8.9999999999999993E-3</v>
      </c>
      <c r="AH25" s="48">
        <v>0.27</v>
      </c>
      <c r="AI25" s="48">
        <f t="shared" si="1"/>
        <v>0.73</v>
      </c>
      <c r="AJ25" s="48">
        <f t="shared" si="0"/>
        <v>0.25700000000000001</v>
      </c>
      <c r="AK25" s="48">
        <f t="shared" si="2"/>
        <v>0.48766603415559773</v>
      </c>
    </row>
    <row r="26" spans="2:37" x14ac:dyDescent="0.3">
      <c r="I26" s="43">
        <v>2009</v>
      </c>
      <c r="J26" s="45">
        <v>231</v>
      </c>
      <c r="K26" s="47" t="s">
        <v>72</v>
      </c>
      <c r="L26" s="48">
        <v>0.216</v>
      </c>
      <c r="M26" s="48">
        <v>0</v>
      </c>
      <c r="N26" s="48">
        <v>8.9999999999999993E-3</v>
      </c>
      <c r="O26" s="48">
        <v>3.9E-2</v>
      </c>
      <c r="P26" s="48">
        <v>2.1999999999999999E-2</v>
      </c>
      <c r="Q26" s="48">
        <v>1.2999999999999999E-2</v>
      </c>
      <c r="R26" s="48">
        <v>5.6000000000000001E-2</v>
      </c>
      <c r="S26" s="48">
        <v>0</v>
      </c>
      <c r="T26" s="48">
        <v>0</v>
      </c>
      <c r="U26" s="48">
        <v>0</v>
      </c>
      <c r="V26" s="48">
        <v>0</v>
      </c>
      <c r="W26" s="48">
        <v>0</v>
      </c>
      <c r="X26" s="48">
        <v>0</v>
      </c>
      <c r="Y26" s="48">
        <v>0</v>
      </c>
      <c r="Z26" s="48">
        <v>0</v>
      </c>
      <c r="AA26" s="48">
        <v>0</v>
      </c>
      <c r="AB26" s="48">
        <v>0</v>
      </c>
      <c r="AC26" s="48">
        <v>0</v>
      </c>
      <c r="AD26" s="48">
        <v>0</v>
      </c>
      <c r="AE26" s="48">
        <v>0.48899999999999999</v>
      </c>
      <c r="AF26" s="48">
        <v>4.2999999999999997E-2</v>
      </c>
      <c r="AG26" s="48">
        <v>0</v>
      </c>
      <c r="AH26" s="48">
        <v>0.113</v>
      </c>
      <c r="AI26" s="48">
        <f t="shared" si="1"/>
        <v>0.88700000000000001</v>
      </c>
      <c r="AJ26" s="48">
        <f t="shared" si="0"/>
        <v>0.53200000000000003</v>
      </c>
      <c r="AK26" s="48">
        <f t="shared" si="2"/>
        <v>0.82480620155038764</v>
      </c>
    </row>
    <row r="27" spans="2:37" x14ac:dyDescent="0.3">
      <c r="I27" s="43">
        <v>2010</v>
      </c>
      <c r="J27" s="45">
        <v>504</v>
      </c>
      <c r="K27" s="47" t="s">
        <v>72</v>
      </c>
      <c r="L27" s="48">
        <v>0.16300000000000001</v>
      </c>
      <c r="M27" s="48">
        <v>0</v>
      </c>
      <c r="N27" s="48">
        <v>4.5999999999999999E-2</v>
      </c>
      <c r="O27" s="48">
        <v>8.3000000000000004E-2</v>
      </c>
      <c r="P27" s="48">
        <v>3.5999999999999997E-2</v>
      </c>
      <c r="Q27" s="48">
        <v>8.0000000000000002E-3</v>
      </c>
      <c r="R27" s="48">
        <v>1.4E-2</v>
      </c>
      <c r="S27" s="48">
        <v>0</v>
      </c>
      <c r="T27" s="48">
        <v>0</v>
      </c>
      <c r="U27" s="48">
        <v>0</v>
      </c>
      <c r="V27" s="48">
        <v>0</v>
      </c>
      <c r="W27" s="48">
        <v>0</v>
      </c>
      <c r="X27" s="48">
        <v>1.4E-2</v>
      </c>
      <c r="Y27" s="48">
        <v>6.0000000000000001E-3</v>
      </c>
      <c r="Z27" s="48">
        <v>4.0000000000000001E-3</v>
      </c>
      <c r="AA27" s="48">
        <v>0</v>
      </c>
      <c r="AB27" s="48">
        <v>0</v>
      </c>
      <c r="AC27" s="48">
        <v>0</v>
      </c>
      <c r="AD27" s="48">
        <v>0</v>
      </c>
      <c r="AE27" s="48">
        <v>0.111</v>
      </c>
      <c r="AF27" s="48">
        <v>4.5999999999999999E-2</v>
      </c>
      <c r="AG27" s="48">
        <v>4.3999999999999997E-2</v>
      </c>
      <c r="AH27" s="48">
        <v>0.42699999999999999</v>
      </c>
      <c r="AI27" s="48">
        <f t="shared" si="1"/>
        <v>0.57299999999999995</v>
      </c>
      <c r="AJ27" s="48">
        <f t="shared" si="0"/>
        <v>0.20100000000000001</v>
      </c>
      <c r="AK27" s="48">
        <f t="shared" si="2"/>
        <v>0.32006369426751596</v>
      </c>
    </row>
    <row r="28" spans="2:37" x14ac:dyDescent="0.3">
      <c r="I28" s="43">
        <v>2011</v>
      </c>
      <c r="J28" s="45">
        <v>566</v>
      </c>
      <c r="K28" s="47" t="s">
        <v>72</v>
      </c>
      <c r="L28" s="48">
        <v>0.20699999999999999</v>
      </c>
      <c r="M28" s="48">
        <v>7.0000000000000001E-3</v>
      </c>
      <c r="N28" s="48">
        <v>0</v>
      </c>
      <c r="O28" s="48">
        <v>1.7999999999999999E-2</v>
      </c>
      <c r="P28" s="48">
        <v>5.2999999999999999E-2</v>
      </c>
      <c r="Q28" s="48">
        <v>2.3E-2</v>
      </c>
      <c r="R28" s="48">
        <v>0</v>
      </c>
      <c r="S28" s="48">
        <v>0</v>
      </c>
      <c r="T28" s="48">
        <v>1.2E-2</v>
      </c>
      <c r="U28" s="48">
        <v>0</v>
      </c>
      <c r="V28" s="48">
        <v>0</v>
      </c>
      <c r="W28" s="48">
        <v>0</v>
      </c>
      <c r="X28" s="48">
        <v>0</v>
      </c>
      <c r="Y28" s="48">
        <v>2E-3</v>
      </c>
      <c r="Z28" s="48">
        <v>7.0000000000000001E-3</v>
      </c>
      <c r="AA28" s="48">
        <v>8.9999999999999993E-3</v>
      </c>
      <c r="AB28" s="48">
        <v>0</v>
      </c>
      <c r="AC28" s="48">
        <v>0</v>
      </c>
      <c r="AD28" s="48">
        <v>0</v>
      </c>
      <c r="AE28" s="48">
        <v>0.221</v>
      </c>
      <c r="AF28" s="48">
        <v>8.3000000000000004E-2</v>
      </c>
      <c r="AG28" s="48">
        <v>0</v>
      </c>
      <c r="AH28" s="48">
        <v>0.35899999999999999</v>
      </c>
      <c r="AI28" s="48">
        <f t="shared" si="1"/>
        <v>0.64100000000000001</v>
      </c>
      <c r="AJ28" s="48">
        <f t="shared" si="0"/>
        <v>0.30399999999999999</v>
      </c>
      <c r="AK28" s="48">
        <f t="shared" si="2"/>
        <v>0.45852187028657615</v>
      </c>
    </row>
    <row r="29" spans="2:37" x14ac:dyDescent="0.3">
      <c r="I29" s="43">
        <v>2012</v>
      </c>
      <c r="J29" s="45">
        <v>600</v>
      </c>
      <c r="K29" s="47" t="s">
        <v>73</v>
      </c>
      <c r="L29" s="48">
        <v>0.14000000000000001</v>
      </c>
      <c r="M29" s="48">
        <v>8.0000000000000002E-3</v>
      </c>
      <c r="N29" s="48">
        <v>1.2E-2</v>
      </c>
      <c r="O29" s="48">
        <v>4.7E-2</v>
      </c>
      <c r="P29" s="48">
        <v>0.02</v>
      </c>
      <c r="Q29" s="48">
        <v>5.8000000000000003E-2</v>
      </c>
      <c r="R29" s="48">
        <v>5.2999999999999999E-2</v>
      </c>
      <c r="S29" s="48">
        <v>0</v>
      </c>
      <c r="T29" s="48">
        <v>0</v>
      </c>
      <c r="U29" s="48">
        <v>0</v>
      </c>
      <c r="V29" s="48">
        <v>0</v>
      </c>
      <c r="W29" s="48">
        <v>0</v>
      </c>
      <c r="X29" s="48">
        <v>4.7E-2</v>
      </c>
      <c r="Y29" s="48">
        <v>3.0000000000000001E-3</v>
      </c>
      <c r="Z29" s="48">
        <v>5.0000000000000001E-3</v>
      </c>
      <c r="AA29" s="48">
        <v>8.0000000000000002E-3</v>
      </c>
      <c r="AB29" s="48">
        <v>0</v>
      </c>
      <c r="AC29" s="48">
        <v>5.0000000000000001E-3</v>
      </c>
      <c r="AD29" s="48">
        <v>0</v>
      </c>
      <c r="AE29" s="48">
        <v>0.17499999999999999</v>
      </c>
      <c r="AF29" s="48">
        <v>0.183</v>
      </c>
      <c r="AG29" s="48">
        <v>0</v>
      </c>
      <c r="AH29" s="48">
        <v>0.23499999999999999</v>
      </c>
      <c r="AI29" s="48">
        <f t="shared" si="1"/>
        <v>0.76500000000000001</v>
      </c>
      <c r="AJ29" s="48">
        <f>SUM(AD29:AG29)</f>
        <v>0.35799999999999998</v>
      </c>
      <c r="AK29" s="48">
        <f t="shared" si="2"/>
        <v>0.60370994940978073</v>
      </c>
    </row>
    <row r="31" spans="2:37" x14ac:dyDescent="0.3">
      <c r="L31" s="49">
        <f t="shared" ref="L31:AK31" si="3">AVERAGE(L20:L29)</f>
        <v>0.19410000000000002</v>
      </c>
      <c r="M31" s="49">
        <f t="shared" si="3"/>
        <v>3.6000000000000003E-3</v>
      </c>
      <c r="N31" s="49">
        <f t="shared" si="3"/>
        <v>1.7899999999999999E-2</v>
      </c>
      <c r="O31" s="49">
        <f t="shared" si="3"/>
        <v>5.16E-2</v>
      </c>
      <c r="P31" s="49">
        <f t="shared" si="3"/>
        <v>2.9599999999999998E-2</v>
      </c>
      <c r="Q31" s="49">
        <f t="shared" si="3"/>
        <v>2.5500000000000002E-2</v>
      </c>
      <c r="R31" s="49">
        <f t="shared" si="3"/>
        <v>1.7899999999999999E-2</v>
      </c>
      <c r="S31" s="49">
        <f t="shared" si="3"/>
        <v>0</v>
      </c>
      <c r="T31" s="49">
        <f t="shared" si="3"/>
        <v>1.6000000000000001E-3</v>
      </c>
      <c r="U31" s="49">
        <f t="shared" si="3"/>
        <v>0</v>
      </c>
      <c r="V31" s="49">
        <f t="shared" si="3"/>
        <v>1.2999999999999999E-3</v>
      </c>
      <c r="W31" s="49">
        <f t="shared" si="3"/>
        <v>0</v>
      </c>
      <c r="X31" s="49">
        <f t="shared" si="3"/>
        <v>9.7999999999999997E-3</v>
      </c>
      <c r="Y31" s="49">
        <f t="shared" si="3"/>
        <v>2.8E-3</v>
      </c>
      <c r="Z31" s="49">
        <f t="shared" si="3"/>
        <v>3.5000000000000005E-3</v>
      </c>
      <c r="AA31" s="49">
        <f t="shared" si="3"/>
        <v>1.7000000000000001E-3</v>
      </c>
      <c r="AB31" s="49">
        <f t="shared" si="3"/>
        <v>0</v>
      </c>
      <c r="AC31" s="49">
        <f t="shared" si="3"/>
        <v>5.0000000000000001E-4</v>
      </c>
      <c r="AD31" s="49">
        <f t="shared" si="3"/>
        <v>0</v>
      </c>
      <c r="AE31" s="49">
        <f t="shared" si="3"/>
        <v>0.17780000000000001</v>
      </c>
      <c r="AF31" s="49">
        <f t="shared" si="3"/>
        <v>0.10769999999999999</v>
      </c>
      <c r="AG31" s="49">
        <f t="shared" si="3"/>
        <v>5.3E-3</v>
      </c>
      <c r="AH31" s="49">
        <f t="shared" si="3"/>
        <v>0.3483</v>
      </c>
      <c r="AI31" s="49">
        <f t="shared" si="3"/>
        <v>0.65170000000000006</v>
      </c>
      <c r="AJ31" s="49">
        <f t="shared" si="3"/>
        <v>0.2908</v>
      </c>
      <c r="AK31" s="49">
        <f t="shared" si="3"/>
        <v>0.45895232622490212</v>
      </c>
    </row>
    <row r="33" spans="2:42" ht="15" thickBot="1" x14ac:dyDescent="0.35">
      <c r="I33" t="s">
        <v>494</v>
      </c>
      <c r="K33" s="398" t="s">
        <v>495</v>
      </c>
    </row>
    <row r="34" spans="2:42" x14ac:dyDescent="0.3">
      <c r="I34" s="520" t="s">
        <v>476</v>
      </c>
      <c r="J34" s="376" t="s">
        <v>477</v>
      </c>
      <c r="K34" s="523" t="s">
        <v>47</v>
      </c>
      <c r="L34" s="527" t="s">
        <v>75</v>
      </c>
      <c r="M34" s="529" t="s">
        <v>75</v>
      </c>
      <c r="N34" s="529" t="s">
        <v>479</v>
      </c>
      <c r="O34" s="529"/>
      <c r="P34" s="529"/>
      <c r="Q34" s="529" t="s">
        <v>75</v>
      </c>
      <c r="R34" s="537" t="s">
        <v>75</v>
      </c>
      <c r="S34" s="527" t="s">
        <v>75</v>
      </c>
      <c r="T34" s="529" t="s">
        <v>75</v>
      </c>
      <c r="U34" s="529" t="s">
        <v>75</v>
      </c>
      <c r="V34" s="529" t="s">
        <v>75</v>
      </c>
      <c r="W34" s="529" t="s">
        <v>75</v>
      </c>
      <c r="X34" s="543" t="s">
        <v>480</v>
      </c>
      <c r="Y34" s="543"/>
      <c r="Z34" s="543"/>
      <c r="AA34" s="529" t="s">
        <v>75</v>
      </c>
      <c r="AB34" s="529" t="s">
        <v>75</v>
      </c>
      <c r="AC34" s="529" t="s">
        <v>75</v>
      </c>
      <c r="AD34" s="529" t="s">
        <v>75</v>
      </c>
      <c r="AE34" s="537" t="s">
        <v>75</v>
      </c>
      <c r="AF34" s="527" t="s">
        <v>75</v>
      </c>
      <c r="AG34" s="529" t="s">
        <v>75</v>
      </c>
      <c r="AH34" s="529" t="s">
        <v>75</v>
      </c>
      <c r="AI34" s="535" t="s">
        <v>481</v>
      </c>
      <c r="AJ34" s="535"/>
      <c r="AK34" s="535"/>
      <c r="AL34" s="529" t="s">
        <v>75</v>
      </c>
      <c r="AM34" s="537" t="s">
        <v>75</v>
      </c>
      <c r="AN34" s="539" t="s">
        <v>370</v>
      </c>
      <c r="AO34" s="540"/>
    </row>
    <row r="35" spans="2:42" ht="15" thickBot="1" x14ac:dyDescent="0.35">
      <c r="I35" s="521"/>
      <c r="J35" s="377" t="s">
        <v>46</v>
      </c>
      <c r="K35" s="524"/>
      <c r="L35" s="528"/>
      <c r="M35" s="530"/>
      <c r="N35" s="530"/>
      <c r="O35" s="530"/>
      <c r="P35" s="530"/>
      <c r="Q35" s="530"/>
      <c r="R35" s="538"/>
      <c r="S35" s="528"/>
      <c r="T35" s="530"/>
      <c r="U35" s="530"/>
      <c r="V35" s="530"/>
      <c r="W35" s="530"/>
      <c r="X35" s="544"/>
      <c r="Y35" s="544"/>
      <c r="Z35" s="544"/>
      <c r="AA35" s="530"/>
      <c r="AB35" s="530"/>
      <c r="AC35" s="530"/>
      <c r="AD35" s="530"/>
      <c r="AE35" s="538"/>
      <c r="AF35" s="528"/>
      <c r="AG35" s="530"/>
      <c r="AH35" s="530"/>
      <c r="AI35" s="536"/>
      <c r="AJ35" s="536"/>
      <c r="AK35" s="536"/>
      <c r="AL35" s="530"/>
      <c r="AM35" s="538"/>
      <c r="AN35" s="541"/>
      <c r="AO35" s="542"/>
    </row>
    <row r="36" spans="2:42" x14ac:dyDescent="0.3">
      <c r="C36" s="517" t="s">
        <v>506</v>
      </c>
      <c r="D36" s="483"/>
      <c r="E36" s="483"/>
      <c r="I36" s="521"/>
      <c r="J36" s="391" t="s">
        <v>478</v>
      </c>
      <c r="K36" s="525"/>
      <c r="L36" s="518" t="s">
        <v>48</v>
      </c>
      <c r="M36" s="519"/>
      <c r="N36" s="519"/>
      <c r="O36" s="519" t="s">
        <v>49</v>
      </c>
      <c r="P36" s="519"/>
      <c r="Q36" s="519" t="s">
        <v>50</v>
      </c>
      <c r="R36" s="519"/>
      <c r="S36" s="518" t="s">
        <v>485</v>
      </c>
      <c r="T36" s="519"/>
      <c r="U36" s="519"/>
      <c r="V36" s="518" t="s">
        <v>496</v>
      </c>
      <c r="W36" s="519"/>
      <c r="X36" s="519"/>
      <c r="Y36" s="518" t="s">
        <v>54</v>
      </c>
      <c r="Z36" s="519"/>
      <c r="AA36" s="518" t="s">
        <v>55</v>
      </c>
      <c r="AB36" s="519"/>
      <c r="AC36" s="404" t="s">
        <v>497</v>
      </c>
      <c r="AD36" s="518" t="s">
        <v>486</v>
      </c>
      <c r="AE36" s="519"/>
      <c r="AF36" s="518" t="s">
        <v>48</v>
      </c>
      <c r="AG36" s="519"/>
      <c r="AH36" s="519"/>
      <c r="AI36" s="518" t="s">
        <v>53</v>
      </c>
      <c r="AJ36" s="519"/>
      <c r="AK36" s="518" t="s">
        <v>487</v>
      </c>
      <c r="AL36" s="519"/>
      <c r="AM36" s="519"/>
      <c r="AN36" s="531" t="s">
        <v>488</v>
      </c>
      <c r="AO36" s="533" t="s">
        <v>57</v>
      </c>
      <c r="AP36" t="s">
        <v>93</v>
      </c>
    </row>
    <row r="37" spans="2:42" s="53" customFormat="1" ht="15" thickBot="1" x14ac:dyDescent="0.35">
      <c r="B37"/>
      <c r="C37" s="53" t="s">
        <v>90</v>
      </c>
      <c r="D37" s="53" t="s">
        <v>91</v>
      </c>
      <c r="E37" s="53" t="s">
        <v>91</v>
      </c>
      <c r="I37" s="522"/>
      <c r="J37" s="392"/>
      <c r="K37" s="526"/>
      <c r="L37" s="393" t="s">
        <v>482</v>
      </c>
      <c r="M37" s="394" t="s">
        <v>483</v>
      </c>
      <c r="N37" s="394" t="s">
        <v>484</v>
      </c>
      <c r="O37" s="394" t="s">
        <v>482</v>
      </c>
      <c r="P37" s="394" t="s">
        <v>484</v>
      </c>
      <c r="Q37" s="394" t="s">
        <v>482</v>
      </c>
      <c r="R37" s="395" t="s">
        <v>484</v>
      </c>
      <c r="S37" s="393" t="s">
        <v>482</v>
      </c>
      <c r="T37" s="396" t="s">
        <v>483</v>
      </c>
      <c r="U37" s="396" t="s">
        <v>484</v>
      </c>
      <c r="V37" s="396" t="s">
        <v>482</v>
      </c>
      <c r="W37" s="396" t="s">
        <v>483</v>
      </c>
      <c r="X37" s="396" t="s">
        <v>484</v>
      </c>
      <c r="Y37" s="396" t="s">
        <v>482</v>
      </c>
      <c r="Z37" s="396" t="s">
        <v>484</v>
      </c>
      <c r="AA37" s="396" t="s">
        <v>482</v>
      </c>
      <c r="AB37" s="396" t="s">
        <v>484</v>
      </c>
      <c r="AC37" s="396" t="s">
        <v>483</v>
      </c>
      <c r="AD37" s="396" t="s">
        <v>483</v>
      </c>
      <c r="AE37" s="397" t="s">
        <v>484</v>
      </c>
      <c r="AF37" s="393" t="s">
        <v>482</v>
      </c>
      <c r="AG37" s="396" t="s">
        <v>483</v>
      </c>
      <c r="AH37" s="396" t="s">
        <v>484</v>
      </c>
      <c r="AI37" s="396" t="s">
        <v>483</v>
      </c>
      <c r="AJ37" s="396" t="s">
        <v>484</v>
      </c>
      <c r="AK37" s="396" t="s">
        <v>482</v>
      </c>
      <c r="AL37" s="396" t="s">
        <v>483</v>
      </c>
      <c r="AM37" s="397" t="s">
        <v>484</v>
      </c>
      <c r="AN37" s="532"/>
      <c r="AO37" s="534"/>
      <c r="AP37" s="53" t="s">
        <v>508</v>
      </c>
    </row>
    <row r="38" spans="2:42" x14ac:dyDescent="0.3">
      <c r="C38" s="53" t="s">
        <v>500</v>
      </c>
      <c r="D38" s="53" t="s">
        <v>499</v>
      </c>
      <c r="E38" t="s">
        <v>501</v>
      </c>
      <c r="I38" s="378">
        <v>1989</v>
      </c>
      <c r="J38" s="379">
        <v>113</v>
      </c>
      <c r="K38" s="379" t="s">
        <v>70</v>
      </c>
      <c r="L38" s="380">
        <v>9.6999999999999993</v>
      </c>
      <c r="M38" s="380">
        <v>0</v>
      </c>
      <c r="N38" s="380">
        <v>0</v>
      </c>
      <c r="O38" s="380">
        <v>10.6</v>
      </c>
      <c r="P38" s="380">
        <v>0</v>
      </c>
      <c r="Q38" s="380">
        <v>8.8000000000000007</v>
      </c>
      <c r="R38" s="381">
        <v>5.3</v>
      </c>
      <c r="S38" s="380">
        <v>2.7</v>
      </c>
      <c r="T38" s="380">
        <v>1.8</v>
      </c>
      <c r="U38" s="380">
        <v>0</v>
      </c>
      <c r="V38" s="380">
        <v>0</v>
      </c>
      <c r="W38" s="380">
        <v>1.8</v>
      </c>
      <c r="X38" s="380">
        <v>0</v>
      </c>
      <c r="Y38" s="380">
        <v>0.9</v>
      </c>
      <c r="Z38" s="380">
        <v>0</v>
      </c>
      <c r="AA38" s="380">
        <v>0</v>
      </c>
      <c r="AB38" s="380">
        <v>0</v>
      </c>
      <c r="AC38" s="380">
        <v>0</v>
      </c>
      <c r="AD38" s="380">
        <v>0</v>
      </c>
      <c r="AE38" s="381">
        <v>0</v>
      </c>
      <c r="AF38" s="380">
        <v>0</v>
      </c>
      <c r="AG38" s="380">
        <v>0</v>
      </c>
      <c r="AH38" s="380">
        <v>0</v>
      </c>
      <c r="AI38" s="380">
        <v>0</v>
      </c>
      <c r="AJ38" s="380">
        <v>0</v>
      </c>
      <c r="AK38" s="380">
        <v>0</v>
      </c>
      <c r="AL38" s="380">
        <v>27.4</v>
      </c>
      <c r="AM38" s="381">
        <v>12.4</v>
      </c>
      <c r="AN38" s="380">
        <v>0</v>
      </c>
      <c r="AO38" s="381">
        <v>18.600000000000001</v>
      </c>
    </row>
    <row r="39" spans="2:42" x14ac:dyDescent="0.3">
      <c r="B39" s="2" t="s">
        <v>82</v>
      </c>
      <c r="D39" s="49">
        <f>E39</f>
        <v>0.20799999999999993</v>
      </c>
      <c r="E39" s="56">
        <f>SUM(L71:N71)/100</f>
        <v>0.20799999999999993</v>
      </c>
      <c r="I39" s="382">
        <v>1990</v>
      </c>
      <c r="J39" s="383">
        <v>476</v>
      </c>
      <c r="K39" s="383" t="s">
        <v>71</v>
      </c>
      <c r="L39" s="384">
        <v>8.8000000000000007</v>
      </c>
      <c r="M39" s="384">
        <v>0.8</v>
      </c>
      <c r="N39" s="384">
        <v>0.2</v>
      </c>
      <c r="O39" s="384">
        <v>5</v>
      </c>
      <c r="P39" s="384">
        <v>0</v>
      </c>
      <c r="Q39" s="384">
        <v>8.8000000000000007</v>
      </c>
      <c r="R39" s="385">
        <v>3.6</v>
      </c>
      <c r="S39" s="384">
        <v>0.4</v>
      </c>
      <c r="T39" s="384">
        <v>0.4</v>
      </c>
      <c r="U39" s="384">
        <v>0</v>
      </c>
      <c r="V39" s="384">
        <v>0</v>
      </c>
      <c r="W39" s="384">
        <v>0.2</v>
      </c>
      <c r="X39" s="384">
        <v>0</v>
      </c>
      <c r="Y39" s="384">
        <v>0.6</v>
      </c>
      <c r="Z39" s="384">
        <v>0.8</v>
      </c>
      <c r="AA39" s="384">
        <v>0</v>
      </c>
      <c r="AB39" s="384">
        <v>0</v>
      </c>
      <c r="AC39" s="384">
        <v>0</v>
      </c>
      <c r="AD39" s="384">
        <v>0</v>
      </c>
      <c r="AE39" s="385">
        <v>0</v>
      </c>
      <c r="AF39" s="384">
        <v>0</v>
      </c>
      <c r="AG39" s="384">
        <v>0</v>
      </c>
      <c r="AH39" s="384">
        <v>0</v>
      </c>
      <c r="AI39" s="384">
        <v>0</v>
      </c>
      <c r="AJ39" s="384">
        <v>0</v>
      </c>
      <c r="AK39" s="384">
        <v>0</v>
      </c>
      <c r="AL39" s="384">
        <v>20.8</v>
      </c>
      <c r="AM39" s="385">
        <v>5.9</v>
      </c>
      <c r="AN39" s="384">
        <v>0</v>
      </c>
      <c r="AO39" s="385">
        <v>43.5</v>
      </c>
    </row>
    <row r="40" spans="2:42" x14ac:dyDescent="0.3">
      <c r="B40" s="2" t="s">
        <v>83</v>
      </c>
      <c r="D40" s="49">
        <f t="shared" ref="D40:D41" si="4">E40</f>
        <v>0.12310000000000003</v>
      </c>
      <c r="E40" s="56">
        <f>SUM(O71:X71)/100</f>
        <v>0.12310000000000003</v>
      </c>
      <c r="I40" s="382">
        <v>1991</v>
      </c>
      <c r="J40" s="383">
        <v>614</v>
      </c>
      <c r="K40" s="383" t="s">
        <v>72</v>
      </c>
      <c r="L40" s="384">
        <v>10.7</v>
      </c>
      <c r="M40" s="384">
        <v>0</v>
      </c>
      <c r="N40" s="384">
        <v>1.5</v>
      </c>
      <c r="O40" s="384">
        <v>10.6</v>
      </c>
      <c r="P40" s="384">
        <v>0.5</v>
      </c>
      <c r="Q40" s="384">
        <v>5.2</v>
      </c>
      <c r="R40" s="385">
        <v>0</v>
      </c>
      <c r="S40" s="384">
        <v>0.2</v>
      </c>
      <c r="T40" s="384">
        <v>0</v>
      </c>
      <c r="U40" s="384">
        <v>0</v>
      </c>
      <c r="V40" s="384">
        <v>0</v>
      </c>
      <c r="W40" s="384">
        <v>0</v>
      </c>
      <c r="X40" s="384">
        <v>1</v>
      </c>
      <c r="Y40" s="384">
        <v>0.5</v>
      </c>
      <c r="Z40" s="384">
        <v>0</v>
      </c>
      <c r="AA40" s="384">
        <v>0.5</v>
      </c>
      <c r="AB40" s="384">
        <v>0.5</v>
      </c>
      <c r="AC40" s="384">
        <v>0</v>
      </c>
      <c r="AD40" s="384">
        <v>0</v>
      </c>
      <c r="AE40" s="385">
        <v>0</v>
      </c>
      <c r="AF40" s="384">
        <v>0</v>
      </c>
      <c r="AG40" s="384">
        <v>0</v>
      </c>
      <c r="AH40" s="384">
        <v>0</v>
      </c>
      <c r="AI40" s="384">
        <v>0</v>
      </c>
      <c r="AJ40" s="384">
        <v>0</v>
      </c>
      <c r="AK40" s="384">
        <v>0</v>
      </c>
      <c r="AL40" s="384">
        <v>22.5</v>
      </c>
      <c r="AM40" s="385">
        <v>3.7</v>
      </c>
      <c r="AN40" s="384">
        <v>0</v>
      </c>
      <c r="AO40" s="385">
        <v>42.7</v>
      </c>
    </row>
    <row r="41" spans="2:42" x14ac:dyDescent="0.3">
      <c r="B41" s="2" t="s">
        <v>84</v>
      </c>
      <c r="D41" s="49">
        <f t="shared" si="4"/>
        <v>2.4700000000000003E-2</v>
      </c>
      <c r="E41" s="56">
        <f>SUM(Y71:AE71)/100</f>
        <v>2.4700000000000003E-2</v>
      </c>
      <c r="I41" s="382">
        <v>1992</v>
      </c>
      <c r="J41" s="383">
        <v>364</v>
      </c>
      <c r="K41" s="383" t="s">
        <v>72</v>
      </c>
      <c r="L41" s="384">
        <v>15.9</v>
      </c>
      <c r="M41" s="384">
        <v>15.4</v>
      </c>
      <c r="N41" s="384">
        <v>1.4</v>
      </c>
      <c r="O41" s="384">
        <v>6</v>
      </c>
      <c r="P41" s="384">
        <v>0</v>
      </c>
      <c r="Q41" s="384">
        <v>15.7</v>
      </c>
      <c r="R41" s="385">
        <v>0</v>
      </c>
      <c r="S41" s="384">
        <v>0</v>
      </c>
      <c r="T41" s="384">
        <v>0</v>
      </c>
      <c r="U41" s="384">
        <v>0</v>
      </c>
      <c r="V41" s="384">
        <v>0</v>
      </c>
      <c r="W41" s="384">
        <v>0</v>
      </c>
      <c r="X41" s="384">
        <v>0</v>
      </c>
      <c r="Y41" s="384">
        <v>0</v>
      </c>
      <c r="Z41" s="384">
        <v>0.8</v>
      </c>
      <c r="AA41" s="384">
        <v>0.8</v>
      </c>
      <c r="AB41" s="384">
        <v>0</v>
      </c>
      <c r="AC41" s="384">
        <v>0</v>
      </c>
      <c r="AD41" s="384">
        <v>0</v>
      </c>
      <c r="AE41" s="385">
        <v>0</v>
      </c>
      <c r="AF41" s="384">
        <v>0</v>
      </c>
      <c r="AG41" s="384">
        <v>0</v>
      </c>
      <c r="AH41" s="384">
        <v>0</v>
      </c>
      <c r="AI41" s="384">
        <v>0</v>
      </c>
      <c r="AJ41" s="384">
        <v>0</v>
      </c>
      <c r="AK41" s="384">
        <v>0</v>
      </c>
      <c r="AL41" s="384">
        <v>14.6</v>
      </c>
      <c r="AM41" s="385">
        <v>1.4</v>
      </c>
      <c r="AN41" s="384">
        <v>0</v>
      </c>
      <c r="AO41" s="385">
        <v>28</v>
      </c>
    </row>
    <row r="42" spans="2:42" x14ac:dyDescent="0.3">
      <c r="B42" t="s">
        <v>87</v>
      </c>
      <c r="C42" s="54">
        <f>Run!J38</f>
        <v>6.4964499773168496E-2</v>
      </c>
      <c r="D42" s="54">
        <f>C42*(1-SUM(Fisheries!$D$39:$D$41))</f>
        <v>4.1850130753875149E-2</v>
      </c>
      <c r="E42" s="56"/>
      <c r="I42" s="382">
        <v>1993</v>
      </c>
      <c r="J42" s="383">
        <v>413</v>
      </c>
      <c r="K42" s="383" t="s">
        <v>72</v>
      </c>
      <c r="L42" s="384">
        <v>18.899999999999999</v>
      </c>
      <c r="M42" s="384">
        <v>0</v>
      </c>
      <c r="N42" s="384">
        <v>2.2000000000000002</v>
      </c>
      <c r="O42" s="384">
        <v>3.1</v>
      </c>
      <c r="P42" s="384">
        <v>1.2</v>
      </c>
      <c r="Q42" s="384">
        <v>6.1</v>
      </c>
      <c r="R42" s="385">
        <v>1.9</v>
      </c>
      <c r="S42" s="384">
        <v>0</v>
      </c>
      <c r="T42" s="384">
        <v>0.5</v>
      </c>
      <c r="U42" s="384">
        <v>0</v>
      </c>
      <c r="V42" s="384">
        <v>0</v>
      </c>
      <c r="W42" s="384">
        <v>1.7</v>
      </c>
      <c r="X42" s="384">
        <v>0</v>
      </c>
      <c r="Y42" s="384">
        <v>3.6</v>
      </c>
      <c r="Z42" s="384">
        <v>0</v>
      </c>
      <c r="AA42" s="384">
        <v>0</v>
      </c>
      <c r="AB42" s="384">
        <v>0</v>
      </c>
      <c r="AC42" s="384">
        <v>0</v>
      </c>
      <c r="AD42" s="384">
        <v>0</v>
      </c>
      <c r="AE42" s="385">
        <v>1</v>
      </c>
      <c r="AF42" s="384">
        <v>0</v>
      </c>
      <c r="AG42" s="384">
        <v>0</v>
      </c>
      <c r="AH42" s="384">
        <v>0</v>
      </c>
      <c r="AI42" s="384">
        <v>0</v>
      </c>
      <c r="AJ42" s="384">
        <v>0</v>
      </c>
      <c r="AK42" s="384">
        <v>0</v>
      </c>
      <c r="AL42" s="384">
        <v>14.8</v>
      </c>
      <c r="AM42" s="385">
        <v>6.8</v>
      </c>
      <c r="AN42" s="384">
        <v>1.2</v>
      </c>
      <c r="AO42" s="385">
        <v>37</v>
      </c>
    </row>
    <row r="43" spans="2:42" x14ac:dyDescent="0.3">
      <c r="B43" t="s">
        <v>88</v>
      </c>
      <c r="C43" s="54">
        <f>Run!K38</f>
        <v>5.7555928656692748E-2</v>
      </c>
      <c r="D43" s="54">
        <f>C43*(1-SUM(Fisheries!$D$39:$D$41))</f>
        <v>3.7077529240641477E-2</v>
      </c>
      <c r="E43" s="56"/>
      <c r="I43" s="382">
        <v>1994</v>
      </c>
      <c r="J43" s="383">
        <v>768</v>
      </c>
      <c r="K43" s="383" t="s">
        <v>72</v>
      </c>
      <c r="L43" s="384">
        <v>17.100000000000001</v>
      </c>
      <c r="M43" s="384">
        <v>3.1</v>
      </c>
      <c r="N43" s="384">
        <v>0</v>
      </c>
      <c r="O43" s="384">
        <v>5.5</v>
      </c>
      <c r="P43" s="384">
        <v>0</v>
      </c>
      <c r="Q43" s="384">
        <v>4.7</v>
      </c>
      <c r="R43" s="385">
        <v>0</v>
      </c>
      <c r="S43" s="384">
        <v>0.3</v>
      </c>
      <c r="T43" s="384">
        <v>1</v>
      </c>
      <c r="U43" s="384">
        <v>0</v>
      </c>
      <c r="V43" s="384">
        <v>0</v>
      </c>
      <c r="W43" s="384">
        <v>0.3</v>
      </c>
      <c r="X43" s="384">
        <v>0</v>
      </c>
      <c r="Y43" s="384">
        <v>0.7</v>
      </c>
      <c r="Z43" s="384">
        <v>0</v>
      </c>
      <c r="AA43" s="384">
        <v>0</v>
      </c>
      <c r="AB43" s="384">
        <v>0</v>
      </c>
      <c r="AC43" s="384">
        <v>0</v>
      </c>
      <c r="AD43" s="384">
        <v>0</v>
      </c>
      <c r="AE43" s="385">
        <v>0</v>
      </c>
      <c r="AF43" s="384">
        <v>0</v>
      </c>
      <c r="AG43" s="384">
        <v>0</v>
      </c>
      <c r="AH43" s="384">
        <v>0</v>
      </c>
      <c r="AI43" s="384">
        <v>0</v>
      </c>
      <c r="AJ43" s="384">
        <v>0</v>
      </c>
      <c r="AK43" s="384">
        <v>0</v>
      </c>
      <c r="AL43" s="384">
        <v>5.3</v>
      </c>
      <c r="AM43" s="385">
        <v>12</v>
      </c>
      <c r="AN43" s="384">
        <v>0</v>
      </c>
      <c r="AO43" s="385">
        <v>50.1</v>
      </c>
    </row>
    <row r="44" spans="2:42" x14ac:dyDescent="0.3">
      <c r="B44" s="2" t="s">
        <v>89</v>
      </c>
      <c r="C44" s="54">
        <f>Run!L38</f>
        <v>0.22460837390154112</v>
      </c>
      <c r="D44" s="54">
        <f>C44*(1-SUM(Fisheries!$D$39:$D$41))</f>
        <v>0.14469271446737281</v>
      </c>
      <c r="E44" s="56"/>
      <c r="I44" s="382">
        <v>1995</v>
      </c>
      <c r="J44" s="383">
        <v>688</v>
      </c>
      <c r="K44" s="383" t="s">
        <v>72</v>
      </c>
      <c r="L44" s="384">
        <v>13.4</v>
      </c>
      <c r="M44" s="384">
        <v>0</v>
      </c>
      <c r="N44" s="384">
        <v>4.2</v>
      </c>
      <c r="O44" s="384">
        <v>5.5</v>
      </c>
      <c r="P44" s="384">
        <v>0</v>
      </c>
      <c r="Q44" s="384">
        <v>2.9</v>
      </c>
      <c r="R44" s="385">
        <v>0</v>
      </c>
      <c r="S44" s="384">
        <v>0</v>
      </c>
      <c r="T44" s="384">
        <v>0</v>
      </c>
      <c r="U44" s="384">
        <v>0</v>
      </c>
      <c r="V44" s="384">
        <v>0</v>
      </c>
      <c r="W44" s="384">
        <v>0</v>
      </c>
      <c r="X44" s="384">
        <v>0</v>
      </c>
      <c r="Y44" s="384">
        <v>0</v>
      </c>
      <c r="Z44" s="384">
        <v>0</v>
      </c>
      <c r="AA44" s="384">
        <v>0</v>
      </c>
      <c r="AB44" s="384">
        <v>0</v>
      </c>
      <c r="AC44" s="384">
        <v>0</v>
      </c>
      <c r="AD44" s="384">
        <v>0</v>
      </c>
      <c r="AE44" s="385">
        <v>0</v>
      </c>
      <c r="AF44" s="384">
        <v>0</v>
      </c>
      <c r="AG44" s="384">
        <v>0</v>
      </c>
      <c r="AH44" s="384">
        <v>0</v>
      </c>
      <c r="AI44" s="384">
        <v>0</v>
      </c>
      <c r="AJ44" s="384">
        <v>0</v>
      </c>
      <c r="AK44" s="384">
        <v>0</v>
      </c>
      <c r="AL44" s="384">
        <v>9.3000000000000007</v>
      </c>
      <c r="AM44" s="385">
        <v>6.8</v>
      </c>
      <c r="AN44" s="384">
        <v>0</v>
      </c>
      <c r="AO44" s="385">
        <v>57.8</v>
      </c>
    </row>
    <row r="45" spans="2:42" x14ac:dyDescent="0.3">
      <c r="B45" s="21" t="s">
        <v>33</v>
      </c>
      <c r="C45" s="424">
        <f>Run!M38</f>
        <v>5.1783043294201692E-2</v>
      </c>
      <c r="D45" s="425">
        <f>C45*(1-SUM(Fisheries!$D$39:$D$41))</f>
        <v>3.3358636490124736E-2</v>
      </c>
      <c r="E45" s="406">
        <f>SUM(AL71:AM71)/100</f>
        <v>0.29730000000000001</v>
      </c>
      <c r="I45" s="382">
        <v>1996</v>
      </c>
      <c r="J45" s="383">
        <v>623</v>
      </c>
      <c r="K45" s="383" t="s">
        <v>72</v>
      </c>
      <c r="L45" s="384">
        <v>13.2</v>
      </c>
      <c r="M45" s="384">
        <v>0</v>
      </c>
      <c r="N45" s="384">
        <v>0</v>
      </c>
      <c r="O45" s="384">
        <v>0.8</v>
      </c>
      <c r="P45" s="384">
        <v>0</v>
      </c>
      <c r="Q45" s="384">
        <v>0.6</v>
      </c>
      <c r="R45" s="385">
        <v>0</v>
      </c>
      <c r="S45" s="384">
        <v>0</v>
      </c>
      <c r="T45" s="384">
        <v>0.6</v>
      </c>
      <c r="U45" s="384">
        <v>0</v>
      </c>
      <c r="V45" s="384">
        <v>0</v>
      </c>
      <c r="W45" s="384">
        <v>0</v>
      </c>
      <c r="X45" s="384">
        <v>0</v>
      </c>
      <c r="Y45" s="384">
        <v>0</v>
      </c>
      <c r="Z45" s="384">
        <v>0</v>
      </c>
      <c r="AA45" s="384">
        <v>0</v>
      </c>
      <c r="AB45" s="384">
        <v>0</v>
      </c>
      <c r="AC45" s="384">
        <v>0</v>
      </c>
      <c r="AD45" s="384">
        <v>0</v>
      </c>
      <c r="AE45" s="385">
        <v>0</v>
      </c>
      <c r="AF45" s="384">
        <v>0</v>
      </c>
      <c r="AG45" s="384">
        <v>0</v>
      </c>
      <c r="AH45" s="384">
        <v>0</v>
      </c>
      <c r="AI45" s="384">
        <v>0</v>
      </c>
      <c r="AJ45" s="384">
        <v>0.2</v>
      </c>
      <c r="AK45" s="384">
        <v>0</v>
      </c>
      <c r="AL45" s="384">
        <v>27</v>
      </c>
      <c r="AM45" s="385">
        <v>7.5</v>
      </c>
      <c r="AN45" s="384">
        <v>0</v>
      </c>
      <c r="AO45" s="385">
        <v>50.1</v>
      </c>
    </row>
    <row r="46" spans="2:42" x14ac:dyDescent="0.3">
      <c r="B46" t="s">
        <v>93</v>
      </c>
      <c r="C46" s="49">
        <f>SUM(C39:C45)</f>
        <v>0.39891184562560406</v>
      </c>
      <c r="D46" s="49">
        <f>SUM(D39:D45)</f>
        <v>0.61277901095201404</v>
      </c>
      <c r="E46" s="56">
        <f>SUM(E39:E45)</f>
        <v>0.65310000000000001</v>
      </c>
      <c r="I46" s="382">
        <v>1997</v>
      </c>
      <c r="J46" s="383">
        <v>647</v>
      </c>
      <c r="K46" s="383" t="s">
        <v>72</v>
      </c>
      <c r="L46" s="384">
        <v>16.8</v>
      </c>
      <c r="M46" s="384">
        <v>1.1000000000000001</v>
      </c>
      <c r="N46" s="384">
        <v>1.1000000000000001</v>
      </c>
      <c r="O46" s="384">
        <v>3.1</v>
      </c>
      <c r="P46" s="384">
        <v>3.1</v>
      </c>
      <c r="Q46" s="384">
        <v>0.8</v>
      </c>
      <c r="R46" s="385">
        <v>0</v>
      </c>
      <c r="S46" s="384">
        <v>0</v>
      </c>
      <c r="T46" s="384">
        <v>0</v>
      </c>
      <c r="U46" s="384">
        <v>0</v>
      </c>
      <c r="V46" s="384">
        <v>0</v>
      </c>
      <c r="W46" s="384">
        <v>0</v>
      </c>
      <c r="X46" s="384">
        <v>0</v>
      </c>
      <c r="Y46" s="384">
        <v>0</v>
      </c>
      <c r="Z46" s="384">
        <v>0</v>
      </c>
      <c r="AA46" s="384">
        <v>0.9</v>
      </c>
      <c r="AB46" s="384">
        <v>0</v>
      </c>
      <c r="AC46" s="384">
        <v>0</v>
      </c>
      <c r="AD46" s="384">
        <v>0</v>
      </c>
      <c r="AE46" s="385">
        <v>0</v>
      </c>
      <c r="AF46" s="384">
        <v>0</v>
      </c>
      <c r="AG46" s="384">
        <v>0</v>
      </c>
      <c r="AH46" s="384">
        <v>0</v>
      </c>
      <c r="AI46" s="384">
        <v>0</v>
      </c>
      <c r="AJ46" s="384">
        <v>0</v>
      </c>
      <c r="AK46" s="384">
        <v>0</v>
      </c>
      <c r="AL46" s="384">
        <v>13.6</v>
      </c>
      <c r="AM46" s="385">
        <v>7.1</v>
      </c>
      <c r="AN46" s="384">
        <v>0</v>
      </c>
      <c r="AO46" s="385">
        <v>52.4</v>
      </c>
    </row>
    <row r="47" spans="2:42" x14ac:dyDescent="0.3">
      <c r="D47" s="49"/>
      <c r="E47" s="56"/>
      <c r="I47" s="382">
        <v>1998</v>
      </c>
      <c r="J47" s="383">
        <v>332</v>
      </c>
      <c r="K47" s="383" t="s">
        <v>72</v>
      </c>
      <c r="L47" s="384">
        <v>13.9</v>
      </c>
      <c r="M47" s="384">
        <v>0</v>
      </c>
      <c r="N47" s="384">
        <v>0</v>
      </c>
      <c r="O47" s="384">
        <v>11.4</v>
      </c>
      <c r="P47" s="384">
        <v>0.6</v>
      </c>
      <c r="Q47" s="384">
        <v>0</v>
      </c>
      <c r="R47" s="385">
        <v>0</v>
      </c>
      <c r="S47" s="384">
        <v>0</v>
      </c>
      <c r="T47" s="384">
        <v>0</v>
      </c>
      <c r="U47" s="384">
        <v>0</v>
      </c>
      <c r="V47" s="384">
        <v>0</v>
      </c>
      <c r="W47" s="384">
        <v>0</v>
      </c>
      <c r="X47" s="384">
        <v>0</v>
      </c>
      <c r="Y47" s="384">
        <v>0</v>
      </c>
      <c r="Z47" s="384">
        <v>0</v>
      </c>
      <c r="AA47" s="384">
        <v>0</v>
      </c>
      <c r="AB47" s="384">
        <v>0</v>
      </c>
      <c r="AC47" s="384">
        <v>0</v>
      </c>
      <c r="AD47" s="384">
        <v>0</v>
      </c>
      <c r="AE47" s="385">
        <v>0</v>
      </c>
      <c r="AF47" s="384">
        <v>0</v>
      </c>
      <c r="AG47" s="384">
        <v>0</v>
      </c>
      <c r="AH47" s="384">
        <v>0</v>
      </c>
      <c r="AI47" s="384">
        <v>0</v>
      </c>
      <c r="AJ47" s="384">
        <v>0</v>
      </c>
      <c r="AK47" s="384">
        <v>0</v>
      </c>
      <c r="AL47" s="384">
        <v>17.2</v>
      </c>
      <c r="AM47" s="385">
        <v>6.3</v>
      </c>
      <c r="AN47" s="384">
        <v>0</v>
      </c>
      <c r="AO47" s="385">
        <v>50.6</v>
      </c>
    </row>
    <row r="48" spans="2:42" x14ac:dyDescent="0.3">
      <c r="B48" t="s">
        <v>505</v>
      </c>
      <c r="C48" s="56"/>
      <c r="D48" s="56">
        <f t="shared" ref="D48" si="5">SUM(D39:D41)</f>
        <v>0.35579999999999995</v>
      </c>
      <c r="E48" s="56">
        <f>SUM(E39:E41)</f>
        <v>0.35579999999999995</v>
      </c>
      <c r="I48" s="382">
        <v>1999</v>
      </c>
      <c r="J48" s="383">
        <v>276</v>
      </c>
      <c r="K48" s="383" t="s">
        <v>72</v>
      </c>
      <c r="L48" s="384">
        <v>13.4</v>
      </c>
      <c r="M48" s="384">
        <v>0.4</v>
      </c>
      <c r="N48" s="384">
        <v>2.2000000000000002</v>
      </c>
      <c r="O48" s="384">
        <v>13</v>
      </c>
      <c r="P48" s="384">
        <v>0</v>
      </c>
      <c r="Q48" s="384">
        <v>0</v>
      </c>
      <c r="R48" s="385">
        <v>0</v>
      </c>
      <c r="S48" s="384">
        <v>0</v>
      </c>
      <c r="T48" s="384">
        <v>0</v>
      </c>
      <c r="U48" s="384">
        <v>0</v>
      </c>
      <c r="V48" s="384">
        <v>0</v>
      </c>
      <c r="W48" s="384">
        <v>0</v>
      </c>
      <c r="X48" s="384">
        <v>0</v>
      </c>
      <c r="Y48" s="384">
        <v>0</v>
      </c>
      <c r="Z48" s="384">
        <v>0</v>
      </c>
      <c r="AA48" s="384">
        <v>0</v>
      </c>
      <c r="AB48" s="384">
        <v>0</v>
      </c>
      <c r="AC48" s="384">
        <v>0</v>
      </c>
      <c r="AD48" s="384">
        <v>0</v>
      </c>
      <c r="AE48" s="385">
        <v>0</v>
      </c>
      <c r="AF48" s="384">
        <v>0</v>
      </c>
      <c r="AG48" s="384">
        <v>0</v>
      </c>
      <c r="AH48" s="384">
        <v>0</v>
      </c>
      <c r="AI48" s="384">
        <v>0</v>
      </c>
      <c r="AJ48" s="384">
        <v>0</v>
      </c>
      <c r="AK48" s="384">
        <v>0</v>
      </c>
      <c r="AL48" s="384">
        <v>11.2</v>
      </c>
      <c r="AM48" s="385">
        <v>5.8</v>
      </c>
      <c r="AN48" s="384">
        <v>0</v>
      </c>
      <c r="AO48" s="385">
        <v>54</v>
      </c>
    </row>
    <row r="49" spans="2:41" x14ac:dyDescent="0.3">
      <c r="B49" t="s">
        <v>504</v>
      </c>
      <c r="C49" s="56">
        <f t="shared" ref="C49:D49" si="6">SUM(C42:C45)</f>
        <v>0.39891184562560406</v>
      </c>
      <c r="D49" s="56">
        <f t="shared" si="6"/>
        <v>0.25697901095201414</v>
      </c>
      <c r="E49" s="56">
        <f>SUM(E42:E45)</f>
        <v>0.29730000000000001</v>
      </c>
      <c r="I49" s="382">
        <v>2000</v>
      </c>
      <c r="J49" s="383">
        <v>230</v>
      </c>
      <c r="K49" s="383" t="s">
        <v>72</v>
      </c>
      <c r="L49" s="384">
        <v>20.9</v>
      </c>
      <c r="M49" s="384">
        <v>0.4</v>
      </c>
      <c r="N49" s="384">
        <v>2.2000000000000002</v>
      </c>
      <c r="O49" s="384">
        <v>0</v>
      </c>
      <c r="P49" s="384">
        <v>0</v>
      </c>
      <c r="Q49" s="384">
        <v>0</v>
      </c>
      <c r="R49" s="385">
        <v>0</v>
      </c>
      <c r="S49" s="384">
        <v>0</v>
      </c>
      <c r="T49" s="384">
        <v>0</v>
      </c>
      <c r="U49" s="384">
        <v>0</v>
      </c>
      <c r="V49" s="384">
        <v>0</v>
      </c>
      <c r="W49" s="384">
        <v>0</v>
      </c>
      <c r="X49" s="384">
        <v>0</v>
      </c>
      <c r="Y49" s="384">
        <v>0</v>
      </c>
      <c r="Z49" s="384">
        <v>0</v>
      </c>
      <c r="AA49" s="384">
        <v>0</v>
      </c>
      <c r="AB49" s="384">
        <v>0</v>
      </c>
      <c r="AC49" s="384">
        <v>0</v>
      </c>
      <c r="AD49" s="384">
        <v>0</v>
      </c>
      <c r="AE49" s="385">
        <v>0</v>
      </c>
      <c r="AF49" s="384">
        <v>0</v>
      </c>
      <c r="AG49" s="384">
        <v>0</v>
      </c>
      <c r="AH49" s="384">
        <v>0</v>
      </c>
      <c r="AI49" s="384">
        <v>0</v>
      </c>
      <c r="AJ49" s="384">
        <v>0</v>
      </c>
      <c r="AK49" s="384">
        <v>0</v>
      </c>
      <c r="AL49" s="384">
        <v>27.8</v>
      </c>
      <c r="AM49" s="385">
        <v>5.2</v>
      </c>
      <c r="AN49" s="384">
        <v>0</v>
      </c>
      <c r="AO49" s="385">
        <v>43.5</v>
      </c>
    </row>
    <row r="50" spans="2:41" x14ac:dyDescent="0.3">
      <c r="D50" s="56"/>
      <c r="E50" s="56"/>
      <c r="I50" s="382">
        <v>2001</v>
      </c>
      <c r="J50" s="383">
        <v>354</v>
      </c>
      <c r="K50" s="383" t="s">
        <v>72</v>
      </c>
      <c r="L50" s="384">
        <v>5.9</v>
      </c>
      <c r="M50" s="384">
        <v>0.6</v>
      </c>
      <c r="N50" s="384">
        <v>1.7</v>
      </c>
      <c r="O50" s="384">
        <v>0</v>
      </c>
      <c r="P50" s="384">
        <v>0</v>
      </c>
      <c r="Q50" s="384">
        <v>0</v>
      </c>
      <c r="R50" s="385">
        <v>0</v>
      </c>
      <c r="S50" s="384">
        <v>0</v>
      </c>
      <c r="T50" s="384">
        <v>0</v>
      </c>
      <c r="U50" s="384">
        <v>0</v>
      </c>
      <c r="V50" s="384">
        <v>0</v>
      </c>
      <c r="W50" s="384">
        <v>0</v>
      </c>
      <c r="X50" s="384">
        <v>0</v>
      </c>
      <c r="Y50" s="384">
        <v>0.8</v>
      </c>
      <c r="Z50" s="384">
        <v>0</v>
      </c>
      <c r="AA50" s="384">
        <v>0.6</v>
      </c>
      <c r="AB50" s="384">
        <v>0</v>
      </c>
      <c r="AC50" s="384">
        <v>0</v>
      </c>
      <c r="AD50" s="384">
        <v>0</v>
      </c>
      <c r="AE50" s="385">
        <v>0</v>
      </c>
      <c r="AF50" s="384">
        <v>0</v>
      </c>
      <c r="AG50" s="384">
        <v>0</v>
      </c>
      <c r="AH50" s="384">
        <v>0</v>
      </c>
      <c r="AI50" s="384">
        <v>0</v>
      </c>
      <c r="AJ50" s="384">
        <v>0</v>
      </c>
      <c r="AK50" s="384">
        <v>0</v>
      </c>
      <c r="AL50" s="384">
        <v>20.100000000000001</v>
      </c>
      <c r="AM50" s="385">
        <v>14.4</v>
      </c>
      <c r="AN50" s="384">
        <v>0</v>
      </c>
      <c r="AO50" s="385">
        <v>55.9</v>
      </c>
    </row>
    <row r="51" spans="2:41" x14ac:dyDescent="0.3">
      <c r="E51" s="56"/>
      <c r="I51" s="382">
        <v>2002</v>
      </c>
      <c r="J51" s="383">
        <v>883</v>
      </c>
      <c r="K51" s="383" t="s">
        <v>72</v>
      </c>
      <c r="L51" s="384">
        <v>17.8</v>
      </c>
      <c r="M51" s="384">
        <v>0</v>
      </c>
      <c r="N51" s="384">
        <v>1.1000000000000001</v>
      </c>
      <c r="O51" s="384">
        <v>0.8</v>
      </c>
      <c r="P51" s="384">
        <v>0.6</v>
      </c>
      <c r="Q51" s="384">
        <v>2.7</v>
      </c>
      <c r="R51" s="385">
        <v>0</v>
      </c>
      <c r="S51" s="384">
        <v>0</v>
      </c>
      <c r="T51" s="384">
        <v>0</v>
      </c>
      <c r="U51" s="384">
        <v>0</v>
      </c>
      <c r="V51" s="384">
        <v>0</v>
      </c>
      <c r="W51" s="384">
        <v>0</v>
      </c>
      <c r="X51" s="384">
        <v>0</v>
      </c>
      <c r="Y51" s="384">
        <v>0.9</v>
      </c>
      <c r="Z51" s="384">
        <v>0</v>
      </c>
      <c r="AA51" s="384">
        <v>0.7</v>
      </c>
      <c r="AB51" s="384">
        <v>0.2</v>
      </c>
      <c r="AC51" s="384">
        <v>0</v>
      </c>
      <c r="AD51" s="384">
        <v>0</v>
      </c>
      <c r="AE51" s="385">
        <v>0</v>
      </c>
      <c r="AF51" s="384">
        <v>0</v>
      </c>
      <c r="AG51" s="384">
        <v>0</v>
      </c>
      <c r="AH51" s="384">
        <v>0</v>
      </c>
      <c r="AI51" s="384">
        <v>0</v>
      </c>
      <c r="AJ51" s="384">
        <v>0</v>
      </c>
      <c r="AK51" s="384">
        <v>0</v>
      </c>
      <c r="AL51" s="384">
        <v>9.5</v>
      </c>
      <c r="AM51" s="385">
        <v>10.6</v>
      </c>
      <c r="AN51" s="384">
        <v>1.9</v>
      </c>
      <c r="AO51" s="385">
        <v>53.1</v>
      </c>
    </row>
    <row r="52" spans="2:41" x14ac:dyDescent="0.3">
      <c r="I52" s="382">
        <v>2003</v>
      </c>
      <c r="J52" s="383">
        <v>1544</v>
      </c>
      <c r="K52" s="383" t="s">
        <v>72</v>
      </c>
      <c r="L52" s="384">
        <v>13.7</v>
      </c>
      <c r="M52" s="384">
        <v>0</v>
      </c>
      <c r="N52" s="384">
        <v>0.9</v>
      </c>
      <c r="O52" s="384">
        <v>4.0999999999999996</v>
      </c>
      <c r="P52" s="384">
        <v>1.1000000000000001</v>
      </c>
      <c r="Q52" s="384">
        <v>0</v>
      </c>
      <c r="R52" s="385">
        <v>0.4</v>
      </c>
      <c r="S52" s="384">
        <v>0</v>
      </c>
      <c r="T52" s="384">
        <v>0</v>
      </c>
      <c r="U52" s="384">
        <v>0</v>
      </c>
      <c r="V52" s="384">
        <v>0</v>
      </c>
      <c r="W52" s="384">
        <v>0</v>
      </c>
      <c r="X52" s="384">
        <v>0</v>
      </c>
      <c r="Y52" s="384">
        <v>0.3</v>
      </c>
      <c r="Z52" s="384">
        <v>0.3</v>
      </c>
      <c r="AA52" s="384">
        <v>0.3</v>
      </c>
      <c r="AB52" s="384">
        <v>0</v>
      </c>
      <c r="AC52" s="384">
        <v>0</v>
      </c>
      <c r="AD52" s="384">
        <v>0</v>
      </c>
      <c r="AE52" s="385">
        <v>0</v>
      </c>
      <c r="AF52" s="384">
        <v>0</v>
      </c>
      <c r="AG52" s="384">
        <v>0</v>
      </c>
      <c r="AH52" s="384">
        <v>0</v>
      </c>
      <c r="AI52" s="384">
        <v>0</v>
      </c>
      <c r="AJ52" s="384">
        <v>0</v>
      </c>
      <c r="AK52" s="384">
        <v>0</v>
      </c>
      <c r="AL52" s="384">
        <v>13.8</v>
      </c>
      <c r="AM52" s="385">
        <v>9.1999999999999993</v>
      </c>
      <c r="AN52" s="384">
        <v>0</v>
      </c>
      <c r="AO52" s="385">
        <v>56</v>
      </c>
    </row>
    <row r="53" spans="2:41" x14ac:dyDescent="0.3">
      <c r="I53" s="382">
        <v>2004</v>
      </c>
      <c r="J53" s="383">
        <v>1889</v>
      </c>
      <c r="K53" s="383" t="s">
        <v>72</v>
      </c>
      <c r="L53" s="384">
        <v>18.8</v>
      </c>
      <c r="M53" s="384">
        <v>2.1</v>
      </c>
      <c r="N53" s="384">
        <v>2.5</v>
      </c>
      <c r="O53" s="384">
        <v>6.6</v>
      </c>
      <c r="P53" s="384">
        <v>3.3</v>
      </c>
      <c r="Q53" s="384">
        <v>2.8</v>
      </c>
      <c r="R53" s="385">
        <v>0</v>
      </c>
      <c r="S53" s="384">
        <v>0</v>
      </c>
      <c r="T53" s="384">
        <v>0</v>
      </c>
      <c r="U53" s="384">
        <v>0</v>
      </c>
      <c r="V53" s="384">
        <v>0</v>
      </c>
      <c r="W53" s="384">
        <v>0</v>
      </c>
      <c r="X53" s="384">
        <v>0.4</v>
      </c>
      <c r="Y53" s="384">
        <v>0.2</v>
      </c>
      <c r="Z53" s="384">
        <v>0.3</v>
      </c>
      <c r="AA53" s="384">
        <v>0.2</v>
      </c>
      <c r="AB53" s="384">
        <v>0</v>
      </c>
      <c r="AC53" s="384">
        <v>0.2</v>
      </c>
      <c r="AD53" s="384">
        <v>0</v>
      </c>
      <c r="AE53" s="385">
        <v>0</v>
      </c>
      <c r="AF53" s="384">
        <v>0</v>
      </c>
      <c r="AG53" s="384">
        <v>0</v>
      </c>
      <c r="AH53" s="384">
        <v>0</v>
      </c>
      <c r="AI53" s="384">
        <v>0</v>
      </c>
      <c r="AJ53" s="384">
        <v>0</v>
      </c>
      <c r="AK53" s="384">
        <v>0</v>
      </c>
      <c r="AL53" s="384">
        <v>13</v>
      </c>
      <c r="AM53" s="385">
        <v>4</v>
      </c>
      <c r="AN53" s="384">
        <v>0</v>
      </c>
      <c r="AO53" s="385">
        <v>45.7</v>
      </c>
    </row>
    <row r="54" spans="2:41" x14ac:dyDescent="0.3">
      <c r="I54" s="382">
        <v>2005</v>
      </c>
      <c r="J54" s="383">
        <v>461</v>
      </c>
      <c r="K54" s="383" t="s">
        <v>72</v>
      </c>
      <c r="L54" s="384">
        <v>13.2</v>
      </c>
      <c r="M54" s="384">
        <v>0</v>
      </c>
      <c r="N54" s="384">
        <v>0</v>
      </c>
      <c r="O54" s="384">
        <v>8.9</v>
      </c>
      <c r="P54" s="384">
        <v>3</v>
      </c>
      <c r="Q54" s="384">
        <v>4.0999999999999996</v>
      </c>
      <c r="R54" s="385">
        <v>0.9</v>
      </c>
      <c r="S54" s="384">
        <v>0</v>
      </c>
      <c r="T54" s="384">
        <v>0</v>
      </c>
      <c r="U54" s="384">
        <v>0</v>
      </c>
      <c r="V54" s="384">
        <v>0</v>
      </c>
      <c r="W54" s="384">
        <v>0</v>
      </c>
      <c r="X54" s="384">
        <v>0</v>
      </c>
      <c r="Y54" s="384">
        <v>2.2000000000000002</v>
      </c>
      <c r="Z54" s="384">
        <v>1.1000000000000001</v>
      </c>
      <c r="AA54" s="384">
        <v>0.4</v>
      </c>
      <c r="AB54" s="384">
        <v>0</v>
      </c>
      <c r="AC54" s="384">
        <v>0</v>
      </c>
      <c r="AD54" s="384">
        <v>0</v>
      </c>
      <c r="AE54" s="385">
        <v>0</v>
      </c>
      <c r="AF54" s="384">
        <v>0</v>
      </c>
      <c r="AG54" s="384">
        <v>0</v>
      </c>
      <c r="AH54" s="384">
        <v>0</v>
      </c>
      <c r="AI54" s="384">
        <v>0</v>
      </c>
      <c r="AJ54" s="384">
        <v>0</v>
      </c>
      <c r="AK54" s="384">
        <v>0</v>
      </c>
      <c r="AL54" s="384">
        <v>11.9</v>
      </c>
      <c r="AM54" s="385">
        <v>15.2</v>
      </c>
      <c r="AN54" s="384">
        <v>0</v>
      </c>
      <c r="AO54" s="385">
        <v>39</v>
      </c>
    </row>
    <row r="55" spans="2:41" x14ac:dyDescent="0.3">
      <c r="I55" s="382">
        <v>2006</v>
      </c>
      <c r="J55" s="383">
        <v>563</v>
      </c>
      <c r="K55" s="383" t="s">
        <v>72</v>
      </c>
      <c r="L55" s="384">
        <v>19.2</v>
      </c>
      <c r="M55" s="384">
        <v>0</v>
      </c>
      <c r="N55" s="384">
        <v>0.9</v>
      </c>
      <c r="O55" s="384">
        <v>5.2</v>
      </c>
      <c r="P55" s="384">
        <v>0</v>
      </c>
      <c r="Q55" s="384">
        <v>2.7</v>
      </c>
      <c r="R55" s="385">
        <v>2.1</v>
      </c>
      <c r="S55" s="384">
        <v>0</v>
      </c>
      <c r="T55" s="384">
        <v>0</v>
      </c>
      <c r="U55" s="384">
        <v>0</v>
      </c>
      <c r="V55" s="384">
        <v>0</v>
      </c>
      <c r="W55" s="384">
        <v>0</v>
      </c>
      <c r="X55" s="384">
        <v>0</v>
      </c>
      <c r="Y55" s="384">
        <v>0.4</v>
      </c>
      <c r="Z55" s="384">
        <v>0</v>
      </c>
      <c r="AA55" s="384">
        <v>0.4</v>
      </c>
      <c r="AB55" s="384">
        <v>0</v>
      </c>
      <c r="AC55" s="384">
        <v>0</v>
      </c>
      <c r="AD55" s="384">
        <v>0</v>
      </c>
      <c r="AE55" s="385">
        <v>0</v>
      </c>
      <c r="AF55" s="384">
        <v>0</v>
      </c>
      <c r="AG55" s="384">
        <v>0</v>
      </c>
      <c r="AH55" s="384">
        <v>0</v>
      </c>
      <c r="AI55" s="384">
        <v>0</v>
      </c>
      <c r="AJ55" s="384">
        <v>0</v>
      </c>
      <c r="AK55" s="384">
        <v>0</v>
      </c>
      <c r="AL55" s="384">
        <v>14.7</v>
      </c>
      <c r="AM55" s="385">
        <v>19.399999999999999</v>
      </c>
      <c r="AN55" s="384">
        <v>0</v>
      </c>
      <c r="AO55" s="385">
        <v>35.200000000000003</v>
      </c>
    </row>
    <row r="56" spans="2:41" x14ac:dyDescent="0.3">
      <c r="I56" s="382">
        <v>2007</v>
      </c>
      <c r="J56" s="383">
        <v>313</v>
      </c>
      <c r="K56" s="383" t="s">
        <v>72</v>
      </c>
      <c r="L56" s="384">
        <v>22.7</v>
      </c>
      <c r="M56" s="384">
        <v>0</v>
      </c>
      <c r="N56" s="384">
        <v>2.6</v>
      </c>
      <c r="O56" s="384">
        <v>7</v>
      </c>
      <c r="P56" s="384">
        <v>7.3</v>
      </c>
      <c r="Q56" s="384">
        <v>2.6</v>
      </c>
      <c r="R56" s="385">
        <v>0</v>
      </c>
      <c r="S56" s="384">
        <v>0</v>
      </c>
      <c r="T56" s="384">
        <v>1.3</v>
      </c>
      <c r="U56" s="384">
        <v>0</v>
      </c>
      <c r="V56" s="384">
        <v>0</v>
      </c>
      <c r="W56" s="384">
        <v>0</v>
      </c>
      <c r="X56" s="384">
        <v>0</v>
      </c>
      <c r="Y56" s="384">
        <v>0.6</v>
      </c>
      <c r="Z56" s="384">
        <v>0</v>
      </c>
      <c r="AA56" s="384">
        <v>0.6</v>
      </c>
      <c r="AB56" s="384">
        <v>0</v>
      </c>
      <c r="AC56" s="384">
        <v>0</v>
      </c>
      <c r="AD56" s="384">
        <v>0</v>
      </c>
      <c r="AE56" s="385">
        <v>0</v>
      </c>
      <c r="AF56" s="384">
        <v>0</v>
      </c>
      <c r="AG56" s="384">
        <v>0</v>
      </c>
      <c r="AH56" s="384">
        <v>0</v>
      </c>
      <c r="AI56" s="384">
        <v>0</v>
      </c>
      <c r="AJ56" s="384">
        <v>0</v>
      </c>
      <c r="AK56" s="384">
        <v>0</v>
      </c>
      <c r="AL56" s="384">
        <v>6.4</v>
      </c>
      <c r="AM56" s="385">
        <v>16</v>
      </c>
      <c r="AN56" s="384">
        <v>0</v>
      </c>
      <c r="AO56" s="385">
        <v>32.9</v>
      </c>
    </row>
    <row r="57" spans="2:41" x14ac:dyDescent="0.3">
      <c r="I57" s="382">
        <v>2008</v>
      </c>
      <c r="J57" s="383">
        <v>218</v>
      </c>
      <c r="K57" s="383" t="s">
        <v>72</v>
      </c>
      <c r="L57" s="384">
        <v>33.9</v>
      </c>
      <c r="M57" s="384">
        <v>0</v>
      </c>
      <c r="N57" s="384">
        <v>4.0999999999999996</v>
      </c>
      <c r="O57" s="384">
        <v>1.4</v>
      </c>
      <c r="P57" s="384">
        <v>1.8</v>
      </c>
      <c r="Q57" s="384">
        <v>3.2</v>
      </c>
      <c r="R57" s="385">
        <v>1.8</v>
      </c>
      <c r="S57" s="384">
        <v>0</v>
      </c>
      <c r="T57" s="384">
        <v>0</v>
      </c>
      <c r="U57" s="384">
        <v>0</v>
      </c>
      <c r="V57" s="384">
        <v>0</v>
      </c>
      <c r="W57" s="384">
        <v>0</v>
      </c>
      <c r="X57" s="384">
        <v>0</v>
      </c>
      <c r="Y57" s="384">
        <v>0</v>
      </c>
      <c r="Z57" s="384">
        <v>0</v>
      </c>
      <c r="AA57" s="384">
        <v>0</v>
      </c>
      <c r="AB57" s="384">
        <v>0</v>
      </c>
      <c r="AC57" s="384">
        <v>0</v>
      </c>
      <c r="AD57" s="384">
        <v>0</v>
      </c>
      <c r="AE57" s="385">
        <v>0</v>
      </c>
      <c r="AF57" s="384">
        <v>0</v>
      </c>
      <c r="AG57" s="384">
        <v>0</v>
      </c>
      <c r="AH57" s="384">
        <v>0</v>
      </c>
      <c r="AI57" s="384">
        <v>0</v>
      </c>
      <c r="AJ57" s="384">
        <v>0</v>
      </c>
      <c r="AK57" s="384">
        <v>0</v>
      </c>
      <c r="AL57" s="384">
        <v>17.899999999999999</v>
      </c>
      <c r="AM57" s="385">
        <v>7.3</v>
      </c>
      <c r="AN57" s="384">
        <v>0.9</v>
      </c>
      <c r="AO57" s="385">
        <v>27.5</v>
      </c>
    </row>
    <row r="58" spans="2:41" x14ac:dyDescent="0.3">
      <c r="I58" s="382">
        <v>2009</v>
      </c>
      <c r="J58" s="383">
        <v>228</v>
      </c>
      <c r="K58" s="383" t="s">
        <v>72</v>
      </c>
      <c r="L58" s="384">
        <v>21.9</v>
      </c>
      <c r="M58" s="384">
        <v>0</v>
      </c>
      <c r="N58" s="384">
        <v>0.9</v>
      </c>
      <c r="O58" s="384">
        <v>3.9</v>
      </c>
      <c r="P58" s="384">
        <v>2.2000000000000002</v>
      </c>
      <c r="Q58" s="384">
        <v>1.3</v>
      </c>
      <c r="R58" s="385">
        <v>2.6</v>
      </c>
      <c r="S58" s="384">
        <v>0</v>
      </c>
      <c r="T58" s="384">
        <v>0</v>
      </c>
      <c r="U58" s="384">
        <v>0</v>
      </c>
      <c r="V58" s="384">
        <v>0</v>
      </c>
      <c r="W58" s="384">
        <v>0</v>
      </c>
      <c r="X58" s="384">
        <v>3.1</v>
      </c>
      <c r="Y58" s="384">
        <v>0</v>
      </c>
      <c r="Z58" s="384">
        <v>0</v>
      </c>
      <c r="AA58" s="384">
        <v>0</v>
      </c>
      <c r="AB58" s="384">
        <v>0</v>
      </c>
      <c r="AC58" s="384">
        <v>0</v>
      </c>
      <c r="AD58" s="384">
        <v>0</v>
      </c>
      <c r="AE58" s="385">
        <v>0</v>
      </c>
      <c r="AF58" s="384">
        <v>0</v>
      </c>
      <c r="AG58" s="384">
        <v>0</v>
      </c>
      <c r="AH58" s="384">
        <v>0</v>
      </c>
      <c r="AI58" s="384">
        <v>0</v>
      </c>
      <c r="AJ58" s="384">
        <v>0</v>
      </c>
      <c r="AK58" s="384">
        <v>0</v>
      </c>
      <c r="AL58" s="384">
        <v>48.2</v>
      </c>
      <c r="AM58" s="385">
        <v>4.4000000000000004</v>
      </c>
      <c r="AN58" s="384">
        <v>0</v>
      </c>
      <c r="AO58" s="385">
        <v>11.4</v>
      </c>
    </row>
    <row r="59" spans="2:41" x14ac:dyDescent="0.3">
      <c r="I59" s="382">
        <v>2010</v>
      </c>
      <c r="J59" s="383">
        <v>504</v>
      </c>
      <c r="K59" s="383" t="s">
        <v>72</v>
      </c>
      <c r="L59" s="384">
        <v>16.3</v>
      </c>
      <c r="M59" s="384">
        <v>0</v>
      </c>
      <c r="N59" s="384">
        <v>4.5999999999999996</v>
      </c>
      <c r="O59" s="384">
        <v>8.3000000000000007</v>
      </c>
      <c r="P59" s="384">
        <v>3.8</v>
      </c>
      <c r="Q59" s="384">
        <v>0.8</v>
      </c>
      <c r="R59" s="385">
        <v>1.4</v>
      </c>
      <c r="S59" s="384">
        <v>0</v>
      </c>
      <c r="T59" s="384">
        <v>0</v>
      </c>
      <c r="U59" s="384">
        <v>0</v>
      </c>
      <c r="V59" s="384">
        <v>0</v>
      </c>
      <c r="W59" s="384">
        <v>0</v>
      </c>
      <c r="X59" s="384">
        <v>0</v>
      </c>
      <c r="Y59" s="384">
        <v>1.4</v>
      </c>
      <c r="Z59" s="384">
        <v>0.6</v>
      </c>
      <c r="AA59" s="384">
        <v>0.4</v>
      </c>
      <c r="AB59" s="384">
        <v>0</v>
      </c>
      <c r="AC59" s="384">
        <v>0</v>
      </c>
      <c r="AD59" s="384">
        <v>0</v>
      </c>
      <c r="AE59" s="385">
        <v>0</v>
      </c>
      <c r="AF59" s="384">
        <v>0</v>
      </c>
      <c r="AG59" s="384">
        <v>0</v>
      </c>
      <c r="AH59" s="384">
        <v>0</v>
      </c>
      <c r="AI59" s="384">
        <v>0</v>
      </c>
      <c r="AJ59" s="384">
        <v>0</v>
      </c>
      <c r="AK59" s="384">
        <v>0</v>
      </c>
      <c r="AL59" s="384">
        <v>10.9</v>
      </c>
      <c r="AM59" s="385">
        <v>4.5999999999999996</v>
      </c>
      <c r="AN59" s="384">
        <v>4.4000000000000004</v>
      </c>
      <c r="AO59" s="385">
        <v>42.7</v>
      </c>
    </row>
    <row r="60" spans="2:41" x14ac:dyDescent="0.3">
      <c r="I60" s="382">
        <v>2011</v>
      </c>
      <c r="J60" s="383">
        <v>553</v>
      </c>
      <c r="K60" s="383" t="s">
        <v>72</v>
      </c>
      <c r="L60" s="384">
        <v>20.8</v>
      </c>
      <c r="M60" s="384">
        <v>0.7</v>
      </c>
      <c r="N60" s="384">
        <v>0</v>
      </c>
      <c r="O60" s="384">
        <v>1.8</v>
      </c>
      <c r="P60" s="384">
        <v>5.0999999999999996</v>
      </c>
      <c r="Q60" s="384">
        <v>2.4</v>
      </c>
      <c r="R60" s="385">
        <v>0</v>
      </c>
      <c r="S60" s="384">
        <v>0</v>
      </c>
      <c r="T60" s="384">
        <v>0</v>
      </c>
      <c r="U60" s="384">
        <v>0</v>
      </c>
      <c r="V60" s="384">
        <v>0</v>
      </c>
      <c r="W60" s="384">
        <v>0</v>
      </c>
      <c r="X60" s="384">
        <v>1.3</v>
      </c>
      <c r="Y60" s="384">
        <v>0</v>
      </c>
      <c r="Z60" s="384">
        <v>0.2</v>
      </c>
      <c r="AA60" s="384">
        <v>0.7</v>
      </c>
      <c r="AB60" s="384">
        <v>0.9</v>
      </c>
      <c r="AC60" s="384">
        <v>0.7</v>
      </c>
      <c r="AD60" s="384">
        <v>0</v>
      </c>
      <c r="AE60" s="385">
        <v>0</v>
      </c>
      <c r="AF60" s="384">
        <v>0</v>
      </c>
      <c r="AG60" s="384">
        <v>0</v>
      </c>
      <c r="AH60" s="384">
        <v>0</v>
      </c>
      <c r="AI60" s="384">
        <v>0</v>
      </c>
      <c r="AJ60" s="384">
        <v>0</v>
      </c>
      <c r="AK60" s="384">
        <v>0</v>
      </c>
      <c r="AL60" s="384">
        <v>20.8</v>
      </c>
      <c r="AM60" s="385">
        <v>8</v>
      </c>
      <c r="AN60" s="384">
        <v>0</v>
      </c>
      <c r="AO60" s="385">
        <v>36.700000000000003</v>
      </c>
    </row>
    <row r="61" spans="2:41" x14ac:dyDescent="0.3">
      <c r="I61" s="382">
        <v>2012</v>
      </c>
      <c r="J61" s="383">
        <v>659</v>
      </c>
      <c r="K61" s="383" t="s">
        <v>72</v>
      </c>
      <c r="L61" s="384">
        <v>16.2</v>
      </c>
      <c r="M61" s="384">
        <v>0.9</v>
      </c>
      <c r="N61" s="384">
        <v>1.8</v>
      </c>
      <c r="O61" s="384">
        <v>5.3</v>
      </c>
      <c r="P61" s="384">
        <v>2.4</v>
      </c>
      <c r="Q61" s="384">
        <v>5.8</v>
      </c>
      <c r="R61" s="385">
        <v>5.6</v>
      </c>
      <c r="S61" s="384">
        <v>0</v>
      </c>
      <c r="T61" s="384">
        <v>0</v>
      </c>
      <c r="U61" s="384">
        <v>0</v>
      </c>
      <c r="V61" s="384">
        <v>0</v>
      </c>
      <c r="W61" s="384">
        <v>0</v>
      </c>
      <c r="X61" s="384">
        <v>0</v>
      </c>
      <c r="Y61" s="384">
        <v>4.7</v>
      </c>
      <c r="Z61" s="384">
        <v>0.3</v>
      </c>
      <c r="AA61" s="384">
        <v>0.5</v>
      </c>
      <c r="AB61" s="384">
        <v>0.8</v>
      </c>
      <c r="AC61" s="384">
        <v>0</v>
      </c>
      <c r="AD61" s="384">
        <v>0</v>
      </c>
      <c r="AE61" s="385">
        <v>0.6</v>
      </c>
      <c r="AF61" s="384">
        <v>0</v>
      </c>
      <c r="AG61" s="384">
        <v>0</v>
      </c>
      <c r="AH61" s="384">
        <v>0</v>
      </c>
      <c r="AI61" s="384">
        <v>0</v>
      </c>
      <c r="AJ61" s="384">
        <v>0</v>
      </c>
      <c r="AK61" s="384">
        <v>0</v>
      </c>
      <c r="AL61" s="384">
        <v>15.9</v>
      </c>
      <c r="AM61" s="385">
        <v>17</v>
      </c>
      <c r="AN61" s="384">
        <v>0</v>
      </c>
      <c r="AO61" s="385">
        <v>22.2</v>
      </c>
    </row>
    <row r="62" spans="2:41" x14ac:dyDescent="0.3">
      <c r="I62" s="382">
        <v>2013</v>
      </c>
      <c r="J62" s="383">
        <v>1662</v>
      </c>
      <c r="K62" s="383" t="s">
        <v>72</v>
      </c>
      <c r="L62" s="384">
        <v>7.5</v>
      </c>
      <c r="M62" s="384">
        <v>0</v>
      </c>
      <c r="N62" s="384">
        <v>0.8</v>
      </c>
      <c r="O62" s="384">
        <v>4.5999999999999996</v>
      </c>
      <c r="P62" s="384">
        <v>1.4</v>
      </c>
      <c r="Q62" s="384">
        <v>1.4</v>
      </c>
      <c r="R62" s="385">
        <v>1.9</v>
      </c>
      <c r="S62" s="384">
        <v>0</v>
      </c>
      <c r="T62" s="384">
        <v>0</v>
      </c>
      <c r="U62" s="384">
        <v>0.3</v>
      </c>
      <c r="V62" s="384">
        <v>0</v>
      </c>
      <c r="W62" s="384">
        <v>0</v>
      </c>
      <c r="X62" s="384">
        <v>0.8</v>
      </c>
      <c r="Y62" s="384">
        <v>1.3</v>
      </c>
      <c r="Z62" s="384">
        <v>0.5</v>
      </c>
      <c r="AA62" s="384">
        <v>1.4</v>
      </c>
      <c r="AB62" s="384">
        <v>0.2</v>
      </c>
      <c r="AC62" s="384">
        <v>0</v>
      </c>
      <c r="AD62" s="384">
        <v>0</v>
      </c>
      <c r="AE62" s="385">
        <v>0</v>
      </c>
      <c r="AF62" s="384">
        <v>0</v>
      </c>
      <c r="AG62" s="384">
        <v>0</v>
      </c>
      <c r="AH62" s="384">
        <v>0</v>
      </c>
      <c r="AI62" s="384">
        <v>0</v>
      </c>
      <c r="AJ62" s="384">
        <v>0</v>
      </c>
      <c r="AK62" s="384">
        <v>0</v>
      </c>
      <c r="AL62" s="384">
        <v>23.4</v>
      </c>
      <c r="AM62" s="385">
        <v>11.4</v>
      </c>
      <c r="AN62" s="384">
        <v>0.1</v>
      </c>
      <c r="AO62" s="385">
        <v>43</v>
      </c>
    </row>
    <row r="63" spans="2:41" x14ac:dyDescent="0.3">
      <c r="I63" s="382">
        <v>2014</v>
      </c>
      <c r="J63" s="383">
        <v>2239</v>
      </c>
      <c r="K63" s="383" t="s">
        <v>72</v>
      </c>
      <c r="L63" s="384">
        <v>13.7</v>
      </c>
      <c r="M63" s="384">
        <v>0.4</v>
      </c>
      <c r="N63" s="384">
        <v>1.1000000000000001</v>
      </c>
      <c r="O63" s="384">
        <v>4.5999999999999996</v>
      </c>
      <c r="P63" s="384">
        <v>0.8</v>
      </c>
      <c r="Q63" s="384">
        <v>2.6</v>
      </c>
      <c r="R63" s="385">
        <v>1.3</v>
      </c>
      <c r="S63" s="384">
        <v>0</v>
      </c>
      <c r="T63" s="384">
        <v>0</v>
      </c>
      <c r="U63" s="384">
        <v>0.7</v>
      </c>
      <c r="V63" s="384">
        <v>0</v>
      </c>
      <c r="W63" s="384">
        <v>0</v>
      </c>
      <c r="X63" s="384">
        <v>0.6</v>
      </c>
      <c r="Y63" s="384">
        <v>1.3</v>
      </c>
      <c r="Z63" s="384">
        <v>0.2</v>
      </c>
      <c r="AA63" s="384">
        <v>2.5</v>
      </c>
      <c r="AB63" s="384">
        <v>0</v>
      </c>
      <c r="AC63" s="384">
        <v>0</v>
      </c>
      <c r="AD63" s="384">
        <v>0</v>
      </c>
      <c r="AE63" s="385">
        <v>0</v>
      </c>
      <c r="AF63" s="384">
        <v>0</v>
      </c>
      <c r="AG63" s="384">
        <v>0</v>
      </c>
      <c r="AH63" s="384">
        <v>0</v>
      </c>
      <c r="AI63" s="384">
        <v>0</v>
      </c>
      <c r="AJ63" s="384">
        <v>0</v>
      </c>
      <c r="AK63" s="384">
        <v>0</v>
      </c>
      <c r="AL63" s="384">
        <v>17.7</v>
      </c>
      <c r="AM63" s="385">
        <v>10</v>
      </c>
      <c r="AN63" s="384">
        <v>0</v>
      </c>
      <c r="AO63" s="385">
        <v>42.4</v>
      </c>
    </row>
    <row r="64" spans="2:41" x14ac:dyDescent="0.3">
      <c r="I64" s="382">
        <v>2015</v>
      </c>
      <c r="J64" s="383">
        <v>2122</v>
      </c>
      <c r="K64" s="383" t="s">
        <v>72</v>
      </c>
      <c r="L64" s="384">
        <v>14.1</v>
      </c>
      <c r="M64" s="384">
        <v>1.8</v>
      </c>
      <c r="N64" s="384">
        <v>1.1000000000000001</v>
      </c>
      <c r="O64" s="384">
        <v>2.5</v>
      </c>
      <c r="P64" s="384">
        <v>3.5</v>
      </c>
      <c r="Q64" s="384">
        <v>0.6</v>
      </c>
      <c r="R64" s="385">
        <v>1.4</v>
      </c>
      <c r="S64" s="384">
        <v>0</v>
      </c>
      <c r="T64" s="384">
        <v>0</v>
      </c>
      <c r="U64" s="384">
        <v>0.4</v>
      </c>
      <c r="V64" s="384">
        <v>0</v>
      </c>
      <c r="W64" s="384">
        <v>0</v>
      </c>
      <c r="X64" s="384">
        <v>0.2</v>
      </c>
      <c r="Y64" s="384">
        <v>1.8</v>
      </c>
      <c r="Z64" s="384">
        <v>0.9</v>
      </c>
      <c r="AA64" s="384">
        <v>0.8</v>
      </c>
      <c r="AB64" s="384">
        <v>0</v>
      </c>
      <c r="AC64" s="384">
        <v>0</v>
      </c>
      <c r="AD64" s="384">
        <v>0</v>
      </c>
      <c r="AE64" s="385">
        <v>0</v>
      </c>
      <c r="AF64" s="384">
        <v>0</v>
      </c>
      <c r="AG64" s="384">
        <v>0</v>
      </c>
      <c r="AH64" s="384">
        <v>0</v>
      </c>
      <c r="AI64" s="384">
        <v>0</v>
      </c>
      <c r="AJ64" s="384">
        <v>0</v>
      </c>
      <c r="AK64" s="384">
        <v>0</v>
      </c>
      <c r="AL64" s="384">
        <v>16.600000000000001</v>
      </c>
      <c r="AM64" s="385">
        <v>6.7</v>
      </c>
      <c r="AN64" s="384">
        <v>0.2</v>
      </c>
      <c r="AO64" s="385">
        <v>47.4</v>
      </c>
    </row>
    <row r="65" spans="9:42" ht="15" thickBot="1" x14ac:dyDescent="0.35">
      <c r="I65" s="386">
        <v>2016</v>
      </c>
      <c r="J65" s="387" t="s">
        <v>489</v>
      </c>
      <c r="K65" s="388" t="s">
        <v>75</v>
      </c>
      <c r="L65" s="389" t="s">
        <v>75</v>
      </c>
      <c r="M65" s="389" t="s">
        <v>75</v>
      </c>
      <c r="N65" s="389" t="s">
        <v>75</v>
      </c>
      <c r="O65" s="389" t="s">
        <v>75</v>
      </c>
      <c r="P65" s="389" t="s">
        <v>75</v>
      </c>
      <c r="Q65" s="389" t="s">
        <v>75</v>
      </c>
      <c r="R65" s="388" t="s">
        <v>75</v>
      </c>
      <c r="S65" s="389" t="s">
        <v>75</v>
      </c>
      <c r="T65" s="389" t="s">
        <v>75</v>
      </c>
      <c r="U65" s="389" t="s">
        <v>75</v>
      </c>
      <c r="V65" s="389" t="s">
        <v>75</v>
      </c>
      <c r="W65" s="389" t="s">
        <v>75</v>
      </c>
      <c r="X65" s="389" t="s">
        <v>75</v>
      </c>
      <c r="Y65" s="389" t="s">
        <v>75</v>
      </c>
      <c r="Z65" s="389" t="s">
        <v>75</v>
      </c>
      <c r="AA65" s="389" t="s">
        <v>75</v>
      </c>
      <c r="AB65" s="389" t="s">
        <v>75</v>
      </c>
      <c r="AC65" s="389" t="s">
        <v>75</v>
      </c>
      <c r="AD65" s="389" t="s">
        <v>75</v>
      </c>
      <c r="AE65" s="388" t="s">
        <v>75</v>
      </c>
      <c r="AF65" s="389" t="s">
        <v>75</v>
      </c>
      <c r="AG65" s="389" t="s">
        <v>75</v>
      </c>
      <c r="AH65" s="389" t="s">
        <v>75</v>
      </c>
      <c r="AI65" s="389" t="s">
        <v>75</v>
      </c>
      <c r="AJ65" s="389" t="s">
        <v>75</v>
      </c>
      <c r="AK65" s="389" t="s">
        <v>75</v>
      </c>
      <c r="AL65" s="389" t="s">
        <v>75</v>
      </c>
      <c r="AM65" s="388" t="s">
        <v>75</v>
      </c>
      <c r="AN65" s="390" t="s">
        <v>67</v>
      </c>
      <c r="AO65" s="387" t="s">
        <v>67</v>
      </c>
    </row>
    <row r="66" spans="9:42" ht="15" thickBot="1" x14ac:dyDescent="0.35">
      <c r="I66" s="386" t="s">
        <v>490</v>
      </c>
      <c r="J66" s="387">
        <v>554</v>
      </c>
      <c r="K66" s="388" t="s">
        <v>75</v>
      </c>
      <c r="L66" s="389">
        <v>14.1</v>
      </c>
      <c r="M66" s="389">
        <v>3.2</v>
      </c>
      <c r="N66" s="389">
        <v>1.6</v>
      </c>
      <c r="O66" s="389">
        <v>6</v>
      </c>
      <c r="P66" s="389">
        <v>0.3</v>
      </c>
      <c r="Q66" s="389">
        <v>7.2</v>
      </c>
      <c r="R66" s="388">
        <v>0.9</v>
      </c>
      <c r="S66" s="389">
        <v>0.1</v>
      </c>
      <c r="T66" s="389">
        <v>0.3</v>
      </c>
      <c r="U66" s="389">
        <v>0</v>
      </c>
      <c r="V66" s="389">
        <v>0</v>
      </c>
      <c r="W66" s="389">
        <v>0.4</v>
      </c>
      <c r="X66" s="389">
        <v>0.2</v>
      </c>
      <c r="Y66" s="389">
        <v>0.9</v>
      </c>
      <c r="Z66" s="389">
        <v>0.3</v>
      </c>
      <c r="AA66" s="389">
        <v>0.2</v>
      </c>
      <c r="AB66" s="389">
        <v>0.1</v>
      </c>
      <c r="AC66" s="389">
        <v>0</v>
      </c>
      <c r="AD66" s="389">
        <v>0</v>
      </c>
      <c r="AE66" s="388">
        <v>0.2</v>
      </c>
      <c r="AF66" s="389">
        <v>0</v>
      </c>
      <c r="AG66" s="389">
        <v>0</v>
      </c>
      <c r="AH66" s="389">
        <v>0</v>
      </c>
      <c r="AI66" s="389">
        <v>0</v>
      </c>
      <c r="AJ66" s="389">
        <v>0</v>
      </c>
      <c r="AK66" s="389">
        <v>0</v>
      </c>
      <c r="AL66" s="389">
        <v>14.5</v>
      </c>
      <c r="AM66" s="388">
        <v>6.1</v>
      </c>
      <c r="AN66" s="389">
        <v>0.2</v>
      </c>
      <c r="AO66" s="388">
        <v>43.2</v>
      </c>
    </row>
    <row r="67" spans="9:42" ht="15" thickBot="1" x14ac:dyDescent="0.35">
      <c r="I67" s="386" t="s">
        <v>491</v>
      </c>
      <c r="J67" s="387">
        <v>534</v>
      </c>
      <c r="K67" s="388" t="s">
        <v>75</v>
      </c>
      <c r="L67" s="389">
        <v>14.6</v>
      </c>
      <c r="M67" s="389">
        <v>0.4</v>
      </c>
      <c r="N67" s="389">
        <v>0.4</v>
      </c>
      <c r="O67" s="389">
        <v>5.0999999999999996</v>
      </c>
      <c r="P67" s="389">
        <v>1.2</v>
      </c>
      <c r="Q67" s="389">
        <v>0.5</v>
      </c>
      <c r="R67" s="388">
        <v>0</v>
      </c>
      <c r="S67" s="389">
        <v>0</v>
      </c>
      <c r="T67" s="389">
        <v>0.2</v>
      </c>
      <c r="U67" s="389">
        <v>0</v>
      </c>
      <c r="V67" s="389">
        <v>0</v>
      </c>
      <c r="W67" s="389">
        <v>0</v>
      </c>
      <c r="X67" s="389">
        <v>0</v>
      </c>
      <c r="Y67" s="389">
        <v>0</v>
      </c>
      <c r="Z67" s="389">
        <v>0</v>
      </c>
      <c r="AA67" s="389">
        <v>0.3</v>
      </c>
      <c r="AB67" s="389">
        <v>0</v>
      </c>
      <c r="AC67" s="389">
        <v>0</v>
      </c>
      <c r="AD67" s="389">
        <v>0</v>
      </c>
      <c r="AE67" s="388">
        <v>0</v>
      </c>
      <c r="AF67" s="389">
        <v>0</v>
      </c>
      <c r="AG67" s="389">
        <v>0</v>
      </c>
      <c r="AH67" s="389">
        <v>0</v>
      </c>
      <c r="AI67" s="389">
        <v>0</v>
      </c>
      <c r="AJ67" s="389">
        <v>0.1</v>
      </c>
      <c r="AK67" s="389">
        <v>0</v>
      </c>
      <c r="AL67" s="389">
        <v>19.2</v>
      </c>
      <c r="AM67" s="388">
        <v>7</v>
      </c>
      <c r="AN67" s="389">
        <v>0</v>
      </c>
      <c r="AO67" s="388">
        <v>51</v>
      </c>
    </row>
    <row r="68" spans="9:42" ht="15" thickBot="1" x14ac:dyDescent="0.35">
      <c r="I68" s="386" t="s">
        <v>492</v>
      </c>
      <c r="J68" s="387">
        <v>673</v>
      </c>
      <c r="K68" s="388" t="s">
        <v>75</v>
      </c>
      <c r="L68" s="389">
        <v>17.899999999999999</v>
      </c>
      <c r="M68" s="389">
        <v>0.3</v>
      </c>
      <c r="N68" s="389">
        <v>1.8</v>
      </c>
      <c r="O68" s="389">
        <v>4.7</v>
      </c>
      <c r="P68" s="389">
        <v>1.7</v>
      </c>
      <c r="Q68" s="389">
        <v>1.8</v>
      </c>
      <c r="R68" s="388">
        <v>0.5</v>
      </c>
      <c r="S68" s="389">
        <v>0</v>
      </c>
      <c r="T68" s="389">
        <v>0.1</v>
      </c>
      <c r="U68" s="389">
        <v>0</v>
      </c>
      <c r="V68" s="389">
        <v>0</v>
      </c>
      <c r="W68" s="389">
        <v>0</v>
      </c>
      <c r="X68" s="389">
        <v>0</v>
      </c>
      <c r="Y68" s="389">
        <v>0.5</v>
      </c>
      <c r="Z68" s="389">
        <v>0.2</v>
      </c>
      <c r="AA68" s="389">
        <v>0.3</v>
      </c>
      <c r="AB68" s="389">
        <v>0</v>
      </c>
      <c r="AC68" s="389">
        <v>0</v>
      </c>
      <c r="AD68" s="389">
        <v>0</v>
      </c>
      <c r="AE68" s="388">
        <v>0</v>
      </c>
      <c r="AF68" s="389">
        <v>0</v>
      </c>
      <c r="AG68" s="389">
        <v>0</v>
      </c>
      <c r="AH68" s="389">
        <v>0</v>
      </c>
      <c r="AI68" s="389">
        <v>0</v>
      </c>
      <c r="AJ68" s="389">
        <v>0</v>
      </c>
      <c r="AK68" s="389">
        <v>0</v>
      </c>
      <c r="AL68" s="389">
        <v>14.6</v>
      </c>
      <c r="AM68" s="388">
        <v>10.7</v>
      </c>
      <c r="AN68" s="389">
        <v>0.3</v>
      </c>
      <c r="AO68" s="388">
        <v>44.3</v>
      </c>
    </row>
    <row r="69" spans="9:42" ht="15" thickBot="1" x14ac:dyDescent="0.35">
      <c r="I69" s="386" t="s">
        <v>493</v>
      </c>
      <c r="J69" s="387">
        <v>1138</v>
      </c>
      <c r="K69" s="388" t="s">
        <v>75</v>
      </c>
      <c r="L69" s="389">
        <v>15.8</v>
      </c>
      <c r="M69" s="389">
        <v>0.5</v>
      </c>
      <c r="N69" s="389">
        <v>1.5</v>
      </c>
      <c r="O69" s="389">
        <v>4.4000000000000004</v>
      </c>
      <c r="P69" s="389">
        <v>2.7</v>
      </c>
      <c r="Q69" s="389">
        <v>2.1</v>
      </c>
      <c r="R69" s="388">
        <v>2</v>
      </c>
      <c r="S69" s="389">
        <v>0</v>
      </c>
      <c r="T69" s="389">
        <v>0</v>
      </c>
      <c r="U69" s="389">
        <v>0.2</v>
      </c>
      <c r="V69" s="389">
        <v>0</v>
      </c>
      <c r="W69" s="389">
        <v>0</v>
      </c>
      <c r="X69" s="389">
        <v>0.9</v>
      </c>
      <c r="Y69" s="389">
        <v>1.5</v>
      </c>
      <c r="Z69" s="389">
        <v>0.4</v>
      </c>
      <c r="AA69" s="389">
        <v>0.9</v>
      </c>
      <c r="AB69" s="389">
        <v>0.3</v>
      </c>
      <c r="AC69" s="389">
        <v>0.1</v>
      </c>
      <c r="AD69" s="389">
        <v>0</v>
      </c>
      <c r="AE69" s="388">
        <v>0.1</v>
      </c>
      <c r="AF69" s="389">
        <v>0</v>
      </c>
      <c r="AG69" s="389">
        <v>0</v>
      </c>
      <c r="AH69" s="389">
        <v>0</v>
      </c>
      <c r="AI69" s="389">
        <v>0</v>
      </c>
      <c r="AJ69" s="389">
        <v>0</v>
      </c>
      <c r="AK69" s="389">
        <v>0</v>
      </c>
      <c r="AL69" s="389">
        <v>22</v>
      </c>
      <c r="AM69" s="388">
        <v>8.9</v>
      </c>
      <c r="AN69" s="389">
        <v>0.7</v>
      </c>
      <c r="AO69" s="388">
        <v>35.1</v>
      </c>
    </row>
    <row r="71" spans="9:42" x14ac:dyDescent="0.3">
      <c r="I71" s="405" t="s">
        <v>507</v>
      </c>
      <c r="L71">
        <f>AVERAGE(L55:L64)</f>
        <v>18.629999999999995</v>
      </c>
      <c r="M71">
        <f t="shared" ref="M71:AO71" si="7">AVERAGE(M55:M64)</f>
        <v>0.38</v>
      </c>
      <c r="N71">
        <f t="shared" si="7"/>
        <v>1.7900000000000003</v>
      </c>
      <c r="O71">
        <f t="shared" si="7"/>
        <v>4.46</v>
      </c>
      <c r="P71">
        <f t="shared" si="7"/>
        <v>2.83</v>
      </c>
      <c r="Q71">
        <f t="shared" si="7"/>
        <v>2.3400000000000003</v>
      </c>
      <c r="R71">
        <f t="shared" si="7"/>
        <v>1.8099999999999998</v>
      </c>
      <c r="S71">
        <f t="shared" si="7"/>
        <v>0</v>
      </c>
      <c r="T71">
        <f t="shared" si="7"/>
        <v>0.13</v>
      </c>
      <c r="U71">
        <f t="shared" si="7"/>
        <v>0.13999999999999999</v>
      </c>
      <c r="V71">
        <f t="shared" si="7"/>
        <v>0</v>
      </c>
      <c r="W71">
        <f t="shared" si="7"/>
        <v>0</v>
      </c>
      <c r="X71">
        <f t="shared" si="7"/>
        <v>0.6</v>
      </c>
      <c r="Y71">
        <f t="shared" si="7"/>
        <v>1.1500000000000001</v>
      </c>
      <c r="Z71">
        <f t="shared" si="7"/>
        <v>0.27</v>
      </c>
      <c r="AA71">
        <f t="shared" si="7"/>
        <v>0.73</v>
      </c>
      <c r="AB71">
        <f t="shared" si="7"/>
        <v>0.19</v>
      </c>
      <c r="AC71">
        <f t="shared" si="7"/>
        <v>6.9999999999999993E-2</v>
      </c>
      <c r="AD71">
        <f t="shared" si="7"/>
        <v>0</v>
      </c>
      <c r="AE71">
        <f t="shared" si="7"/>
        <v>0.06</v>
      </c>
      <c r="AF71">
        <f t="shared" si="7"/>
        <v>0</v>
      </c>
      <c r="AG71">
        <f t="shared" si="7"/>
        <v>0</v>
      </c>
      <c r="AH71">
        <f t="shared" si="7"/>
        <v>0</v>
      </c>
      <c r="AI71">
        <f t="shared" si="7"/>
        <v>0</v>
      </c>
      <c r="AJ71">
        <f t="shared" si="7"/>
        <v>0</v>
      </c>
      <c r="AK71">
        <f t="shared" si="7"/>
        <v>0</v>
      </c>
      <c r="AL71">
        <f t="shared" si="7"/>
        <v>19.25</v>
      </c>
      <c r="AM71">
        <f t="shared" si="7"/>
        <v>10.48</v>
      </c>
      <c r="AN71">
        <f t="shared" si="7"/>
        <v>0.56000000000000005</v>
      </c>
      <c r="AO71">
        <f t="shared" si="7"/>
        <v>34.139999999999993</v>
      </c>
      <c r="AP71">
        <f>(1-((AN71+AO71)/100))</f>
        <v>0.65300000000000002</v>
      </c>
    </row>
  </sheetData>
  <mergeCells count="47">
    <mergeCell ref="AE3:AF3"/>
    <mergeCell ref="AH3:AH4"/>
    <mergeCell ref="O3:P3"/>
    <mergeCell ref="Q3:R3"/>
    <mergeCell ref="S3:T3"/>
    <mergeCell ref="X3:Y3"/>
    <mergeCell ref="Z3:AA3"/>
    <mergeCell ref="AB3:AC3"/>
    <mergeCell ref="X34:Z35"/>
    <mergeCell ref="AA34:AA35"/>
    <mergeCell ref="AB34:AB35"/>
    <mergeCell ref="Q34:Q35"/>
    <mergeCell ref="R34:R35"/>
    <mergeCell ref="S34:S35"/>
    <mergeCell ref="T34:T35"/>
    <mergeCell ref="U34:U35"/>
    <mergeCell ref="AI34:AK35"/>
    <mergeCell ref="AL34:AL35"/>
    <mergeCell ref="AM34:AM35"/>
    <mergeCell ref="AN34:AO35"/>
    <mergeCell ref="AC34:AC35"/>
    <mergeCell ref="AD34:AD35"/>
    <mergeCell ref="AE34:AE35"/>
    <mergeCell ref="AF34:AF35"/>
    <mergeCell ref="AG34:AG35"/>
    <mergeCell ref="AK36:AM36"/>
    <mergeCell ref="AN36:AN37"/>
    <mergeCell ref="AO36:AO37"/>
    <mergeCell ref="AI36:AJ36"/>
    <mergeCell ref="AA36:AB36"/>
    <mergeCell ref="AD36:AE36"/>
    <mergeCell ref="C36:E36"/>
    <mergeCell ref="L36:N36"/>
    <mergeCell ref="V36:X36"/>
    <mergeCell ref="Y36:Z36"/>
    <mergeCell ref="AF36:AH36"/>
    <mergeCell ref="Q36:R36"/>
    <mergeCell ref="S36:U36"/>
    <mergeCell ref="I34:I37"/>
    <mergeCell ref="K34:K37"/>
    <mergeCell ref="L34:L35"/>
    <mergeCell ref="M34:M35"/>
    <mergeCell ref="N34:P35"/>
    <mergeCell ref="O36:P36"/>
    <mergeCell ref="AH34:AH35"/>
    <mergeCell ref="V34:V35"/>
    <mergeCell ref="W34:W35"/>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154"/>
  <sheetViews>
    <sheetView topLeftCell="A104" workbookViewId="0">
      <selection activeCell="T134" sqref="T134"/>
    </sheetView>
  </sheetViews>
  <sheetFormatPr defaultRowHeight="14.4" x14ac:dyDescent="0.3"/>
  <cols>
    <col min="2" max="2" width="33" bestFit="1" customWidth="1"/>
    <col min="3" max="3" width="16.109375" customWidth="1"/>
    <col min="4" max="4" width="11.33203125" customWidth="1"/>
    <col min="5" max="5" width="10.6640625" customWidth="1"/>
    <col min="6" max="6" width="10.88671875" customWidth="1"/>
    <col min="7" max="8" width="11.33203125" customWidth="1"/>
    <col min="10" max="10" width="19.88671875" customWidth="1"/>
    <col min="11" max="11" width="13.33203125" customWidth="1"/>
    <col min="13" max="13" width="11.33203125" customWidth="1"/>
    <col min="14" max="14" width="14.33203125" customWidth="1"/>
    <col min="15" max="15" width="14.44140625" customWidth="1"/>
  </cols>
  <sheetData>
    <row r="2" spans="2:15" x14ac:dyDescent="0.3">
      <c r="B2" t="s">
        <v>94</v>
      </c>
      <c r="C2" t="s">
        <v>95</v>
      </c>
      <c r="D2" t="s">
        <v>96</v>
      </c>
      <c r="E2" t="s">
        <v>39</v>
      </c>
      <c r="F2" t="s">
        <v>97</v>
      </c>
      <c r="G2" t="s">
        <v>98</v>
      </c>
      <c r="H2" t="s">
        <v>99</v>
      </c>
      <c r="I2" t="s">
        <v>100</v>
      </c>
      <c r="J2" t="s">
        <v>101</v>
      </c>
      <c r="K2" t="s">
        <v>102</v>
      </c>
      <c r="L2" t="s">
        <v>103</v>
      </c>
      <c r="M2" t="s">
        <v>104</v>
      </c>
      <c r="N2" t="s">
        <v>105</v>
      </c>
      <c r="O2" t="s">
        <v>106</v>
      </c>
    </row>
    <row r="3" spans="2:15" x14ac:dyDescent="0.3">
      <c r="B3">
        <v>2017</v>
      </c>
      <c r="C3" t="s">
        <v>107</v>
      </c>
      <c r="D3" t="s">
        <v>108</v>
      </c>
      <c r="E3" t="s">
        <v>109</v>
      </c>
      <c r="F3" t="s">
        <v>110</v>
      </c>
      <c r="G3" t="s">
        <v>78</v>
      </c>
      <c r="H3" s="57">
        <v>42856</v>
      </c>
      <c r="I3">
        <v>225</v>
      </c>
      <c r="J3" t="s">
        <v>111</v>
      </c>
      <c r="K3" s="57">
        <v>42856</v>
      </c>
      <c r="L3" t="s">
        <v>112</v>
      </c>
      <c r="M3">
        <v>17309</v>
      </c>
      <c r="N3" t="s">
        <v>113</v>
      </c>
      <c r="O3" t="s">
        <v>114</v>
      </c>
    </row>
    <row r="4" spans="2:15" x14ac:dyDescent="0.3">
      <c r="B4">
        <v>2017</v>
      </c>
      <c r="C4" t="s">
        <v>107</v>
      </c>
      <c r="D4" t="s">
        <v>108</v>
      </c>
      <c r="E4" t="s">
        <v>109</v>
      </c>
      <c r="F4" t="s">
        <v>115</v>
      </c>
      <c r="G4" t="s">
        <v>78</v>
      </c>
      <c r="H4" s="57">
        <v>42856</v>
      </c>
      <c r="I4">
        <v>175</v>
      </c>
      <c r="J4" t="s">
        <v>115</v>
      </c>
      <c r="K4" s="57">
        <v>42856</v>
      </c>
      <c r="L4" t="s">
        <v>112</v>
      </c>
      <c r="M4">
        <v>17337</v>
      </c>
      <c r="N4" t="s">
        <v>113</v>
      </c>
      <c r="O4" t="s">
        <v>116</v>
      </c>
    </row>
    <row r="5" spans="2:15" x14ac:dyDescent="0.3">
      <c r="B5">
        <v>2016</v>
      </c>
      <c r="C5" t="s">
        <v>107</v>
      </c>
      <c r="D5" t="s">
        <v>108</v>
      </c>
      <c r="E5" t="s">
        <v>109</v>
      </c>
      <c r="F5" t="s">
        <v>115</v>
      </c>
      <c r="G5" t="s">
        <v>78</v>
      </c>
      <c r="H5" s="57">
        <v>42439</v>
      </c>
      <c r="I5">
        <v>190</v>
      </c>
      <c r="J5" t="s">
        <v>115</v>
      </c>
      <c r="K5" s="57">
        <v>42439</v>
      </c>
      <c r="L5" t="s">
        <v>117</v>
      </c>
      <c r="M5">
        <v>16304</v>
      </c>
      <c r="N5" t="s">
        <v>113</v>
      </c>
      <c r="O5" t="s">
        <v>118</v>
      </c>
    </row>
    <row r="6" spans="2:15" x14ac:dyDescent="0.3">
      <c r="B6">
        <v>2015</v>
      </c>
      <c r="C6" t="s">
        <v>107</v>
      </c>
      <c r="D6" t="s">
        <v>108</v>
      </c>
      <c r="E6" t="s">
        <v>109</v>
      </c>
      <c r="F6" t="s">
        <v>115</v>
      </c>
      <c r="G6" t="s">
        <v>78</v>
      </c>
      <c r="H6" s="57">
        <v>42139</v>
      </c>
      <c r="I6">
        <v>175</v>
      </c>
      <c r="J6" t="s">
        <v>115</v>
      </c>
      <c r="K6" s="57">
        <v>42155</v>
      </c>
      <c r="L6" t="s">
        <v>112</v>
      </c>
      <c r="M6">
        <v>15232</v>
      </c>
      <c r="N6" t="s">
        <v>113</v>
      </c>
      <c r="O6" t="s">
        <v>119</v>
      </c>
    </row>
    <row r="7" spans="2:15" x14ac:dyDescent="0.3">
      <c r="B7">
        <v>2015</v>
      </c>
      <c r="C7" t="s">
        <v>107</v>
      </c>
      <c r="D7" t="s">
        <v>108</v>
      </c>
      <c r="E7" t="s">
        <v>109</v>
      </c>
      <c r="F7" t="s">
        <v>120</v>
      </c>
      <c r="G7" t="s">
        <v>78</v>
      </c>
      <c r="H7" s="57">
        <v>42167</v>
      </c>
      <c r="I7">
        <v>225</v>
      </c>
      <c r="J7" t="s">
        <v>121</v>
      </c>
      <c r="K7" s="57">
        <v>42167</v>
      </c>
      <c r="L7" t="s">
        <v>112</v>
      </c>
      <c r="M7">
        <v>15233</v>
      </c>
      <c r="N7" t="s">
        <v>113</v>
      </c>
      <c r="O7" t="s">
        <v>122</v>
      </c>
    </row>
    <row r="8" spans="2:15" x14ac:dyDescent="0.3">
      <c r="B8">
        <v>2014</v>
      </c>
      <c r="C8" t="s">
        <v>107</v>
      </c>
      <c r="D8" t="s">
        <v>108</v>
      </c>
      <c r="E8" t="s">
        <v>109</v>
      </c>
      <c r="F8" t="s">
        <v>115</v>
      </c>
      <c r="G8" t="s">
        <v>78</v>
      </c>
      <c r="H8" s="57">
        <v>41774</v>
      </c>
      <c r="I8">
        <v>175</v>
      </c>
      <c r="J8" t="s">
        <v>115</v>
      </c>
      <c r="K8" s="57">
        <v>41774</v>
      </c>
      <c r="L8" t="s">
        <v>112</v>
      </c>
      <c r="M8">
        <v>14312</v>
      </c>
      <c r="N8" t="s">
        <v>113</v>
      </c>
      <c r="O8" t="s">
        <v>119</v>
      </c>
    </row>
    <row r="9" spans="2:15" x14ac:dyDescent="0.3">
      <c r="B9">
        <v>2014</v>
      </c>
      <c r="C9" t="s">
        <v>107</v>
      </c>
      <c r="D9" t="s">
        <v>108</v>
      </c>
      <c r="E9" t="s">
        <v>109</v>
      </c>
      <c r="F9" t="s">
        <v>120</v>
      </c>
      <c r="G9" t="s">
        <v>78</v>
      </c>
      <c r="H9" s="57">
        <v>41799</v>
      </c>
      <c r="I9">
        <v>215</v>
      </c>
      <c r="J9" t="s">
        <v>121</v>
      </c>
      <c r="K9" s="57">
        <v>41799</v>
      </c>
      <c r="L9" t="s">
        <v>123</v>
      </c>
      <c r="M9">
        <v>14313</v>
      </c>
      <c r="N9" t="s">
        <v>113</v>
      </c>
      <c r="O9" t="s">
        <v>124</v>
      </c>
    </row>
    <row r="10" spans="2:15" x14ac:dyDescent="0.3">
      <c r="B10">
        <v>2013</v>
      </c>
      <c r="C10" t="s">
        <v>107</v>
      </c>
      <c r="D10" t="s">
        <v>108</v>
      </c>
      <c r="E10" t="s">
        <v>109</v>
      </c>
      <c r="F10" t="s">
        <v>115</v>
      </c>
      <c r="G10" t="s">
        <v>78</v>
      </c>
      <c r="H10" s="57">
        <v>41409</v>
      </c>
      <c r="I10">
        <v>198</v>
      </c>
      <c r="J10" t="s">
        <v>115</v>
      </c>
      <c r="K10" s="57">
        <v>41409</v>
      </c>
      <c r="L10" t="s">
        <v>112</v>
      </c>
      <c r="M10">
        <v>13195</v>
      </c>
      <c r="N10" t="s">
        <v>113</v>
      </c>
      <c r="O10" t="s">
        <v>125</v>
      </c>
    </row>
    <row r="11" spans="2:15" x14ac:dyDescent="0.3">
      <c r="B11">
        <v>2013</v>
      </c>
      <c r="C11" t="s">
        <v>107</v>
      </c>
      <c r="D11" t="s">
        <v>108</v>
      </c>
      <c r="E11" t="s">
        <v>109</v>
      </c>
      <c r="F11" t="s">
        <v>120</v>
      </c>
      <c r="G11" t="s">
        <v>78</v>
      </c>
      <c r="H11" s="57">
        <v>41422</v>
      </c>
      <c r="I11">
        <v>225</v>
      </c>
      <c r="J11" t="s">
        <v>121</v>
      </c>
      <c r="K11" s="57">
        <v>41422</v>
      </c>
      <c r="L11" t="s">
        <v>112</v>
      </c>
      <c r="M11">
        <v>13196</v>
      </c>
      <c r="N11" t="s">
        <v>113</v>
      </c>
      <c r="O11" t="s">
        <v>126</v>
      </c>
    </row>
    <row r="12" spans="2:15" x14ac:dyDescent="0.3">
      <c r="B12">
        <v>2017</v>
      </c>
      <c r="C12" t="s">
        <v>128</v>
      </c>
      <c r="D12" t="s">
        <v>108</v>
      </c>
      <c r="E12" t="s">
        <v>129</v>
      </c>
      <c r="F12" t="s">
        <v>130</v>
      </c>
      <c r="G12" t="s">
        <v>131</v>
      </c>
      <c r="H12" s="57">
        <v>42794</v>
      </c>
      <c r="I12">
        <v>439895</v>
      </c>
      <c r="J12" t="s">
        <v>132</v>
      </c>
      <c r="K12" s="57">
        <v>42794</v>
      </c>
      <c r="L12" t="s">
        <v>112</v>
      </c>
      <c r="M12">
        <v>17001</v>
      </c>
      <c r="N12" t="s">
        <v>133</v>
      </c>
      <c r="O12" t="s">
        <v>134</v>
      </c>
    </row>
    <row r="13" spans="2:15" x14ac:dyDescent="0.3">
      <c r="B13">
        <v>2017</v>
      </c>
      <c r="C13" t="s">
        <v>128</v>
      </c>
      <c r="D13" t="s">
        <v>108</v>
      </c>
      <c r="E13" t="s">
        <v>129</v>
      </c>
      <c r="F13" t="s">
        <v>130</v>
      </c>
      <c r="G13" t="s">
        <v>131</v>
      </c>
      <c r="H13" s="57">
        <v>42811</v>
      </c>
      <c r="I13">
        <v>235242</v>
      </c>
      <c r="J13" t="s">
        <v>132</v>
      </c>
      <c r="K13" s="57">
        <v>42811</v>
      </c>
      <c r="L13" t="s">
        <v>112</v>
      </c>
      <c r="M13">
        <v>17002</v>
      </c>
      <c r="N13" t="s">
        <v>133</v>
      </c>
      <c r="O13" t="s">
        <v>135</v>
      </c>
    </row>
    <row r="14" spans="2:15" x14ac:dyDescent="0.3">
      <c r="B14">
        <v>2017</v>
      </c>
      <c r="C14" t="s">
        <v>128</v>
      </c>
      <c r="D14" t="s">
        <v>108</v>
      </c>
      <c r="E14" t="s">
        <v>129</v>
      </c>
      <c r="F14" t="s">
        <v>130</v>
      </c>
      <c r="G14" t="s">
        <v>131</v>
      </c>
      <c r="H14" s="57">
        <v>42796</v>
      </c>
      <c r="I14">
        <v>121875</v>
      </c>
      <c r="J14" t="s">
        <v>132</v>
      </c>
      <c r="K14" s="57">
        <v>42796</v>
      </c>
      <c r="L14" t="s">
        <v>112</v>
      </c>
      <c r="M14">
        <v>17003</v>
      </c>
      <c r="N14" t="s">
        <v>133</v>
      </c>
      <c r="O14" t="s">
        <v>136</v>
      </c>
    </row>
    <row r="15" spans="2:15" x14ac:dyDescent="0.3">
      <c r="B15">
        <v>2017</v>
      </c>
      <c r="C15" t="s">
        <v>107</v>
      </c>
      <c r="D15" t="s">
        <v>108</v>
      </c>
      <c r="E15" t="s">
        <v>137</v>
      </c>
      <c r="F15" t="s">
        <v>138</v>
      </c>
      <c r="G15" t="s">
        <v>131</v>
      </c>
      <c r="H15" s="57">
        <v>42871</v>
      </c>
      <c r="I15">
        <v>657530</v>
      </c>
      <c r="J15" t="s">
        <v>132</v>
      </c>
      <c r="K15" s="57">
        <v>42871</v>
      </c>
      <c r="L15" t="s">
        <v>112</v>
      </c>
      <c r="M15">
        <v>17004</v>
      </c>
      <c r="N15" t="s">
        <v>133</v>
      </c>
      <c r="O15" t="s">
        <v>139</v>
      </c>
    </row>
    <row r="16" spans="2:15" x14ac:dyDescent="0.3">
      <c r="B16">
        <v>2017</v>
      </c>
      <c r="C16" t="s">
        <v>107</v>
      </c>
      <c r="D16" t="s">
        <v>108</v>
      </c>
      <c r="E16" t="s">
        <v>140</v>
      </c>
      <c r="F16" t="s">
        <v>140</v>
      </c>
      <c r="G16" t="s">
        <v>78</v>
      </c>
      <c r="H16" s="57">
        <v>42887</v>
      </c>
      <c r="I16">
        <v>4000000</v>
      </c>
      <c r="J16" t="s">
        <v>141</v>
      </c>
      <c r="K16" s="57">
        <v>42887</v>
      </c>
      <c r="L16" t="s">
        <v>112</v>
      </c>
      <c r="M16">
        <v>17188</v>
      </c>
      <c r="N16" t="s">
        <v>133</v>
      </c>
      <c r="O16" t="s">
        <v>142</v>
      </c>
    </row>
    <row r="17" spans="2:15" x14ac:dyDescent="0.3">
      <c r="B17">
        <v>2017</v>
      </c>
      <c r="C17" t="s">
        <v>107</v>
      </c>
      <c r="D17" t="s">
        <v>108</v>
      </c>
      <c r="E17" t="s">
        <v>143</v>
      </c>
      <c r="F17" t="s">
        <v>144</v>
      </c>
      <c r="G17" t="s">
        <v>145</v>
      </c>
      <c r="H17" s="57">
        <v>42921</v>
      </c>
      <c r="I17">
        <v>4695028</v>
      </c>
      <c r="J17" t="s">
        <v>146</v>
      </c>
      <c r="K17" s="57">
        <v>42921</v>
      </c>
      <c r="L17" t="s">
        <v>112</v>
      </c>
      <c r="M17">
        <v>17210</v>
      </c>
      <c r="N17" t="s">
        <v>133</v>
      </c>
      <c r="O17" t="s">
        <v>147</v>
      </c>
    </row>
    <row r="18" spans="2:15" x14ac:dyDescent="0.3">
      <c r="B18">
        <v>2017</v>
      </c>
      <c r="C18" t="s">
        <v>107</v>
      </c>
      <c r="D18" t="s">
        <v>108</v>
      </c>
      <c r="E18" t="s">
        <v>148</v>
      </c>
      <c r="F18" t="s">
        <v>148</v>
      </c>
      <c r="G18" t="s">
        <v>145</v>
      </c>
      <c r="H18" s="57">
        <v>42928</v>
      </c>
      <c r="I18">
        <v>1883016</v>
      </c>
      <c r="J18" t="s">
        <v>146</v>
      </c>
      <c r="K18" s="57">
        <v>42928</v>
      </c>
      <c r="L18" t="s">
        <v>112</v>
      </c>
      <c r="M18">
        <v>17211</v>
      </c>
      <c r="N18" t="s">
        <v>133</v>
      </c>
      <c r="O18" t="s">
        <v>149</v>
      </c>
    </row>
    <row r="19" spans="2:15" x14ac:dyDescent="0.3">
      <c r="B19">
        <v>2017</v>
      </c>
      <c r="C19" t="s">
        <v>107</v>
      </c>
      <c r="D19" t="s">
        <v>108</v>
      </c>
      <c r="E19" t="s">
        <v>150</v>
      </c>
      <c r="F19" t="s">
        <v>151</v>
      </c>
      <c r="G19" t="s">
        <v>145</v>
      </c>
      <c r="H19" s="57">
        <v>42835</v>
      </c>
      <c r="I19">
        <v>6578366</v>
      </c>
      <c r="J19" t="s">
        <v>152</v>
      </c>
      <c r="K19" s="57">
        <v>42835</v>
      </c>
      <c r="L19" t="s">
        <v>112</v>
      </c>
      <c r="M19">
        <v>17219</v>
      </c>
      <c r="N19" t="s">
        <v>133</v>
      </c>
      <c r="O19" t="s">
        <v>153</v>
      </c>
    </row>
    <row r="20" spans="2:15" x14ac:dyDescent="0.3">
      <c r="B20">
        <v>2017</v>
      </c>
      <c r="C20" t="s">
        <v>107</v>
      </c>
      <c r="D20" t="s">
        <v>108</v>
      </c>
      <c r="E20" t="s">
        <v>150</v>
      </c>
      <c r="F20" t="s">
        <v>151</v>
      </c>
      <c r="G20" t="s">
        <v>145</v>
      </c>
      <c r="H20" s="57">
        <v>42863</v>
      </c>
      <c r="I20">
        <v>4196748</v>
      </c>
      <c r="J20" t="s">
        <v>152</v>
      </c>
      <c r="K20" s="57">
        <v>42863</v>
      </c>
      <c r="L20" t="s">
        <v>112</v>
      </c>
      <c r="M20">
        <v>17220</v>
      </c>
      <c r="N20" t="s">
        <v>133</v>
      </c>
      <c r="O20" t="s">
        <v>154</v>
      </c>
    </row>
    <row r="21" spans="2:15" x14ac:dyDescent="0.3">
      <c r="B21">
        <v>2017</v>
      </c>
      <c r="C21" t="s">
        <v>107</v>
      </c>
      <c r="D21" t="s">
        <v>108</v>
      </c>
      <c r="E21" t="s">
        <v>109</v>
      </c>
      <c r="F21" t="s">
        <v>155</v>
      </c>
      <c r="G21" t="s">
        <v>78</v>
      </c>
      <c r="H21" s="57">
        <v>42856</v>
      </c>
      <c r="I21">
        <v>2800</v>
      </c>
      <c r="J21" t="s">
        <v>156</v>
      </c>
      <c r="K21" s="57">
        <v>42856</v>
      </c>
      <c r="L21" t="s">
        <v>112</v>
      </c>
      <c r="M21">
        <v>17270</v>
      </c>
      <c r="N21" t="s">
        <v>133</v>
      </c>
      <c r="O21" t="s">
        <v>157</v>
      </c>
    </row>
    <row r="22" spans="2:15" x14ac:dyDescent="0.3">
      <c r="B22">
        <v>2017</v>
      </c>
      <c r="C22" t="s">
        <v>107</v>
      </c>
      <c r="D22" t="s">
        <v>108</v>
      </c>
      <c r="E22" t="s">
        <v>158</v>
      </c>
      <c r="F22" t="s">
        <v>158</v>
      </c>
      <c r="G22" t="s">
        <v>78</v>
      </c>
      <c r="H22" s="57">
        <v>42878</v>
      </c>
      <c r="I22">
        <v>7006260</v>
      </c>
      <c r="J22" t="s">
        <v>156</v>
      </c>
      <c r="K22" s="57">
        <v>42905</v>
      </c>
      <c r="L22" t="s">
        <v>112</v>
      </c>
      <c r="M22">
        <v>17308</v>
      </c>
      <c r="N22" t="s">
        <v>133</v>
      </c>
      <c r="O22" t="s">
        <v>159</v>
      </c>
    </row>
    <row r="23" spans="2:15" x14ac:dyDescent="0.3">
      <c r="B23">
        <v>2017</v>
      </c>
      <c r="C23" t="s">
        <v>107</v>
      </c>
      <c r="D23" t="s">
        <v>108</v>
      </c>
      <c r="E23" t="s">
        <v>160</v>
      </c>
      <c r="F23" t="s">
        <v>160</v>
      </c>
      <c r="G23" t="s">
        <v>78</v>
      </c>
      <c r="H23" s="57">
        <v>42899</v>
      </c>
      <c r="I23">
        <v>3046454</v>
      </c>
      <c r="J23" t="s">
        <v>156</v>
      </c>
      <c r="K23" s="57">
        <v>42911</v>
      </c>
      <c r="L23" t="s">
        <v>112</v>
      </c>
      <c r="M23">
        <v>17312</v>
      </c>
      <c r="N23" t="s">
        <v>133</v>
      </c>
      <c r="O23" t="s">
        <v>161</v>
      </c>
    </row>
    <row r="24" spans="2:15" x14ac:dyDescent="0.3">
      <c r="B24">
        <v>2017</v>
      </c>
      <c r="C24" t="s">
        <v>107</v>
      </c>
      <c r="D24" t="s">
        <v>108</v>
      </c>
      <c r="E24" t="s">
        <v>109</v>
      </c>
      <c r="F24" t="s">
        <v>162</v>
      </c>
      <c r="G24" t="s">
        <v>78</v>
      </c>
      <c r="H24" s="57">
        <v>42856</v>
      </c>
      <c r="I24">
        <v>13600</v>
      </c>
      <c r="J24" t="s">
        <v>163</v>
      </c>
      <c r="K24" s="57">
        <v>42856</v>
      </c>
      <c r="L24" t="s">
        <v>112</v>
      </c>
      <c r="M24">
        <v>17335</v>
      </c>
      <c r="N24" t="s">
        <v>133</v>
      </c>
      <c r="O24" t="s">
        <v>164</v>
      </c>
    </row>
    <row r="25" spans="2:15" x14ac:dyDescent="0.3">
      <c r="B25">
        <v>2017</v>
      </c>
      <c r="C25" t="s">
        <v>107</v>
      </c>
      <c r="D25" t="s">
        <v>108</v>
      </c>
      <c r="E25" t="s">
        <v>109</v>
      </c>
      <c r="F25" t="s">
        <v>155</v>
      </c>
      <c r="G25" t="s">
        <v>78</v>
      </c>
      <c r="H25" s="57">
        <v>42856</v>
      </c>
      <c r="I25">
        <v>3975</v>
      </c>
      <c r="J25" t="s">
        <v>156</v>
      </c>
      <c r="K25" s="57">
        <v>42856</v>
      </c>
      <c r="L25" t="s">
        <v>112</v>
      </c>
      <c r="M25">
        <v>17336</v>
      </c>
      <c r="N25" t="s">
        <v>133</v>
      </c>
      <c r="O25" t="s">
        <v>165</v>
      </c>
    </row>
    <row r="26" spans="2:15" x14ac:dyDescent="0.3">
      <c r="B26">
        <v>2016</v>
      </c>
      <c r="C26" t="s">
        <v>107</v>
      </c>
      <c r="D26" t="s">
        <v>108</v>
      </c>
      <c r="E26" t="s">
        <v>148</v>
      </c>
      <c r="F26" t="s">
        <v>148</v>
      </c>
      <c r="G26" t="s">
        <v>145</v>
      </c>
      <c r="H26" s="57">
        <v>42562</v>
      </c>
      <c r="I26">
        <v>1560812</v>
      </c>
      <c r="J26" t="s">
        <v>146</v>
      </c>
      <c r="K26" s="57">
        <v>42562</v>
      </c>
      <c r="L26" t="s">
        <v>112</v>
      </c>
      <c r="M26">
        <v>16002</v>
      </c>
      <c r="N26" t="s">
        <v>133</v>
      </c>
      <c r="O26" t="s">
        <v>166</v>
      </c>
    </row>
    <row r="27" spans="2:15" x14ac:dyDescent="0.3">
      <c r="B27">
        <v>2016</v>
      </c>
      <c r="C27" t="s">
        <v>128</v>
      </c>
      <c r="D27" t="s">
        <v>108</v>
      </c>
      <c r="E27" t="s">
        <v>129</v>
      </c>
      <c r="F27" t="s">
        <v>130</v>
      </c>
      <c r="G27" t="s">
        <v>131</v>
      </c>
      <c r="H27" s="57">
        <v>42430</v>
      </c>
      <c r="I27">
        <v>487458</v>
      </c>
      <c r="J27" t="s">
        <v>132</v>
      </c>
      <c r="K27" s="57">
        <v>42430</v>
      </c>
      <c r="L27" t="s">
        <v>112</v>
      </c>
      <c r="M27">
        <v>16017</v>
      </c>
      <c r="N27" t="s">
        <v>133</v>
      </c>
      <c r="O27" t="s">
        <v>167</v>
      </c>
    </row>
    <row r="28" spans="2:15" x14ac:dyDescent="0.3">
      <c r="B28">
        <v>2016</v>
      </c>
      <c r="C28" t="s">
        <v>128</v>
      </c>
      <c r="D28" t="s">
        <v>108</v>
      </c>
      <c r="E28" t="s">
        <v>129</v>
      </c>
      <c r="F28" t="s">
        <v>130</v>
      </c>
      <c r="G28" t="s">
        <v>131</v>
      </c>
      <c r="H28" s="57">
        <v>42450</v>
      </c>
      <c r="I28">
        <v>230714</v>
      </c>
      <c r="J28" t="s">
        <v>132</v>
      </c>
      <c r="K28" s="57">
        <v>42450</v>
      </c>
      <c r="L28" t="s">
        <v>112</v>
      </c>
      <c r="M28">
        <v>16018</v>
      </c>
      <c r="N28" t="s">
        <v>133</v>
      </c>
      <c r="O28" t="s">
        <v>168</v>
      </c>
    </row>
    <row r="29" spans="2:15" x14ac:dyDescent="0.3">
      <c r="B29">
        <v>2016</v>
      </c>
      <c r="C29" t="s">
        <v>128</v>
      </c>
      <c r="D29" t="s">
        <v>108</v>
      </c>
      <c r="E29" t="s">
        <v>129</v>
      </c>
      <c r="F29" t="s">
        <v>130</v>
      </c>
      <c r="G29" t="s">
        <v>131</v>
      </c>
      <c r="H29" s="57">
        <v>42431</v>
      </c>
      <c r="I29">
        <v>106305</v>
      </c>
      <c r="J29" t="s">
        <v>132</v>
      </c>
      <c r="K29" s="57">
        <v>42431</v>
      </c>
      <c r="L29" t="s">
        <v>112</v>
      </c>
      <c r="M29">
        <v>16019</v>
      </c>
      <c r="N29" t="s">
        <v>133</v>
      </c>
      <c r="O29" t="s">
        <v>169</v>
      </c>
    </row>
    <row r="30" spans="2:15" x14ac:dyDescent="0.3">
      <c r="B30">
        <v>2016</v>
      </c>
      <c r="C30" t="s">
        <v>107</v>
      </c>
      <c r="D30" t="s">
        <v>108</v>
      </c>
      <c r="E30" t="s">
        <v>137</v>
      </c>
      <c r="F30" t="s">
        <v>138</v>
      </c>
      <c r="G30" t="s">
        <v>131</v>
      </c>
      <c r="H30" s="57">
        <v>42506</v>
      </c>
      <c r="I30">
        <v>545360</v>
      </c>
      <c r="J30" t="s">
        <v>132</v>
      </c>
      <c r="K30" s="57">
        <v>42506</v>
      </c>
      <c r="L30" t="s">
        <v>112</v>
      </c>
      <c r="M30">
        <v>16020</v>
      </c>
      <c r="N30" t="s">
        <v>133</v>
      </c>
      <c r="O30" t="s">
        <v>170</v>
      </c>
    </row>
    <row r="31" spans="2:15" x14ac:dyDescent="0.3">
      <c r="B31">
        <v>2016</v>
      </c>
      <c r="C31" t="s">
        <v>107</v>
      </c>
      <c r="D31" t="s">
        <v>108</v>
      </c>
      <c r="E31" t="s">
        <v>150</v>
      </c>
      <c r="F31" t="s">
        <v>151</v>
      </c>
      <c r="G31" t="s">
        <v>145</v>
      </c>
      <c r="H31" s="57">
        <v>42471</v>
      </c>
      <c r="I31">
        <v>6349372</v>
      </c>
      <c r="J31" t="s">
        <v>152</v>
      </c>
      <c r="K31" s="57">
        <v>42471</v>
      </c>
      <c r="L31" t="s">
        <v>112</v>
      </c>
      <c r="M31">
        <v>16043</v>
      </c>
      <c r="N31" t="s">
        <v>133</v>
      </c>
      <c r="O31" t="s">
        <v>171</v>
      </c>
    </row>
    <row r="32" spans="2:15" x14ac:dyDescent="0.3">
      <c r="B32">
        <v>2016</v>
      </c>
      <c r="C32" t="s">
        <v>107</v>
      </c>
      <c r="D32" t="s">
        <v>108</v>
      </c>
      <c r="E32" t="s">
        <v>150</v>
      </c>
      <c r="F32" t="s">
        <v>151</v>
      </c>
      <c r="G32" t="s">
        <v>145</v>
      </c>
      <c r="H32" s="57">
        <v>42499</v>
      </c>
      <c r="I32">
        <v>3818576</v>
      </c>
      <c r="J32" t="s">
        <v>152</v>
      </c>
      <c r="K32" s="57">
        <v>42499</v>
      </c>
      <c r="L32" t="s">
        <v>112</v>
      </c>
      <c r="M32">
        <v>16044</v>
      </c>
      <c r="N32" t="s">
        <v>133</v>
      </c>
      <c r="O32" t="s">
        <v>172</v>
      </c>
    </row>
    <row r="33" spans="2:15" x14ac:dyDescent="0.3">
      <c r="B33">
        <v>2016</v>
      </c>
      <c r="C33" t="s">
        <v>107</v>
      </c>
      <c r="D33" t="s">
        <v>108</v>
      </c>
      <c r="E33" t="s">
        <v>143</v>
      </c>
      <c r="F33" t="s">
        <v>144</v>
      </c>
      <c r="G33" t="s">
        <v>145</v>
      </c>
      <c r="H33" s="57">
        <v>42562</v>
      </c>
      <c r="I33">
        <v>3961115</v>
      </c>
      <c r="J33" t="s">
        <v>146</v>
      </c>
      <c r="K33" s="57">
        <v>42562</v>
      </c>
      <c r="L33" t="s">
        <v>112</v>
      </c>
      <c r="M33">
        <v>16205</v>
      </c>
      <c r="N33" t="s">
        <v>133</v>
      </c>
      <c r="O33" t="s">
        <v>173</v>
      </c>
    </row>
    <row r="34" spans="2:15" x14ac:dyDescent="0.3">
      <c r="B34">
        <v>2016</v>
      </c>
      <c r="C34" t="s">
        <v>107</v>
      </c>
      <c r="D34" t="s">
        <v>108</v>
      </c>
      <c r="E34" t="s">
        <v>109</v>
      </c>
      <c r="F34" t="s">
        <v>155</v>
      </c>
      <c r="G34" t="s">
        <v>78</v>
      </c>
      <c r="H34" s="57">
        <v>42491</v>
      </c>
      <c r="I34">
        <v>3850</v>
      </c>
      <c r="J34" t="s">
        <v>156</v>
      </c>
      <c r="K34" s="57">
        <v>42521</v>
      </c>
      <c r="L34" t="s">
        <v>174</v>
      </c>
      <c r="M34">
        <v>16297</v>
      </c>
      <c r="N34" t="s">
        <v>133</v>
      </c>
      <c r="O34" t="s">
        <v>175</v>
      </c>
    </row>
    <row r="35" spans="2:15" x14ac:dyDescent="0.3">
      <c r="B35">
        <v>2016</v>
      </c>
      <c r="C35" t="s">
        <v>107</v>
      </c>
      <c r="D35" t="s">
        <v>108</v>
      </c>
      <c r="E35" t="s">
        <v>160</v>
      </c>
      <c r="F35" t="s">
        <v>160</v>
      </c>
      <c r="G35" t="s">
        <v>78</v>
      </c>
      <c r="H35" s="57">
        <v>42542</v>
      </c>
      <c r="I35">
        <v>3611078</v>
      </c>
      <c r="J35" t="s">
        <v>156</v>
      </c>
      <c r="K35" s="57">
        <v>42555</v>
      </c>
      <c r="L35" t="s">
        <v>112</v>
      </c>
      <c r="M35">
        <v>16298</v>
      </c>
      <c r="N35" t="s">
        <v>133</v>
      </c>
      <c r="O35" t="s">
        <v>176</v>
      </c>
    </row>
    <row r="36" spans="2:15" x14ac:dyDescent="0.3">
      <c r="B36">
        <v>2016</v>
      </c>
      <c r="C36" t="s">
        <v>107</v>
      </c>
      <c r="D36" t="s">
        <v>108</v>
      </c>
      <c r="E36" t="s">
        <v>158</v>
      </c>
      <c r="F36" t="s">
        <v>158</v>
      </c>
      <c r="G36" t="s">
        <v>78</v>
      </c>
      <c r="H36" s="57">
        <v>42537</v>
      </c>
      <c r="I36">
        <v>7241166</v>
      </c>
      <c r="J36" t="s">
        <v>156</v>
      </c>
      <c r="K36" s="57">
        <v>42544</v>
      </c>
      <c r="L36" t="s">
        <v>112</v>
      </c>
      <c r="M36">
        <v>16300</v>
      </c>
      <c r="N36" t="s">
        <v>133</v>
      </c>
      <c r="O36" t="s">
        <v>177</v>
      </c>
    </row>
    <row r="37" spans="2:15" x14ac:dyDescent="0.3">
      <c r="B37">
        <v>2016</v>
      </c>
      <c r="C37" t="s">
        <v>107</v>
      </c>
      <c r="D37" t="s">
        <v>108</v>
      </c>
      <c r="E37" t="s">
        <v>109</v>
      </c>
      <c r="F37" t="s">
        <v>155</v>
      </c>
      <c r="G37" t="s">
        <v>78</v>
      </c>
      <c r="H37" s="57">
        <v>42514</v>
      </c>
      <c r="I37">
        <v>910</v>
      </c>
      <c r="J37" t="s">
        <v>156</v>
      </c>
      <c r="K37" s="57">
        <v>42530</v>
      </c>
      <c r="L37" t="s">
        <v>123</v>
      </c>
      <c r="M37">
        <v>16301</v>
      </c>
      <c r="N37" t="s">
        <v>133</v>
      </c>
      <c r="O37" t="s">
        <v>178</v>
      </c>
    </row>
    <row r="38" spans="2:15" x14ac:dyDescent="0.3">
      <c r="B38">
        <v>2016</v>
      </c>
      <c r="C38" t="s">
        <v>107</v>
      </c>
      <c r="D38" t="s">
        <v>108</v>
      </c>
      <c r="E38" t="s">
        <v>109</v>
      </c>
      <c r="F38" t="s">
        <v>162</v>
      </c>
      <c r="G38" t="s">
        <v>78</v>
      </c>
      <c r="H38" s="57">
        <v>42445</v>
      </c>
      <c r="I38">
        <v>10320</v>
      </c>
      <c r="J38" t="s">
        <v>163</v>
      </c>
      <c r="K38" s="57">
        <v>42538</v>
      </c>
      <c r="L38" t="s">
        <v>123</v>
      </c>
      <c r="M38">
        <v>16302</v>
      </c>
      <c r="N38" t="s">
        <v>133</v>
      </c>
      <c r="O38" t="s">
        <v>179</v>
      </c>
    </row>
    <row r="39" spans="2:15" x14ac:dyDescent="0.3">
      <c r="B39">
        <v>2016</v>
      </c>
      <c r="C39" t="s">
        <v>107</v>
      </c>
      <c r="D39" t="s">
        <v>108</v>
      </c>
      <c r="E39" t="s">
        <v>109</v>
      </c>
      <c r="F39" t="s">
        <v>155</v>
      </c>
      <c r="G39" t="s">
        <v>78</v>
      </c>
      <c r="H39" s="57">
        <v>42439</v>
      </c>
      <c r="I39">
        <v>2906</v>
      </c>
      <c r="J39" t="s">
        <v>156</v>
      </c>
      <c r="K39" s="57">
        <v>42525</v>
      </c>
      <c r="L39" t="s">
        <v>123</v>
      </c>
      <c r="M39">
        <v>16303</v>
      </c>
      <c r="N39" t="s">
        <v>133</v>
      </c>
      <c r="O39" t="s">
        <v>180</v>
      </c>
    </row>
    <row r="40" spans="2:15" x14ac:dyDescent="0.3">
      <c r="B40">
        <v>2016</v>
      </c>
      <c r="C40" t="s">
        <v>107</v>
      </c>
      <c r="D40" t="s">
        <v>108</v>
      </c>
      <c r="E40" t="s">
        <v>140</v>
      </c>
      <c r="F40" t="s">
        <v>140</v>
      </c>
      <c r="G40" t="s">
        <v>78</v>
      </c>
      <c r="H40" s="57">
        <v>42541</v>
      </c>
      <c r="I40">
        <v>1956201</v>
      </c>
      <c r="J40" t="s">
        <v>141</v>
      </c>
      <c r="K40" s="57">
        <v>42543</v>
      </c>
      <c r="L40" t="s">
        <v>112</v>
      </c>
      <c r="M40">
        <v>16348</v>
      </c>
      <c r="N40" t="s">
        <v>133</v>
      </c>
      <c r="O40" t="s">
        <v>181</v>
      </c>
    </row>
    <row r="41" spans="2:15" x14ac:dyDescent="0.3">
      <c r="B41">
        <v>2016</v>
      </c>
      <c r="C41" t="s">
        <v>107</v>
      </c>
      <c r="D41" t="s">
        <v>108</v>
      </c>
      <c r="E41" t="s">
        <v>182</v>
      </c>
      <c r="F41" t="s">
        <v>183</v>
      </c>
      <c r="G41" t="s">
        <v>184</v>
      </c>
      <c r="H41" s="57">
        <v>42494</v>
      </c>
      <c r="I41">
        <v>1700000</v>
      </c>
      <c r="J41" t="s">
        <v>163</v>
      </c>
      <c r="K41" s="57">
        <v>42494</v>
      </c>
      <c r="L41" t="s">
        <v>112</v>
      </c>
      <c r="M41">
        <v>16353</v>
      </c>
      <c r="N41" t="s">
        <v>133</v>
      </c>
      <c r="O41" t="s">
        <v>185</v>
      </c>
    </row>
    <row r="42" spans="2:15" x14ac:dyDescent="0.3">
      <c r="B42">
        <v>2016</v>
      </c>
      <c r="C42" t="s">
        <v>107</v>
      </c>
      <c r="D42" t="s">
        <v>108</v>
      </c>
      <c r="E42" t="s">
        <v>182</v>
      </c>
      <c r="F42" t="s">
        <v>183</v>
      </c>
      <c r="G42" t="s">
        <v>184</v>
      </c>
      <c r="H42" s="57">
        <v>42444</v>
      </c>
      <c r="I42">
        <v>362472</v>
      </c>
      <c r="J42" t="s">
        <v>163</v>
      </c>
      <c r="K42" s="57">
        <v>42444</v>
      </c>
      <c r="L42" t="s">
        <v>112</v>
      </c>
      <c r="M42">
        <v>16354</v>
      </c>
      <c r="N42" t="s">
        <v>133</v>
      </c>
      <c r="O42" t="s">
        <v>186</v>
      </c>
    </row>
    <row r="43" spans="2:15" x14ac:dyDescent="0.3">
      <c r="B43">
        <v>2016</v>
      </c>
      <c r="C43" t="s">
        <v>107</v>
      </c>
      <c r="D43" t="s">
        <v>108</v>
      </c>
      <c r="E43" t="s">
        <v>182</v>
      </c>
      <c r="F43" t="s">
        <v>183</v>
      </c>
      <c r="G43" t="s">
        <v>184</v>
      </c>
      <c r="H43" s="57">
        <v>42496</v>
      </c>
      <c r="I43">
        <v>180000</v>
      </c>
      <c r="J43" t="s">
        <v>163</v>
      </c>
      <c r="K43" s="57">
        <v>42496</v>
      </c>
      <c r="L43" t="s">
        <v>112</v>
      </c>
      <c r="M43">
        <v>16355</v>
      </c>
      <c r="N43" t="s">
        <v>133</v>
      </c>
      <c r="O43" t="s">
        <v>187</v>
      </c>
    </row>
    <row r="44" spans="2:15" x14ac:dyDescent="0.3">
      <c r="B44">
        <v>2016</v>
      </c>
      <c r="C44" t="s">
        <v>107</v>
      </c>
      <c r="D44" t="s">
        <v>108</v>
      </c>
      <c r="E44" t="s">
        <v>182</v>
      </c>
      <c r="F44" t="s">
        <v>162</v>
      </c>
      <c r="G44" t="s">
        <v>184</v>
      </c>
      <c r="H44" s="57">
        <v>42496</v>
      </c>
      <c r="I44">
        <v>20000</v>
      </c>
      <c r="J44" t="s">
        <v>163</v>
      </c>
      <c r="K44" s="57">
        <v>42496</v>
      </c>
      <c r="L44" t="s">
        <v>112</v>
      </c>
      <c r="M44">
        <v>16356</v>
      </c>
      <c r="N44" t="s">
        <v>133</v>
      </c>
      <c r="O44" t="s">
        <v>188</v>
      </c>
    </row>
    <row r="45" spans="2:15" x14ac:dyDescent="0.3">
      <c r="B45">
        <v>2016</v>
      </c>
      <c r="C45" t="s">
        <v>107</v>
      </c>
      <c r="D45" t="s">
        <v>108</v>
      </c>
      <c r="E45" t="s">
        <v>189</v>
      </c>
      <c r="F45" t="s">
        <v>190</v>
      </c>
      <c r="G45" t="s">
        <v>184</v>
      </c>
      <c r="H45" s="57">
        <v>42496</v>
      </c>
      <c r="I45">
        <v>37000</v>
      </c>
      <c r="J45" t="s">
        <v>163</v>
      </c>
      <c r="K45" s="57">
        <v>42496</v>
      </c>
      <c r="L45" t="s">
        <v>112</v>
      </c>
      <c r="M45">
        <v>16357</v>
      </c>
      <c r="N45" t="s">
        <v>133</v>
      </c>
      <c r="O45" t="s">
        <v>191</v>
      </c>
    </row>
    <row r="46" spans="2:15" x14ac:dyDescent="0.3">
      <c r="B46">
        <v>2015</v>
      </c>
      <c r="C46" t="s">
        <v>128</v>
      </c>
      <c r="D46" t="s">
        <v>108</v>
      </c>
      <c r="E46" t="s">
        <v>129</v>
      </c>
      <c r="F46" t="s">
        <v>130</v>
      </c>
      <c r="G46" t="s">
        <v>131</v>
      </c>
      <c r="H46" s="57">
        <v>42062</v>
      </c>
      <c r="I46">
        <v>443605</v>
      </c>
      <c r="J46" t="s">
        <v>132</v>
      </c>
      <c r="K46" s="57">
        <v>42062</v>
      </c>
      <c r="L46" t="s">
        <v>112</v>
      </c>
      <c r="M46">
        <v>15013</v>
      </c>
      <c r="N46" t="s">
        <v>133</v>
      </c>
      <c r="O46" t="s">
        <v>192</v>
      </c>
    </row>
    <row r="47" spans="2:15" x14ac:dyDescent="0.3">
      <c r="B47">
        <v>2015</v>
      </c>
      <c r="C47" t="s">
        <v>107</v>
      </c>
      <c r="D47" t="s">
        <v>108</v>
      </c>
      <c r="E47" t="s">
        <v>137</v>
      </c>
      <c r="F47" t="s">
        <v>138</v>
      </c>
      <c r="G47" t="s">
        <v>131</v>
      </c>
      <c r="H47" s="57">
        <v>42131</v>
      </c>
      <c r="I47">
        <v>653205</v>
      </c>
      <c r="J47" t="s">
        <v>132</v>
      </c>
      <c r="K47" s="57">
        <v>42131</v>
      </c>
      <c r="L47" t="s">
        <v>112</v>
      </c>
      <c r="M47">
        <v>15092</v>
      </c>
      <c r="N47" t="s">
        <v>133</v>
      </c>
      <c r="O47" t="s">
        <v>193</v>
      </c>
    </row>
    <row r="48" spans="2:15" x14ac:dyDescent="0.3">
      <c r="B48">
        <v>2015</v>
      </c>
      <c r="C48" t="s">
        <v>128</v>
      </c>
      <c r="D48" t="s">
        <v>108</v>
      </c>
      <c r="E48" t="s">
        <v>129</v>
      </c>
      <c r="F48" t="s">
        <v>130</v>
      </c>
      <c r="G48" t="s">
        <v>131</v>
      </c>
      <c r="H48" s="57">
        <v>42062</v>
      </c>
      <c r="I48">
        <v>115460</v>
      </c>
      <c r="J48" t="s">
        <v>132</v>
      </c>
      <c r="K48" s="57">
        <v>42062</v>
      </c>
      <c r="L48" t="s">
        <v>112</v>
      </c>
      <c r="M48">
        <v>15102</v>
      </c>
      <c r="N48" t="s">
        <v>133</v>
      </c>
      <c r="O48" t="s">
        <v>194</v>
      </c>
    </row>
    <row r="49" spans="2:15" x14ac:dyDescent="0.3">
      <c r="B49">
        <v>2015</v>
      </c>
      <c r="C49" t="s">
        <v>107</v>
      </c>
      <c r="D49" t="s">
        <v>108</v>
      </c>
      <c r="E49" t="s">
        <v>150</v>
      </c>
      <c r="F49" t="s">
        <v>151</v>
      </c>
      <c r="G49" t="s">
        <v>145</v>
      </c>
      <c r="H49" s="57">
        <v>42107</v>
      </c>
      <c r="I49">
        <v>6690340</v>
      </c>
      <c r="J49" t="s">
        <v>152</v>
      </c>
      <c r="K49" s="57">
        <v>42107</v>
      </c>
      <c r="L49" t="s">
        <v>112</v>
      </c>
      <c r="M49">
        <v>15107</v>
      </c>
      <c r="N49" t="s">
        <v>133</v>
      </c>
      <c r="O49" t="s">
        <v>195</v>
      </c>
    </row>
    <row r="50" spans="2:15" x14ac:dyDescent="0.3">
      <c r="B50">
        <v>2015</v>
      </c>
      <c r="C50" t="s">
        <v>107</v>
      </c>
      <c r="D50" t="s">
        <v>108</v>
      </c>
      <c r="E50" t="s">
        <v>150</v>
      </c>
      <c r="F50" t="s">
        <v>151</v>
      </c>
      <c r="G50" t="s">
        <v>145</v>
      </c>
      <c r="H50" s="57">
        <v>42121</v>
      </c>
      <c r="I50">
        <v>4036472</v>
      </c>
      <c r="J50" t="s">
        <v>152</v>
      </c>
      <c r="K50" s="57">
        <v>42121</v>
      </c>
      <c r="L50" t="s">
        <v>112</v>
      </c>
      <c r="M50">
        <v>15108</v>
      </c>
      <c r="N50" t="s">
        <v>133</v>
      </c>
      <c r="O50" t="s">
        <v>196</v>
      </c>
    </row>
    <row r="51" spans="2:15" x14ac:dyDescent="0.3">
      <c r="B51">
        <v>2015</v>
      </c>
      <c r="C51" t="s">
        <v>107</v>
      </c>
      <c r="D51" t="s">
        <v>108</v>
      </c>
      <c r="E51" t="s">
        <v>140</v>
      </c>
      <c r="F51" t="s">
        <v>141</v>
      </c>
      <c r="G51" t="s">
        <v>78</v>
      </c>
      <c r="H51" s="57">
        <v>42177</v>
      </c>
      <c r="I51">
        <v>3528050</v>
      </c>
      <c r="J51" t="s">
        <v>141</v>
      </c>
      <c r="K51" s="57">
        <v>42181</v>
      </c>
      <c r="L51" t="s">
        <v>112</v>
      </c>
      <c r="M51">
        <v>15113</v>
      </c>
      <c r="N51" t="s">
        <v>133</v>
      </c>
      <c r="O51" t="s">
        <v>197</v>
      </c>
    </row>
    <row r="52" spans="2:15" x14ac:dyDescent="0.3">
      <c r="B52">
        <v>2015</v>
      </c>
      <c r="C52" t="s">
        <v>107</v>
      </c>
      <c r="D52" t="s">
        <v>108</v>
      </c>
      <c r="E52" t="s">
        <v>143</v>
      </c>
      <c r="F52" t="s">
        <v>144</v>
      </c>
      <c r="G52" t="s">
        <v>145</v>
      </c>
      <c r="H52" s="57">
        <v>42187</v>
      </c>
      <c r="I52">
        <v>3972526</v>
      </c>
      <c r="J52" t="s">
        <v>146</v>
      </c>
      <c r="K52" s="57">
        <v>42187</v>
      </c>
      <c r="L52" t="s">
        <v>112</v>
      </c>
      <c r="M52">
        <v>15123</v>
      </c>
      <c r="N52" t="s">
        <v>133</v>
      </c>
      <c r="O52" t="s">
        <v>198</v>
      </c>
    </row>
    <row r="53" spans="2:15" x14ac:dyDescent="0.3">
      <c r="B53">
        <v>2015</v>
      </c>
      <c r="C53" t="s">
        <v>107</v>
      </c>
      <c r="D53" t="s">
        <v>108</v>
      </c>
      <c r="E53" t="s">
        <v>109</v>
      </c>
      <c r="F53" t="s">
        <v>155</v>
      </c>
      <c r="G53" t="s">
        <v>78</v>
      </c>
      <c r="H53" s="57">
        <v>42089</v>
      </c>
      <c r="I53">
        <v>3540</v>
      </c>
      <c r="J53" t="s">
        <v>156</v>
      </c>
      <c r="K53" s="57">
        <v>42170</v>
      </c>
      <c r="L53" t="s">
        <v>112</v>
      </c>
      <c r="M53">
        <v>15226</v>
      </c>
      <c r="N53" t="s">
        <v>133</v>
      </c>
      <c r="O53" t="s">
        <v>199</v>
      </c>
    </row>
    <row r="54" spans="2:15" x14ac:dyDescent="0.3">
      <c r="B54">
        <v>2015</v>
      </c>
      <c r="C54" t="s">
        <v>107</v>
      </c>
      <c r="D54" t="s">
        <v>108</v>
      </c>
      <c r="E54" t="s">
        <v>160</v>
      </c>
      <c r="F54" t="s">
        <v>160</v>
      </c>
      <c r="G54" t="s">
        <v>78</v>
      </c>
      <c r="H54" s="57">
        <v>42177</v>
      </c>
      <c r="I54">
        <v>3585166</v>
      </c>
      <c r="J54" t="s">
        <v>156</v>
      </c>
      <c r="K54" s="57">
        <v>42188</v>
      </c>
      <c r="L54" t="s">
        <v>112</v>
      </c>
      <c r="M54">
        <v>15227</v>
      </c>
      <c r="N54" t="s">
        <v>133</v>
      </c>
      <c r="O54" t="s">
        <v>200</v>
      </c>
    </row>
    <row r="55" spans="2:15" x14ac:dyDescent="0.3">
      <c r="B55">
        <v>2015</v>
      </c>
      <c r="C55" t="s">
        <v>107</v>
      </c>
      <c r="D55" t="s">
        <v>108</v>
      </c>
      <c r="E55" t="s">
        <v>158</v>
      </c>
      <c r="F55" t="s">
        <v>158</v>
      </c>
      <c r="G55" t="s">
        <v>78</v>
      </c>
      <c r="H55" s="57">
        <v>42167</v>
      </c>
      <c r="I55">
        <v>7117709</v>
      </c>
      <c r="J55" t="s">
        <v>156</v>
      </c>
      <c r="K55" s="57">
        <v>42180</v>
      </c>
      <c r="L55" t="s">
        <v>112</v>
      </c>
      <c r="M55">
        <v>15229</v>
      </c>
      <c r="N55" t="s">
        <v>133</v>
      </c>
      <c r="O55" t="s">
        <v>201</v>
      </c>
    </row>
    <row r="56" spans="2:15" x14ac:dyDescent="0.3">
      <c r="B56">
        <v>2015</v>
      </c>
      <c r="C56" t="s">
        <v>107</v>
      </c>
      <c r="D56" t="s">
        <v>108</v>
      </c>
      <c r="E56" t="s">
        <v>109</v>
      </c>
      <c r="F56" t="s">
        <v>162</v>
      </c>
      <c r="G56" t="s">
        <v>78</v>
      </c>
      <c r="H56" s="57">
        <v>42139</v>
      </c>
      <c r="I56">
        <v>17000</v>
      </c>
      <c r="J56" t="s">
        <v>163</v>
      </c>
      <c r="K56" s="57">
        <v>42155</v>
      </c>
      <c r="L56" t="s">
        <v>112</v>
      </c>
      <c r="M56">
        <v>15230</v>
      </c>
      <c r="N56" t="s">
        <v>133</v>
      </c>
      <c r="O56" t="s">
        <v>202</v>
      </c>
    </row>
    <row r="57" spans="2:15" x14ac:dyDescent="0.3">
      <c r="B57">
        <v>2015</v>
      </c>
      <c r="C57" t="s">
        <v>107</v>
      </c>
      <c r="D57" t="s">
        <v>108</v>
      </c>
      <c r="E57" t="s">
        <v>109</v>
      </c>
      <c r="F57" t="s">
        <v>155</v>
      </c>
      <c r="G57" t="s">
        <v>78</v>
      </c>
      <c r="H57" s="57">
        <v>42139</v>
      </c>
      <c r="I57">
        <v>2575</v>
      </c>
      <c r="J57" t="s">
        <v>156</v>
      </c>
      <c r="K57" s="57">
        <v>42155</v>
      </c>
      <c r="L57" t="s">
        <v>112</v>
      </c>
      <c r="M57">
        <v>15231</v>
      </c>
      <c r="N57" t="s">
        <v>133</v>
      </c>
      <c r="O57" t="s">
        <v>119</v>
      </c>
    </row>
    <row r="58" spans="2:15" x14ac:dyDescent="0.3">
      <c r="B58">
        <v>2015</v>
      </c>
      <c r="C58" t="s">
        <v>107</v>
      </c>
      <c r="D58" t="s">
        <v>108</v>
      </c>
      <c r="E58" t="s">
        <v>182</v>
      </c>
      <c r="F58" t="s">
        <v>183</v>
      </c>
      <c r="G58" t="s">
        <v>184</v>
      </c>
      <c r="H58" s="57">
        <v>42130</v>
      </c>
      <c r="I58">
        <v>479078</v>
      </c>
      <c r="J58" t="s">
        <v>163</v>
      </c>
      <c r="K58" s="57">
        <v>42130</v>
      </c>
      <c r="L58" t="s">
        <v>112</v>
      </c>
      <c r="M58">
        <v>15313</v>
      </c>
      <c r="N58" t="s">
        <v>133</v>
      </c>
      <c r="O58" t="s">
        <v>203</v>
      </c>
    </row>
    <row r="59" spans="2:15" x14ac:dyDescent="0.3">
      <c r="B59">
        <v>2015</v>
      </c>
      <c r="C59" t="s">
        <v>107</v>
      </c>
      <c r="D59" t="s">
        <v>108</v>
      </c>
      <c r="E59" t="s">
        <v>182</v>
      </c>
      <c r="F59" t="s">
        <v>183</v>
      </c>
      <c r="G59" t="s">
        <v>184</v>
      </c>
      <c r="H59" s="57">
        <v>42128</v>
      </c>
      <c r="I59">
        <v>1653495</v>
      </c>
      <c r="J59" t="s">
        <v>163</v>
      </c>
      <c r="K59" s="57">
        <v>42128</v>
      </c>
      <c r="L59" t="s">
        <v>112</v>
      </c>
      <c r="M59">
        <v>15314</v>
      </c>
      <c r="N59" t="s">
        <v>133</v>
      </c>
      <c r="O59" t="s">
        <v>204</v>
      </c>
    </row>
    <row r="60" spans="2:15" x14ac:dyDescent="0.3">
      <c r="B60">
        <v>2015</v>
      </c>
      <c r="C60" t="s">
        <v>107</v>
      </c>
      <c r="D60" t="s">
        <v>108</v>
      </c>
      <c r="E60" t="s">
        <v>182</v>
      </c>
      <c r="F60" t="s">
        <v>183</v>
      </c>
      <c r="G60" t="s">
        <v>184</v>
      </c>
      <c r="H60" s="57">
        <v>42130</v>
      </c>
      <c r="I60">
        <v>584397</v>
      </c>
      <c r="J60" t="s">
        <v>163</v>
      </c>
      <c r="K60" s="57">
        <v>42130</v>
      </c>
      <c r="L60" t="s">
        <v>112</v>
      </c>
      <c r="M60">
        <v>15315</v>
      </c>
      <c r="N60" t="s">
        <v>133</v>
      </c>
      <c r="O60" t="s">
        <v>205</v>
      </c>
    </row>
    <row r="61" spans="2:15" x14ac:dyDescent="0.3">
      <c r="B61">
        <v>2015</v>
      </c>
      <c r="C61" t="s">
        <v>107</v>
      </c>
      <c r="D61" t="s">
        <v>108</v>
      </c>
      <c r="E61" t="s">
        <v>189</v>
      </c>
      <c r="F61" t="s">
        <v>190</v>
      </c>
      <c r="G61" t="s">
        <v>184</v>
      </c>
      <c r="H61" s="57">
        <v>42123</v>
      </c>
      <c r="I61">
        <v>52848</v>
      </c>
      <c r="J61" t="s">
        <v>163</v>
      </c>
      <c r="K61" s="57">
        <v>42123</v>
      </c>
      <c r="L61" t="s">
        <v>112</v>
      </c>
      <c r="M61">
        <v>15316</v>
      </c>
      <c r="N61" t="s">
        <v>133</v>
      </c>
      <c r="O61" t="s">
        <v>206</v>
      </c>
    </row>
    <row r="62" spans="2:15" x14ac:dyDescent="0.3">
      <c r="B62">
        <v>2015</v>
      </c>
      <c r="C62" t="s">
        <v>107</v>
      </c>
      <c r="D62" t="s">
        <v>108</v>
      </c>
      <c r="E62" t="s">
        <v>189</v>
      </c>
      <c r="F62" t="s">
        <v>190</v>
      </c>
      <c r="G62" t="s">
        <v>184</v>
      </c>
      <c r="H62" s="57">
        <v>42140</v>
      </c>
      <c r="I62">
        <v>70000</v>
      </c>
      <c r="J62" t="s">
        <v>163</v>
      </c>
      <c r="K62" s="57">
        <v>42140</v>
      </c>
      <c r="L62" t="s">
        <v>112</v>
      </c>
      <c r="M62">
        <v>15317</v>
      </c>
      <c r="N62" t="s">
        <v>133</v>
      </c>
      <c r="O62" t="s">
        <v>207</v>
      </c>
    </row>
    <row r="63" spans="2:15" x14ac:dyDescent="0.3">
      <c r="B63">
        <v>2015</v>
      </c>
      <c r="C63" t="s">
        <v>107</v>
      </c>
      <c r="D63" t="s">
        <v>108</v>
      </c>
      <c r="E63" t="s">
        <v>189</v>
      </c>
      <c r="F63" t="s">
        <v>208</v>
      </c>
      <c r="G63" t="s">
        <v>184</v>
      </c>
      <c r="H63" s="57">
        <v>42137</v>
      </c>
      <c r="I63">
        <v>99600</v>
      </c>
      <c r="J63" t="s">
        <v>163</v>
      </c>
      <c r="K63" s="57">
        <v>42137</v>
      </c>
      <c r="L63" t="s">
        <v>112</v>
      </c>
      <c r="M63">
        <v>15318</v>
      </c>
      <c r="N63" t="s">
        <v>133</v>
      </c>
      <c r="O63" t="s">
        <v>209</v>
      </c>
    </row>
    <row r="64" spans="2:15" x14ac:dyDescent="0.3">
      <c r="B64">
        <v>2015</v>
      </c>
      <c r="C64" t="s">
        <v>107</v>
      </c>
      <c r="D64" t="s">
        <v>108</v>
      </c>
      <c r="E64" t="s">
        <v>148</v>
      </c>
      <c r="F64" t="s">
        <v>148</v>
      </c>
      <c r="G64" t="s">
        <v>145</v>
      </c>
      <c r="H64" s="57">
        <v>42186</v>
      </c>
      <c r="I64">
        <v>1803264</v>
      </c>
      <c r="J64" t="s">
        <v>146</v>
      </c>
      <c r="K64" s="57">
        <v>42186</v>
      </c>
      <c r="L64" t="s">
        <v>112</v>
      </c>
      <c r="M64">
        <v>15321</v>
      </c>
      <c r="N64" t="s">
        <v>133</v>
      </c>
      <c r="O64" t="s">
        <v>210</v>
      </c>
    </row>
    <row r="65" spans="2:15" x14ac:dyDescent="0.3">
      <c r="B65">
        <v>2015</v>
      </c>
      <c r="C65" t="s">
        <v>107</v>
      </c>
      <c r="D65" t="s">
        <v>108</v>
      </c>
      <c r="E65" t="s">
        <v>189</v>
      </c>
      <c r="F65" t="s">
        <v>183</v>
      </c>
      <c r="G65" t="s">
        <v>184</v>
      </c>
      <c r="H65" s="57">
        <v>42130</v>
      </c>
      <c r="I65">
        <v>55000</v>
      </c>
      <c r="J65" t="s">
        <v>163</v>
      </c>
      <c r="K65" s="57">
        <v>42130</v>
      </c>
      <c r="L65" t="s">
        <v>112</v>
      </c>
      <c r="M65">
        <v>15386</v>
      </c>
      <c r="N65" t="s">
        <v>133</v>
      </c>
      <c r="O65" t="s">
        <v>211</v>
      </c>
    </row>
    <row r="66" spans="2:15" x14ac:dyDescent="0.3">
      <c r="B66">
        <v>2014</v>
      </c>
      <c r="C66" t="s">
        <v>128</v>
      </c>
      <c r="D66" t="s">
        <v>108</v>
      </c>
      <c r="E66" t="s">
        <v>129</v>
      </c>
      <c r="F66" t="s">
        <v>130</v>
      </c>
      <c r="G66" t="s">
        <v>131</v>
      </c>
      <c r="H66" s="57">
        <v>41701</v>
      </c>
      <c r="I66">
        <v>490695</v>
      </c>
      <c r="J66" t="s">
        <v>132</v>
      </c>
      <c r="K66" s="57">
        <v>41701</v>
      </c>
      <c r="L66" t="s">
        <v>112</v>
      </c>
      <c r="M66">
        <v>14003</v>
      </c>
      <c r="N66" t="s">
        <v>133</v>
      </c>
      <c r="O66" t="s">
        <v>212</v>
      </c>
    </row>
    <row r="67" spans="2:15" x14ac:dyDescent="0.3">
      <c r="B67">
        <v>2014</v>
      </c>
      <c r="C67" t="s">
        <v>107</v>
      </c>
      <c r="D67" t="s">
        <v>108</v>
      </c>
      <c r="E67" t="s">
        <v>129</v>
      </c>
      <c r="F67" t="s">
        <v>138</v>
      </c>
      <c r="G67" t="s">
        <v>131</v>
      </c>
      <c r="H67" s="57">
        <v>41772</v>
      </c>
      <c r="I67">
        <v>623162</v>
      </c>
      <c r="J67" t="s">
        <v>132</v>
      </c>
      <c r="K67" s="57">
        <v>41772</v>
      </c>
      <c r="L67" t="s">
        <v>112</v>
      </c>
      <c r="M67">
        <v>14004</v>
      </c>
      <c r="N67" t="s">
        <v>133</v>
      </c>
      <c r="O67" t="s">
        <v>213</v>
      </c>
    </row>
    <row r="68" spans="2:15" x14ac:dyDescent="0.3">
      <c r="B68">
        <v>2014</v>
      </c>
      <c r="C68" t="s">
        <v>107</v>
      </c>
      <c r="D68" t="s">
        <v>108</v>
      </c>
      <c r="E68" t="s">
        <v>182</v>
      </c>
      <c r="F68" t="s">
        <v>183</v>
      </c>
      <c r="G68" t="s">
        <v>184</v>
      </c>
      <c r="H68" s="57">
        <v>41754</v>
      </c>
      <c r="I68">
        <v>1542702</v>
      </c>
      <c r="J68" t="s">
        <v>163</v>
      </c>
      <c r="K68" s="57">
        <v>41754</v>
      </c>
      <c r="L68" t="s">
        <v>112</v>
      </c>
      <c r="M68">
        <v>14021</v>
      </c>
      <c r="N68" t="s">
        <v>133</v>
      </c>
      <c r="O68" t="s">
        <v>214</v>
      </c>
    </row>
    <row r="69" spans="2:15" x14ac:dyDescent="0.3">
      <c r="B69">
        <v>2014</v>
      </c>
      <c r="C69" t="s">
        <v>107</v>
      </c>
      <c r="D69" t="s">
        <v>108</v>
      </c>
      <c r="E69" t="s">
        <v>182</v>
      </c>
      <c r="F69" t="s">
        <v>183</v>
      </c>
      <c r="G69" t="s">
        <v>184</v>
      </c>
      <c r="H69" s="57">
        <v>41759</v>
      </c>
      <c r="I69">
        <v>379970</v>
      </c>
      <c r="J69" t="s">
        <v>163</v>
      </c>
      <c r="K69" s="57">
        <v>41759</v>
      </c>
      <c r="L69" t="s">
        <v>112</v>
      </c>
      <c r="M69">
        <v>14022</v>
      </c>
      <c r="N69" t="s">
        <v>133</v>
      </c>
      <c r="O69" t="s">
        <v>215</v>
      </c>
    </row>
    <row r="70" spans="2:15" x14ac:dyDescent="0.3">
      <c r="B70">
        <v>2014</v>
      </c>
      <c r="C70" t="s">
        <v>107</v>
      </c>
      <c r="D70" t="s">
        <v>108</v>
      </c>
      <c r="E70" t="s">
        <v>182</v>
      </c>
      <c r="F70" t="s">
        <v>183</v>
      </c>
      <c r="G70" t="s">
        <v>184</v>
      </c>
      <c r="H70" s="57">
        <v>41760</v>
      </c>
      <c r="I70">
        <v>445347</v>
      </c>
      <c r="J70" t="s">
        <v>163</v>
      </c>
      <c r="K70" s="57">
        <v>41760</v>
      </c>
      <c r="L70" t="s">
        <v>112</v>
      </c>
      <c r="M70">
        <v>14023</v>
      </c>
      <c r="N70" t="s">
        <v>133</v>
      </c>
      <c r="O70" t="s">
        <v>216</v>
      </c>
    </row>
    <row r="71" spans="2:15" x14ac:dyDescent="0.3">
      <c r="B71">
        <v>2014</v>
      </c>
      <c r="C71" t="s">
        <v>107</v>
      </c>
      <c r="D71" t="s">
        <v>108</v>
      </c>
      <c r="E71" t="s">
        <v>189</v>
      </c>
      <c r="F71" t="s">
        <v>208</v>
      </c>
      <c r="G71" t="s">
        <v>184</v>
      </c>
      <c r="H71" s="57">
        <v>41771</v>
      </c>
      <c r="I71">
        <v>99970</v>
      </c>
      <c r="J71" t="s">
        <v>163</v>
      </c>
      <c r="K71" s="57">
        <v>41771</v>
      </c>
      <c r="L71" t="s">
        <v>112</v>
      </c>
      <c r="M71">
        <v>14024</v>
      </c>
      <c r="N71" t="s">
        <v>133</v>
      </c>
      <c r="O71" t="s">
        <v>217</v>
      </c>
    </row>
    <row r="72" spans="2:15" x14ac:dyDescent="0.3">
      <c r="B72">
        <v>2014</v>
      </c>
      <c r="C72" t="s">
        <v>107</v>
      </c>
      <c r="D72" t="s">
        <v>108</v>
      </c>
      <c r="E72" t="s">
        <v>189</v>
      </c>
      <c r="F72" t="s">
        <v>208</v>
      </c>
      <c r="G72" t="s">
        <v>184</v>
      </c>
      <c r="H72" s="57">
        <v>41792</v>
      </c>
      <c r="I72">
        <v>79931</v>
      </c>
      <c r="J72" t="s">
        <v>163</v>
      </c>
      <c r="K72" s="57">
        <v>41792</v>
      </c>
      <c r="L72" t="s">
        <v>112</v>
      </c>
      <c r="M72">
        <v>14025</v>
      </c>
      <c r="N72" t="s">
        <v>133</v>
      </c>
      <c r="O72" t="s">
        <v>218</v>
      </c>
    </row>
    <row r="73" spans="2:15" x14ac:dyDescent="0.3">
      <c r="B73">
        <v>2014</v>
      </c>
      <c r="C73" t="s">
        <v>107</v>
      </c>
      <c r="D73" t="s">
        <v>108</v>
      </c>
      <c r="E73" t="s">
        <v>189</v>
      </c>
      <c r="F73" t="s">
        <v>190</v>
      </c>
      <c r="G73" t="s">
        <v>184</v>
      </c>
      <c r="H73" s="57">
        <v>41795</v>
      </c>
      <c r="I73">
        <v>74980</v>
      </c>
      <c r="J73" t="s">
        <v>163</v>
      </c>
      <c r="K73" s="57">
        <v>41795</v>
      </c>
      <c r="L73" t="s">
        <v>112</v>
      </c>
      <c r="M73">
        <v>14026</v>
      </c>
      <c r="N73" t="s">
        <v>133</v>
      </c>
      <c r="O73" t="s">
        <v>219</v>
      </c>
    </row>
    <row r="74" spans="2:15" x14ac:dyDescent="0.3">
      <c r="B74">
        <v>2014</v>
      </c>
      <c r="C74" t="s">
        <v>107</v>
      </c>
      <c r="D74" t="s">
        <v>108</v>
      </c>
      <c r="E74" t="s">
        <v>143</v>
      </c>
      <c r="F74" t="s">
        <v>144</v>
      </c>
      <c r="G74" t="s">
        <v>145</v>
      </c>
      <c r="H74" s="57">
        <v>41822</v>
      </c>
      <c r="I74">
        <v>1859849</v>
      </c>
      <c r="J74" t="s">
        <v>146</v>
      </c>
      <c r="K74" s="57">
        <v>41822</v>
      </c>
      <c r="L74" t="s">
        <v>112</v>
      </c>
      <c r="M74">
        <v>14084</v>
      </c>
      <c r="N74" t="s">
        <v>133</v>
      </c>
      <c r="O74" t="s">
        <v>220</v>
      </c>
    </row>
    <row r="75" spans="2:15" x14ac:dyDescent="0.3">
      <c r="B75">
        <v>2014</v>
      </c>
      <c r="C75" t="s">
        <v>107</v>
      </c>
      <c r="D75" t="s">
        <v>108</v>
      </c>
      <c r="E75" t="s">
        <v>143</v>
      </c>
      <c r="F75" t="s">
        <v>144</v>
      </c>
      <c r="G75" t="s">
        <v>145</v>
      </c>
      <c r="H75" s="57">
        <v>41821</v>
      </c>
      <c r="I75">
        <v>2546543</v>
      </c>
      <c r="J75" t="s">
        <v>146</v>
      </c>
      <c r="K75" s="57">
        <v>41821</v>
      </c>
      <c r="L75" t="s">
        <v>112</v>
      </c>
      <c r="M75">
        <v>14085</v>
      </c>
      <c r="N75" t="s">
        <v>133</v>
      </c>
      <c r="O75" t="s">
        <v>221</v>
      </c>
    </row>
    <row r="76" spans="2:15" x14ac:dyDescent="0.3">
      <c r="B76">
        <v>2014</v>
      </c>
      <c r="C76" t="s">
        <v>107</v>
      </c>
      <c r="D76" t="s">
        <v>108</v>
      </c>
      <c r="E76" t="s">
        <v>148</v>
      </c>
      <c r="F76" t="s">
        <v>148</v>
      </c>
      <c r="G76" t="s">
        <v>145</v>
      </c>
      <c r="H76" s="57">
        <v>41848</v>
      </c>
      <c r="I76">
        <v>1873262</v>
      </c>
      <c r="J76" t="s">
        <v>146</v>
      </c>
      <c r="K76" s="57">
        <v>41848</v>
      </c>
      <c r="L76" t="s">
        <v>112</v>
      </c>
      <c r="M76">
        <v>14086</v>
      </c>
      <c r="N76" t="s">
        <v>133</v>
      </c>
      <c r="O76" t="s">
        <v>222</v>
      </c>
    </row>
    <row r="77" spans="2:15" x14ac:dyDescent="0.3">
      <c r="B77">
        <v>2014</v>
      </c>
      <c r="C77" t="s">
        <v>107</v>
      </c>
      <c r="D77" t="s">
        <v>108</v>
      </c>
      <c r="E77" t="s">
        <v>150</v>
      </c>
      <c r="F77" t="s">
        <v>151</v>
      </c>
      <c r="G77" t="s">
        <v>145</v>
      </c>
      <c r="H77" s="57">
        <v>41740</v>
      </c>
      <c r="I77">
        <v>6169418</v>
      </c>
      <c r="J77" t="s">
        <v>152</v>
      </c>
      <c r="K77" s="57">
        <v>41740</v>
      </c>
      <c r="L77" t="s">
        <v>112</v>
      </c>
      <c r="M77">
        <v>14090</v>
      </c>
      <c r="N77" t="s">
        <v>133</v>
      </c>
      <c r="O77" t="s">
        <v>223</v>
      </c>
    </row>
    <row r="78" spans="2:15" x14ac:dyDescent="0.3">
      <c r="B78">
        <v>2014</v>
      </c>
      <c r="C78" t="s">
        <v>107</v>
      </c>
      <c r="D78" t="s">
        <v>108</v>
      </c>
      <c r="E78" t="s">
        <v>150</v>
      </c>
      <c r="F78" t="s">
        <v>151</v>
      </c>
      <c r="G78" t="s">
        <v>145</v>
      </c>
      <c r="H78" s="57">
        <v>41765</v>
      </c>
      <c r="I78">
        <v>4585064</v>
      </c>
      <c r="J78" t="s">
        <v>152</v>
      </c>
      <c r="K78" s="57">
        <v>41765</v>
      </c>
      <c r="L78" t="s">
        <v>112</v>
      </c>
      <c r="M78">
        <v>14091</v>
      </c>
      <c r="N78" t="s">
        <v>133</v>
      </c>
      <c r="O78" t="s">
        <v>224</v>
      </c>
    </row>
    <row r="79" spans="2:15" x14ac:dyDescent="0.3">
      <c r="B79">
        <v>2014</v>
      </c>
      <c r="C79" t="s">
        <v>107</v>
      </c>
      <c r="D79" t="s">
        <v>108</v>
      </c>
      <c r="E79" t="s">
        <v>109</v>
      </c>
      <c r="F79" t="s">
        <v>155</v>
      </c>
      <c r="G79" t="s">
        <v>78</v>
      </c>
      <c r="H79" s="57">
        <v>41779</v>
      </c>
      <c r="I79">
        <v>4082</v>
      </c>
      <c r="J79" t="s">
        <v>156</v>
      </c>
      <c r="K79" s="57">
        <v>41779</v>
      </c>
      <c r="L79" t="s">
        <v>112</v>
      </c>
      <c r="M79">
        <v>14307</v>
      </c>
      <c r="N79" t="s">
        <v>133</v>
      </c>
      <c r="O79" t="s">
        <v>225</v>
      </c>
    </row>
    <row r="80" spans="2:15" x14ac:dyDescent="0.3">
      <c r="B80">
        <v>2014</v>
      </c>
      <c r="C80" t="s">
        <v>107</v>
      </c>
      <c r="D80" t="s">
        <v>108</v>
      </c>
      <c r="E80" t="s">
        <v>160</v>
      </c>
      <c r="F80" t="s">
        <v>160</v>
      </c>
      <c r="G80" t="s">
        <v>78</v>
      </c>
      <c r="H80" s="57">
        <v>41803</v>
      </c>
      <c r="I80">
        <v>3362379</v>
      </c>
      <c r="J80" t="s">
        <v>156</v>
      </c>
      <c r="K80" s="57">
        <v>41812</v>
      </c>
      <c r="L80" t="s">
        <v>112</v>
      </c>
      <c r="M80">
        <v>14308</v>
      </c>
      <c r="N80" t="s">
        <v>133</v>
      </c>
      <c r="O80" t="s">
        <v>226</v>
      </c>
    </row>
    <row r="81" spans="2:15" x14ac:dyDescent="0.3">
      <c r="B81">
        <v>2014</v>
      </c>
      <c r="C81" t="s">
        <v>107</v>
      </c>
      <c r="D81" t="s">
        <v>108</v>
      </c>
      <c r="E81" t="s">
        <v>158</v>
      </c>
      <c r="F81" t="s">
        <v>158</v>
      </c>
      <c r="G81" t="s">
        <v>78</v>
      </c>
      <c r="H81" s="57">
        <v>41802</v>
      </c>
      <c r="I81">
        <v>7266713</v>
      </c>
      <c r="J81" t="s">
        <v>156</v>
      </c>
      <c r="K81" s="57">
        <v>41817</v>
      </c>
      <c r="L81" t="s">
        <v>112</v>
      </c>
      <c r="M81">
        <v>14310</v>
      </c>
      <c r="N81" t="s">
        <v>133</v>
      </c>
      <c r="O81" t="s">
        <v>227</v>
      </c>
    </row>
    <row r="82" spans="2:15" x14ac:dyDescent="0.3">
      <c r="B82">
        <v>2014</v>
      </c>
      <c r="C82" t="s">
        <v>107</v>
      </c>
      <c r="D82" t="s">
        <v>108</v>
      </c>
      <c r="E82" t="s">
        <v>109</v>
      </c>
      <c r="F82" t="s">
        <v>162</v>
      </c>
      <c r="G82" t="s">
        <v>78</v>
      </c>
      <c r="H82" s="57">
        <v>41774</v>
      </c>
      <c r="I82">
        <v>18975</v>
      </c>
      <c r="J82" t="s">
        <v>163</v>
      </c>
      <c r="K82" s="57">
        <v>41774</v>
      </c>
      <c r="L82" t="s">
        <v>112</v>
      </c>
      <c r="M82">
        <v>14311</v>
      </c>
      <c r="N82" t="s">
        <v>133</v>
      </c>
      <c r="O82" t="s">
        <v>228</v>
      </c>
    </row>
    <row r="83" spans="2:15" x14ac:dyDescent="0.3">
      <c r="B83">
        <v>2014</v>
      </c>
      <c r="C83" t="s">
        <v>107</v>
      </c>
      <c r="D83" t="s">
        <v>108</v>
      </c>
      <c r="E83" t="s">
        <v>140</v>
      </c>
      <c r="F83" t="s">
        <v>140</v>
      </c>
      <c r="G83" t="s">
        <v>78</v>
      </c>
      <c r="H83" s="57">
        <v>41813</v>
      </c>
      <c r="I83">
        <v>2468135</v>
      </c>
      <c r="J83" t="s">
        <v>141</v>
      </c>
      <c r="K83" s="57">
        <v>41817</v>
      </c>
      <c r="L83" t="s">
        <v>112</v>
      </c>
      <c r="M83">
        <v>14340</v>
      </c>
      <c r="N83" t="s">
        <v>133</v>
      </c>
      <c r="O83" t="s">
        <v>229</v>
      </c>
    </row>
    <row r="84" spans="2:15" x14ac:dyDescent="0.3">
      <c r="B84">
        <v>2013</v>
      </c>
      <c r="C84" t="s">
        <v>128</v>
      </c>
      <c r="D84" t="s">
        <v>108</v>
      </c>
      <c r="E84" t="s">
        <v>129</v>
      </c>
      <c r="F84" t="s">
        <v>130</v>
      </c>
      <c r="G84" t="s">
        <v>131</v>
      </c>
      <c r="H84" s="57">
        <v>41339</v>
      </c>
      <c r="I84">
        <v>452421</v>
      </c>
      <c r="J84" t="s">
        <v>132</v>
      </c>
      <c r="K84" s="57">
        <v>41339</v>
      </c>
      <c r="L84" t="s">
        <v>112</v>
      </c>
      <c r="M84">
        <v>13001</v>
      </c>
      <c r="N84" t="s">
        <v>133</v>
      </c>
      <c r="O84" t="s">
        <v>230</v>
      </c>
    </row>
    <row r="85" spans="2:15" x14ac:dyDescent="0.3">
      <c r="B85">
        <v>2013</v>
      </c>
      <c r="C85" t="s">
        <v>107</v>
      </c>
      <c r="D85" t="s">
        <v>108</v>
      </c>
      <c r="E85" t="s">
        <v>137</v>
      </c>
      <c r="F85" t="s">
        <v>132</v>
      </c>
      <c r="G85" t="s">
        <v>131</v>
      </c>
      <c r="H85" s="57">
        <v>41407</v>
      </c>
      <c r="I85">
        <v>608108</v>
      </c>
      <c r="J85" t="s">
        <v>132</v>
      </c>
      <c r="K85" s="57">
        <v>41407</v>
      </c>
      <c r="L85" t="s">
        <v>112</v>
      </c>
      <c r="M85">
        <v>13002</v>
      </c>
      <c r="N85" t="s">
        <v>133</v>
      </c>
      <c r="O85" t="s">
        <v>231</v>
      </c>
    </row>
    <row r="86" spans="2:15" x14ac:dyDescent="0.3">
      <c r="B86">
        <v>2013</v>
      </c>
      <c r="C86" t="s">
        <v>107</v>
      </c>
      <c r="D86" t="s">
        <v>108</v>
      </c>
      <c r="E86" t="s">
        <v>143</v>
      </c>
      <c r="F86" t="s">
        <v>144</v>
      </c>
      <c r="G86" t="s">
        <v>145</v>
      </c>
      <c r="H86" s="57">
        <v>41457</v>
      </c>
      <c r="I86">
        <v>1924546</v>
      </c>
      <c r="J86" t="s">
        <v>146</v>
      </c>
      <c r="K86" s="57">
        <v>41457</v>
      </c>
      <c r="L86" t="s">
        <v>112</v>
      </c>
      <c r="M86">
        <v>13019</v>
      </c>
      <c r="N86" t="s">
        <v>133</v>
      </c>
      <c r="O86" t="s">
        <v>232</v>
      </c>
    </row>
    <row r="87" spans="2:15" x14ac:dyDescent="0.3">
      <c r="B87">
        <v>2013</v>
      </c>
      <c r="C87" t="s">
        <v>107</v>
      </c>
      <c r="D87" t="s">
        <v>108</v>
      </c>
      <c r="E87" t="s">
        <v>143</v>
      </c>
      <c r="F87" t="s">
        <v>144</v>
      </c>
      <c r="G87" t="s">
        <v>145</v>
      </c>
      <c r="H87" s="57">
        <v>41457</v>
      </c>
      <c r="I87">
        <v>2497032</v>
      </c>
      <c r="J87" t="s">
        <v>146</v>
      </c>
      <c r="K87" s="57">
        <v>41457</v>
      </c>
      <c r="L87" t="s">
        <v>112</v>
      </c>
      <c r="M87">
        <v>13020</v>
      </c>
      <c r="N87" t="s">
        <v>133</v>
      </c>
      <c r="O87" t="s">
        <v>233</v>
      </c>
    </row>
    <row r="88" spans="2:15" x14ac:dyDescent="0.3">
      <c r="B88">
        <v>2013</v>
      </c>
      <c r="C88" t="s">
        <v>107</v>
      </c>
      <c r="D88" t="s">
        <v>108</v>
      </c>
      <c r="E88" t="s">
        <v>143</v>
      </c>
      <c r="F88" t="s">
        <v>144</v>
      </c>
      <c r="G88" t="s">
        <v>145</v>
      </c>
      <c r="H88" s="57">
        <v>41375</v>
      </c>
      <c r="I88">
        <v>1863113</v>
      </c>
      <c r="J88" t="s">
        <v>146</v>
      </c>
      <c r="K88" s="57">
        <v>41375</v>
      </c>
      <c r="L88" t="s">
        <v>112</v>
      </c>
      <c r="M88">
        <v>13021</v>
      </c>
      <c r="N88" t="s">
        <v>133</v>
      </c>
      <c r="O88" t="s">
        <v>234</v>
      </c>
    </row>
    <row r="89" spans="2:15" x14ac:dyDescent="0.3">
      <c r="B89">
        <v>2013</v>
      </c>
      <c r="C89" t="s">
        <v>107</v>
      </c>
      <c r="D89" t="s">
        <v>108</v>
      </c>
      <c r="E89" t="s">
        <v>150</v>
      </c>
      <c r="F89" t="s">
        <v>151</v>
      </c>
      <c r="G89" t="s">
        <v>145</v>
      </c>
      <c r="H89" s="57">
        <v>41375</v>
      </c>
      <c r="I89">
        <v>6441575</v>
      </c>
      <c r="J89" t="s">
        <v>152</v>
      </c>
      <c r="K89" s="57">
        <v>41375</v>
      </c>
      <c r="L89" t="s">
        <v>112</v>
      </c>
      <c r="M89">
        <v>13025</v>
      </c>
      <c r="N89" t="s">
        <v>133</v>
      </c>
      <c r="O89" t="s">
        <v>235</v>
      </c>
    </row>
    <row r="90" spans="2:15" x14ac:dyDescent="0.3">
      <c r="B90">
        <v>2013</v>
      </c>
      <c r="C90" t="s">
        <v>107</v>
      </c>
      <c r="D90" t="s">
        <v>108</v>
      </c>
      <c r="E90" t="s">
        <v>150</v>
      </c>
      <c r="F90" t="s">
        <v>151</v>
      </c>
      <c r="G90" t="s">
        <v>145</v>
      </c>
      <c r="H90" s="57">
        <v>41396</v>
      </c>
      <c r="I90">
        <v>4801111</v>
      </c>
      <c r="J90" t="s">
        <v>152</v>
      </c>
      <c r="K90" s="57">
        <v>41396</v>
      </c>
      <c r="L90" t="s">
        <v>112</v>
      </c>
      <c r="M90">
        <v>13026</v>
      </c>
      <c r="N90" t="s">
        <v>133</v>
      </c>
      <c r="O90" t="s">
        <v>236</v>
      </c>
    </row>
    <row r="91" spans="2:15" x14ac:dyDescent="0.3">
      <c r="B91">
        <v>2013</v>
      </c>
      <c r="C91" t="s">
        <v>107</v>
      </c>
      <c r="D91" t="s">
        <v>108</v>
      </c>
      <c r="E91" t="s">
        <v>160</v>
      </c>
      <c r="F91" t="s">
        <v>160</v>
      </c>
      <c r="G91" t="s">
        <v>78</v>
      </c>
      <c r="H91" s="57">
        <v>41444</v>
      </c>
      <c r="I91">
        <v>3247373</v>
      </c>
      <c r="J91" t="s">
        <v>156</v>
      </c>
      <c r="K91" s="57">
        <v>41451</v>
      </c>
      <c r="L91" t="s">
        <v>112</v>
      </c>
      <c r="M91">
        <v>13191</v>
      </c>
      <c r="N91" t="s">
        <v>133</v>
      </c>
      <c r="O91" t="s">
        <v>237</v>
      </c>
    </row>
    <row r="92" spans="2:15" x14ac:dyDescent="0.3">
      <c r="B92">
        <v>2013</v>
      </c>
      <c r="C92" t="s">
        <v>107</v>
      </c>
      <c r="D92" t="s">
        <v>108</v>
      </c>
      <c r="E92" t="s">
        <v>158</v>
      </c>
      <c r="F92" t="s">
        <v>158</v>
      </c>
      <c r="G92" t="s">
        <v>78</v>
      </c>
      <c r="H92" s="57">
        <v>41437</v>
      </c>
      <c r="I92">
        <v>6822861</v>
      </c>
      <c r="J92" t="s">
        <v>156</v>
      </c>
      <c r="K92" s="57">
        <v>41441</v>
      </c>
      <c r="L92" t="s">
        <v>112</v>
      </c>
      <c r="M92">
        <v>13193</v>
      </c>
      <c r="N92" t="s">
        <v>133</v>
      </c>
      <c r="O92" t="s">
        <v>238</v>
      </c>
    </row>
    <row r="93" spans="2:15" x14ac:dyDescent="0.3">
      <c r="B93">
        <v>2013</v>
      </c>
      <c r="C93" t="s">
        <v>107</v>
      </c>
      <c r="D93" t="s">
        <v>108</v>
      </c>
      <c r="E93" t="s">
        <v>109</v>
      </c>
      <c r="F93" t="s">
        <v>162</v>
      </c>
      <c r="G93" t="s">
        <v>78</v>
      </c>
      <c r="H93" s="57">
        <v>41409</v>
      </c>
      <c r="I93">
        <v>13610</v>
      </c>
      <c r="J93" t="s">
        <v>163</v>
      </c>
      <c r="K93" s="57">
        <v>41409</v>
      </c>
      <c r="L93" t="s">
        <v>112</v>
      </c>
      <c r="M93">
        <v>13194</v>
      </c>
      <c r="N93" t="s">
        <v>133</v>
      </c>
      <c r="O93" t="s">
        <v>239</v>
      </c>
    </row>
    <row r="94" spans="2:15" x14ac:dyDescent="0.3">
      <c r="B94">
        <v>2013</v>
      </c>
      <c r="C94" t="s">
        <v>107</v>
      </c>
      <c r="D94" t="s">
        <v>108</v>
      </c>
      <c r="E94" t="s">
        <v>140</v>
      </c>
      <c r="F94" t="s">
        <v>140</v>
      </c>
      <c r="G94" t="s">
        <v>78</v>
      </c>
      <c r="H94" s="57">
        <v>41431</v>
      </c>
      <c r="I94">
        <v>3403371</v>
      </c>
      <c r="J94" t="s">
        <v>141</v>
      </c>
      <c r="K94" s="57">
        <v>41445</v>
      </c>
      <c r="L94" t="s">
        <v>112</v>
      </c>
      <c r="M94">
        <v>13218</v>
      </c>
      <c r="N94" t="s">
        <v>133</v>
      </c>
      <c r="O94" t="s">
        <v>240</v>
      </c>
    </row>
    <row r="95" spans="2:15" x14ac:dyDescent="0.3">
      <c r="B95">
        <v>2013</v>
      </c>
      <c r="C95" t="s">
        <v>107</v>
      </c>
      <c r="D95" t="s">
        <v>108</v>
      </c>
      <c r="E95" t="s">
        <v>182</v>
      </c>
      <c r="F95" t="s">
        <v>183</v>
      </c>
      <c r="G95" t="s">
        <v>184</v>
      </c>
      <c r="H95" s="57">
        <v>41390</v>
      </c>
      <c r="I95">
        <v>1506725</v>
      </c>
      <c r="J95" t="s">
        <v>163</v>
      </c>
      <c r="K95" s="57">
        <v>41390</v>
      </c>
      <c r="L95" t="s">
        <v>112</v>
      </c>
      <c r="M95">
        <v>13314</v>
      </c>
      <c r="N95" t="s">
        <v>133</v>
      </c>
      <c r="O95" t="s">
        <v>241</v>
      </c>
    </row>
    <row r="96" spans="2:15" x14ac:dyDescent="0.3">
      <c r="B96">
        <v>2013</v>
      </c>
      <c r="C96" t="s">
        <v>107</v>
      </c>
      <c r="D96" t="s">
        <v>108</v>
      </c>
      <c r="E96" t="s">
        <v>182</v>
      </c>
      <c r="F96" t="s">
        <v>183</v>
      </c>
      <c r="G96" t="s">
        <v>184</v>
      </c>
      <c r="H96" s="57">
        <v>41393</v>
      </c>
      <c r="I96">
        <v>22968</v>
      </c>
      <c r="J96" t="s">
        <v>163</v>
      </c>
      <c r="K96" s="57">
        <v>41393</v>
      </c>
      <c r="L96" t="s">
        <v>112</v>
      </c>
      <c r="M96">
        <v>13315</v>
      </c>
      <c r="N96" t="s">
        <v>133</v>
      </c>
      <c r="O96" t="s">
        <v>242</v>
      </c>
    </row>
    <row r="97" spans="2:15" x14ac:dyDescent="0.3">
      <c r="B97">
        <v>2013</v>
      </c>
      <c r="C97" t="s">
        <v>107</v>
      </c>
      <c r="D97" t="s">
        <v>108</v>
      </c>
      <c r="E97" t="s">
        <v>182</v>
      </c>
      <c r="F97" t="s">
        <v>183</v>
      </c>
      <c r="G97" t="s">
        <v>184</v>
      </c>
      <c r="H97" s="57">
        <v>41408</v>
      </c>
      <c r="I97">
        <v>161981</v>
      </c>
      <c r="J97" t="s">
        <v>163</v>
      </c>
      <c r="K97" s="57">
        <v>41408</v>
      </c>
      <c r="L97" t="s">
        <v>112</v>
      </c>
      <c r="M97">
        <v>13316</v>
      </c>
      <c r="N97" t="s">
        <v>133</v>
      </c>
      <c r="O97" t="s">
        <v>215</v>
      </c>
    </row>
    <row r="98" spans="2:15" x14ac:dyDescent="0.3">
      <c r="B98">
        <v>2013</v>
      </c>
      <c r="C98" t="s">
        <v>107</v>
      </c>
      <c r="D98" t="s">
        <v>108</v>
      </c>
      <c r="E98" t="s">
        <v>189</v>
      </c>
      <c r="F98" t="s">
        <v>208</v>
      </c>
      <c r="G98" t="s">
        <v>184</v>
      </c>
      <c r="H98" s="57">
        <v>41409</v>
      </c>
      <c r="I98">
        <v>45652</v>
      </c>
      <c r="J98" t="s">
        <v>163</v>
      </c>
      <c r="K98" s="57">
        <v>41409</v>
      </c>
      <c r="L98" t="s">
        <v>112</v>
      </c>
      <c r="M98">
        <v>13317</v>
      </c>
      <c r="N98" t="s">
        <v>133</v>
      </c>
      <c r="O98" t="s">
        <v>243</v>
      </c>
    </row>
    <row r="99" spans="2:15" x14ac:dyDescent="0.3">
      <c r="B99">
        <v>2013</v>
      </c>
      <c r="C99" t="s">
        <v>107</v>
      </c>
      <c r="D99" t="s">
        <v>108</v>
      </c>
      <c r="E99" t="s">
        <v>189</v>
      </c>
      <c r="F99" t="s">
        <v>208</v>
      </c>
      <c r="G99" t="s">
        <v>184</v>
      </c>
      <c r="H99" s="57">
        <v>41426</v>
      </c>
      <c r="I99">
        <v>45556</v>
      </c>
      <c r="J99" t="s">
        <v>163</v>
      </c>
      <c r="K99" s="57">
        <v>41426</v>
      </c>
      <c r="L99" t="s">
        <v>112</v>
      </c>
      <c r="M99">
        <v>13318</v>
      </c>
      <c r="N99" t="s">
        <v>133</v>
      </c>
      <c r="O99" t="s">
        <v>244</v>
      </c>
    </row>
    <row r="100" spans="2:15" x14ac:dyDescent="0.3">
      <c r="B100">
        <v>2013</v>
      </c>
      <c r="C100" t="s">
        <v>107</v>
      </c>
      <c r="D100" t="s">
        <v>108</v>
      </c>
      <c r="E100" t="s">
        <v>245</v>
      </c>
      <c r="F100" t="s">
        <v>190</v>
      </c>
      <c r="G100" t="s">
        <v>78</v>
      </c>
      <c r="H100" s="57">
        <v>41423</v>
      </c>
      <c r="I100">
        <v>48355</v>
      </c>
      <c r="J100" t="s">
        <v>163</v>
      </c>
      <c r="K100" s="57">
        <v>41423</v>
      </c>
      <c r="L100" t="s">
        <v>112</v>
      </c>
      <c r="M100">
        <v>13319</v>
      </c>
      <c r="N100" t="s">
        <v>133</v>
      </c>
      <c r="O100" t="s">
        <v>246</v>
      </c>
    </row>
    <row r="101" spans="2:15" x14ac:dyDescent="0.3">
      <c r="B101">
        <v>2013</v>
      </c>
      <c r="C101" t="s">
        <v>107</v>
      </c>
      <c r="D101" t="s">
        <v>108</v>
      </c>
      <c r="E101" t="s">
        <v>109</v>
      </c>
      <c r="F101" t="s">
        <v>155</v>
      </c>
      <c r="G101" t="s">
        <v>78</v>
      </c>
      <c r="H101" s="57">
        <v>41396</v>
      </c>
      <c r="I101">
        <v>3273</v>
      </c>
      <c r="J101" t="s">
        <v>156</v>
      </c>
      <c r="K101" s="57">
        <v>41425</v>
      </c>
      <c r="L101" t="s">
        <v>112</v>
      </c>
      <c r="M101">
        <v>13392</v>
      </c>
      <c r="N101" t="s">
        <v>133</v>
      </c>
      <c r="O101" t="s">
        <v>247</v>
      </c>
    </row>
    <row r="102" spans="2:15" x14ac:dyDescent="0.3">
      <c r="B102">
        <v>2013</v>
      </c>
      <c r="C102" t="s">
        <v>128</v>
      </c>
      <c r="D102" t="s">
        <v>108</v>
      </c>
      <c r="E102" t="s">
        <v>182</v>
      </c>
      <c r="F102" t="s">
        <v>183</v>
      </c>
      <c r="G102" t="s">
        <v>184</v>
      </c>
      <c r="H102" s="57">
        <v>41358</v>
      </c>
      <c r="I102">
        <v>22735</v>
      </c>
      <c r="J102" t="s">
        <v>163</v>
      </c>
      <c r="K102" s="57">
        <v>41358</v>
      </c>
      <c r="L102" t="s">
        <v>112</v>
      </c>
      <c r="M102">
        <v>13399</v>
      </c>
      <c r="N102" t="s">
        <v>133</v>
      </c>
      <c r="O102" t="s">
        <v>242</v>
      </c>
    </row>
    <row r="103" spans="2:15" x14ac:dyDescent="0.3">
      <c r="B103">
        <v>2013</v>
      </c>
      <c r="C103" t="s">
        <v>107</v>
      </c>
      <c r="D103" t="s">
        <v>108</v>
      </c>
      <c r="E103" t="s">
        <v>189</v>
      </c>
      <c r="F103" t="s">
        <v>162</v>
      </c>
      <c r="G103" t="s">
        <v>184</v>
      </c>
      <c r="H103" s="57">
        <v>41414</v>
      </c>
      <c r="I103">
        <v>330</v>
      </c>
      <c r="J103" t="s">
        <v>163</v>
      </c>
      <c r="K103" s="57">
        <v>41414</v>
      </c>
      <c r="L103" t="s">
        <v>112</v>
      </c>
      <c r="M103">
        <v>13400</v>
      </c>
      <c r="N103" t="s">
        <v>133</v>
      </c>
      <c r="O103" t="s">
        <v>248</v>
      </c>
    </row>
    <row r="106" spans="2:15" x14ac:dyDescent="0.3">
      <c r="B106" s="58" t="s">
        <v>252</v>
      </c>
      <c r="C106" s="58" t="s">
        <v>251</v>
      </c>
    </row>
    <row r="107" spans="2:15" x14ac:dyDescent="0.3">
      <c r="B107" s="58" t="s">
        <v>249</v>
      </c>
      <c r="C107">
        <v>2013</v>
      </c>
      <c r="D107">
        <v>2014</v>
      </c>
      <c r="E107">
        <v>2015</v>
      </c>
      <c r="F107">
        <v>2016</v>
      </c>
      <c r="G107">
        <v>2017</v>
      </c>
      <c r="H107" t="s">
        <v>250</v>
      </c>
    </row>
    <row r="108" spans="2:15" x14ac:dyDescent="0.3">
      <c r="B108" s="59" t="s">
        <v>107</v>
      </c>
      <c r="C108" s="50">
        <v>33457963</v>
      </c>
      <c r="D108" s="50">
        <v>33400872</v>
      </c>
      <c r="E108" s="50">
        <v>34404665</v>
      </c>
      <c r="F108" s="50">
        <v>31361328</v>
      </c>
      <c r="G108" s="50">
        <v>32084177</v>
      </c>
      <c r="H108" s="50">
        <v>164709005</v>
      </c>
    </row>
    <row r="109" spans="2:15" x14ac:dyDescent="0.3">
      <c r="B109" s="60" t="s">
        <v>129</v>
      </c>
      <c r="C109" s="50"/>
      <c r="D109" s="50">
        <v>623162</v>
      </c>
      <c r="E109" s="50"/>
      <c r="F109" s="50"/>
      <c r="G109" s="50"/>
      <c r="H109" s="50">
        <v>623162</v>
      </c>
    </row>
    <row r="110" spans="2:15" x14ac:dyDescent="0.3">
      <c r="B110" s="61" t="s">
        <v>138</v>
      </c>
      <c r="C110" s="50"/>
      <c r="D110" s="50">
        <v>623162</v>
      </c>
      <c r="E110" s="50"/>
      <c r="F110" s="50"/>
      <c r="G110" s="50"/>
      <c r="H110" s="50">
        <v>623162</v>
      </c>
    </row>
    <row r="111" spans="2:15" x14ac:dyDescent="0.3">
      <c r="B111" s="60" t="s">
        <v>109</v>
      </c>
      <c r="C111" s="50">
        <v>17306</v>
      </c>
      <c r="D111" s="50">
        <v>23447</v>
      </c>
      <c r="E111" s="50">
        <v>23515</v>
      </c>
      <c r="F111" s="50">
        <v>18176</v>
      </c>
      <c r="G111" s="50">
        <v>20775</v>
      </c>
      <c r="H111" s="50">
        <v>103219</v>
      </c>
    </row>
    <row r="112" spans="2:15" x14ac:dyDescent="0.3">
      <c r="B112" s="61" t="s">
        <v>155</v>
      </c>
      <c r="C112" s="50">
        <v>3273</v>
      </c>
      <c r="D112" s="50">
        <v>4082</v>
      </c>
      <c r="E112" s="50">
        <v>6115</v>
      </c>
      <c r="F112" s="50">
        <v>7666</v>
      </c>
      <c r="G112" s="50">
        <v>6775</v>
      </c>
      <c r="H112" s="50">
        <v>27911</v>
      </c>
    </row>
    <row r="113" spans="2:9" x14ac:dyDescent="0.3">
      <c r="B113" s="61" t="s">
        <v>120</v>
      </c>
      <c r="C113" s="50">
        <v>225</v>
      </c>
      <c r="D113" s="50">
        <v>215</v>
      </c>
      <c r="E113" s="50">
        <v>225</v>
      </c>
      <c r="F113" s="50"/>
      <c r="G113" s="50"/>
      <c r="H113" s="50">
        <v>665</v>
      </c>
    </row>
    <row r="114" spans="2:9" x14ac:dyDescent="0.3">
      <c r="B114" s="61" t="s">
        <v>110</v>
      </c>
      <c r="C114" s="50"/>
      <c r="D114" s="50"/>
      <c r="E114" s="50"/>
      <c r="F114" s="50"/>
      <c r="G114" s="50">
        <v>225</v>
      </c>
      <c r="H114" s="50">
        <v>225</v>
      </c>
    </row>
    <row r="115" spans="2:9" x14ac:dyDescent="0.3">
      <c r="B115" s="61" t="s">
        <v>115</v>
      </c>
      <c r="C115" s="50">
        <v>198</v>
      </c>
      <c r="D115" s="50">
        <v>175</v>
      </c>
      <c r="E115" s="50">
        <v>175</v>
      </c>
      <c r="F115" s="50">
        <v>190</v>
      </c>
      <c r="G115" s="50">
        <v>175</v>
      </c>
      <c r="H115" s="50">
        <v>913</v>
      </c>
    </row>
    <row r="116" spans="2:9" x14ac:dyDescent="0.3">
      <c r="B116" s="61" t="s">
        <v>162</v>
      </c>
      <c r="C116" s="50">
        <v>13610</v>
      </c>
      <c r="D116" s="50">
        <v>18975</v>
      </c>
      <c r="E116" s="50">
        <v>17000</v>
      </c>
      <c r="F116" s="50">
        <v>10320</v>
      </c>
      <c r="G116" s="50">
        <v>13600</v>
      </c>
      <c r="H116" s="50">
        <v>73505</v>
      </c>
    </row>
    <row r="117" spans="2:9" x14ac:dyDescent="0.3">
      <c r="B117" s="60" t="s">
        <v>140</v>
      </c>
      <c r="C117" s="50">
        <v>3403371</v>
      </c>
      <c r="D117" s="50">
        <v>2468135</v>
      </c>
      <c r="E117" s="50">
        <v>3528050</v>
      </c>
      <c r="F117" s="50">
        <v>1956201</v>
      </c>
      <c r="G117" s="50">
        <v>4000000</v>
      </c>
      <c r="H117" s="50">
        <v>15355757</v>
      </c>
    </row>
    <row r="118" spans="2:9" x14ac:dyDescent="0.3">
      <c r="B118" s="61" t="s">
        <v>140</v>
      </c>
      <c r="C118" s="50">
        <v>3403371</v>
      </c>
      <c r="D118" s="50">
        <v>2468135</v>
      </c>
      <c r="E118" s="50"/>
      <c r="F118" s="50">
        <v>1956201</v>
      </c>
      <c r="G118" s="50">
        <v>4000000</v>
      </c>
      <c r="H118" s="50">
        <v>11827707</v>
      </c>
    </row>
    <row r="119" spans="2:9" x14ac:dyDescent="0.3">
      <c r="B119" s="61" t="s">
        <v>141</v>
      </c>
      <c r="C119" s="50"/>
      <c r="D119" s="50"/>
      <c r="E119" s="50">
        <v>3528050</v>
      </c>
      <c r="F119" s="50"/>
      <c r="G119" s="50"/>
      <c r="H119" s="50">
        <v>3528050</v>
      </c>
    </row>
    <row r="120" spans="2:9" x14ac:dyDescent="0.3">
      <c r="B120" s="60" t="s">
        <v>143</v>
      </c>
      <c r="C120" s="50">
        <v>6284691</v>
      </c>
      <c r="D120" s="50">
        <v>4406392</v>
      </c>
      <c r="E120" s="50">
        <v>3972526</v>
      </c>
      <c r="F120" s="50">
        <v>3961115</v>
      </c>
      <c r="G120" s="50">
        <v>4695028</v>
      </c>
      <c r="H120" s="50">
        <v>23319752</v>
      </c>
    </row>
    <row r="121" spans="2:9" x14ac:dyDescent="0.3">
      <c r="B121" s="61" t="s">
        <v>144</v>
      </c>
      <c r="C121" s="50">
        <v>6284691</v>
      </c>
      <c r="D121" s="50">
        <v>4406392</v>
      </c>
      <c r="E121" s="50">
        <v>3972526</v>
      </c>
      <c r="F121" s="50">
        <v>3961115</v>
      </c>
      <c r="G121" s="50">
        <v>4695028</v>
      </c>
      <c r="H121" s="50">
        <v>23319752</v>
      </c>
    </row>
    <row r="122" spans="2:9" x14ac:dyDescent="0.3">
      <c r="B122" s="60" t="s">
        <v>189</v>
      </c>
      <c r="C122" s="50">
        <v>91538</v>
      </c>
      <c r="D122" s="50">
        <v>254881</v>
      </c>
      <c r="E122" s="50">
        <v>277448</v>
      </c>
      <c r="F122" s="50">
        <v>37000</v>
      </c>
      <c r="G122" s="50"/>
      <c r="H122" s="50">
        <v>660867</v>
      </c>
      <c r="I122" s="50">
        <f>AVERAGE(C122:G122)</f>
        <v>165216.75</v>
      </c>
    </row>
    <row r="123" spans="2:9" x14ac:dyDescent="0.3">
      <c r="B123" s="62" t="s">
        <v>208</v>
      </c>
      <c r="C123" s="63">
        <v>91208</v>
      </c>
      <c r="D123" s="63">
        <v>179901</v>
      </c>
      <c r="E123" s="63">
        <v>99600</v>
      </c>
      <c r="F123" s="63"/>
      <c r="G123" s="63"/>
      <c r="H123" s="50">
        <v>370709</v>
      </c>
    </row>
    <row r="124" spans="2:9" x14ac:dyDescent="0.3">
      <c r="B124" s="62" t="s">
        <v>183</v>
      </c>
      <c r="C124" s="63"/>
      <c r="D124" s="63"/>
      <c r="E124" s="63">
        <v>55000</v>
      </c>
      <c r="F124" s="63"/>
      <c r="G124" s="63"/>
      <c r="H124" s="50">
        <v>55000</v>
      </c>
    </row>
    <row r="125" spans="2:9" x14ac:dyDescent="0.3">
      <c r="B125" s="62" t="s">
        <v>190</v>
      </c>
      <c r="C125" s="63"/>
      <c r="D125" s="63">
        <v>74980</v>
      </c>
      <c r="E125" s="63">
        <v>122848</v>
      </c>
      <c r="F125" s="63">
        <v>37000</v>
      </c>
      <c r="G125" s="63"/>
      <c r="H125" s="50">
        <v>234828</v>
      </c>
    </row>
    <row r="126" spans="2:9" x14ac:dyDescent="0.3">
      <c r="B126" s="62" t="s">
        <v>162</v>
      </c>
      <c r="C126" s="63">
        <v>330</v>
      </c>
      <c r="D126" s="63"/>
      <c r="E126" s="63"/>
      <c r="F126" s="63"/>
      <c r="G126" s="63"/>
      <c r="H126" s="50">
        <v>330</v>
      </c>
    </row>
    <row r="127" spans="2:9" x14ac:dyDescent="0.3">
      <c r="B127" s="60" t="s">
        <v>158</v>
      </c>
      <c r="C127" s="50">
        <v>6822861</v>
      </c>
      <c r="D127" s="50">
        <v>7266713</v>
      </c>
      <c r="E127" s="50">
        <v>7117709</v>
      </c>
      <c r="F127" s="50">
        <v>7241166</v>
      </c>
      <c r="G127" s="50">
        <v>7006260</v>
      </c>
      <c r="H127" s="50">
        <v>35454709</v>
      </c>
    </row>
    <row r="128" spans="2:9" x14ac:dyDescent="0.3">
      <c r="B128" s="62" t="s">
        <v>158</v>
      </c>
      <c r="C128" s="63">
        <v>6822861</v>
      </c>
      <c r="D128" s="63">
        <v>7266713</v>
      </c>
      <c r="E128" s="63">
        <v>7117709</v>
      </c>
      <c r="F128" s="63">
        <v>7241166</v>
      </c>
      <c r="G128" s="63">
        <v>7006260</v>
      </c>
      <c r="H128" s="50">
        <v>35454709</v>
      </c>
      <c r="I128" s="50">
        <f>AVERAGE(C128:G128)</f>
        <v>7090941.7999999998</v>
      </c>
    </row>
    <row r="129" spans="2:10" x14ac:dyDescent="0.3">
      <c r="B129" s="60" t="s">
        <v>182</v>
      </c>
      <c r="C129" s="50">
        <v>1691674</v>
      </c>
      <c r="D129" s="50">
        <v>2368019</v>
      </c>
      <c r="E129" s="50">
        <v>2716970</v>
      </c>
      <c r="F129" s="50">
        <v>2262472</v>
      </c>
      <c r="G129" s="50"/>
      <c r="H129" s="50">
        <v>9039135</v>
      </c>
    </row>
    <row r="130" spans="2:10" x14ac:dyDescent="0.3">
      <c r="B130" s="62" t="s">
        <v>183</v>
      </c>
      <c r="C130" s="63">
        <v>1691674</v>
      </c>
      <c r="D130" s="63">
        <v>2368019</v>
      </c>
      <c r="E130" s="63">
        <v>2716970</v>
      </c>
      <c r="F130" s="63">
        <v>2242472</v>
      </c>
      <c r="G130" s="63"/>
      <c r="H130" s="50">
        <v>9019135</v>
      </c>
      <c r="I130" s="50">
        <f>AVERAGE(C130:G130)</f>
        <v>2254783.75</v>
      </c>
    </row>
    <row r="131" spans="2:10" x14ac:dyDescent="0.3">
      <c r="B131" s="61" t="s">
        <v>162</v>
      </c>
      <c r="C131" s="50"/>
      <c r="D131" s="50"/>
      <c r="E131" s="50"/>
      <c r="F131" s="50">
        <v>20000</v>
      </c>
      <c r="G131" s="50"/>
      <c r="H131" s="50">
        <v>20000</v>
      </c>
    </row>
    <row r="132" spans="2:10" x14ac:dyDescent="0.3">
      <c r="B132" s="60" t="s">
        <v>160</v>
      </c>
      <c r="C132" s="50">
        <v>3247373</v>
      </c>
      <c r="D132" s="50">
        <v>3362379</v>
      </c>
      <c r="E132" s="50">
        <v>3585166</v>
      </c>
      <c r="F132" s="50">
        <v>3611078</v>
      </c>
      <c r="G132" s="50">
        <v>3046454</v>
      </c>
      <c r="H132" s="50">
        <v>16852450</v>
      </c>
    </row>
    <row r="133" spans="2:10" x14ac:dyDescent="0.3">
      <c r="B133" s="62" t="s">
        <v>160</v>
      </c>
      <c r="C133" s="63">
        <v>3247373</v>
      </c>
      <c r="D133" s="63">
        <v>3362379</v>
      </c>
      <c r="E133" s="63">
        <v>3585166</v>
      </c>
      <c r="F133" s="63">
        <v>3611078</v>
      </c>
      <c r="G133" s="63">
        <v>3046454</v>
      </c>
      <c r="H133" s="50">
        <v>16852450</v>
      </c>
      <c r="I133" s="50">
        <f>AVERAGE(C133:G133)</f>
        <v>3370490</v>
      </c>
    </row>
    <row r="134" spans="2:10" x14ac:dyDescent="0.3">
      <c r="B134" s="60" t="s">
        <v>150</v>
      </c>
      <c r="C134" s="50">
        <v>11242686</v>
      </c>
      <c r="D134" s="50">
        <v>10754482</v>
      </c>
      <c r="E134" s="50">
        <v>10726812</v>
      </c>
      <c r="F134" s="50">
        <v>10167948</v>
      </c>
      <c r="G134" s="50">
        <v>10775114</v>
      </c>
      <c r="H134" s="50">
        <v>53667042</v>
      </c>
    </row>
    <row r="135" spans="2:10" x14ac:dyDescent="0.3">
      <c r="B135" s="61" t="s">
        <v>151</v>
      </c>
      <c r="C135" s="50">
        <v>11242686</v>
      </c>
      <c r="D135" s="50">
        <v>10754482</v>
      </c>
      <c r="E135" s="50">
        <v>10726812</v>
      </c>
      <c r="F135" s="50">
        <v>10167948</v>
      </c>
      <c r="G135" s="50">
        <v>10775114</v>
      </c>
      <c r="H135" s="50">
        <v>53667042</v>
      </c>
    </row>
    <row r="136" spans="2:10" x14ac:dyDescent="0.3">
      <c r="B136" s="60" t="s">
        <v>137</v>
      </c>
      <c r="C136" s="50">
        <v>608108</v>
      </c>
      <c r="D136" s="50"/>
      <c r="E136" s="50">
        <v>653205</v>
      </c>
      <c r="F136" s="50">
        <v>545360</v>
      </c>
      <c r="G136" s="50">
        <v>657530</v>
      </c>
      <c r="H136" s="50">
        <v>2464203</v>
      </c>
    </row>
    <row r="137" spans="2:10" x14ac:dyDescent="0.3">
      <c r="B137" s="61" t="s">
        <v>138</v>
      </c>
      <c r="C137" s="50"/>
      <c r="D137" s="50"/>
      <c r="E137" s="50">
        <v>653205</v>
      </c>
      <c r="F137" s="50">
        <v>545360</v>
      </c>
      <c r="G137" s="50">
        <v>657530</v>
      </c>
      <c r="H137" s="50">
        <v>1856095</v>
      </c>
    </row>
    <row r="138" spans="2:10" x14ac:dyDescent="0.3">
      <c r="B138" s="61" t="s">
        <v>132</v>
      </c>
      <c r="C138" s="50">
        <v>608108</v>
      </c>
      <c r="D138" s="50"/>
      <c r="E138" s="50"/>
      <c r="F138" s="50"/>
      <c r="G138" s="50"/>
      <c r="H138" s="50">
        <v>608108</v>
      </c>
    </row>
    <row r="139" spans="2:10" x14ac:dyDescent="0.3">
      <c r="B139" s="60" t="s">
        <v>245</v>
      </c>
      <c r="C139" s="50">
        <v>48355</v>
      </c>
      <c r="D139" s="50"/>
      <c r="E139" s="50"/>
      <c r="F139" s="50"/>
      <c r="G139" s="50"/>
      <c r="H139" s="50">
        <v>48355</v>
      </c>
    </row>
    <row r="140" spans="2:10" x14ac:dyDescent="0.3">
      <c r="B140" s="62" t="s">
        <v>190</v>
      </c>
      <c r="C140" s="63">
        <v>48355</v>
      </c>
      <c r="D140" s="63"/>
      <c r="E140" s="63"/>
      <c r="F140" s="63"/>
      <c r="G140" s="63"/>
      <c r="H140" s="50">
        <v>48355</v>
      </c>
      <c r="I140" s="50">
        <f>AVERAGE(C140:G140)</f>
        <v>48355</v>
      </c>
      <c r="J140" s="50">
        <f>I122+I130+I140</f>
        <v>2468355.5</v>
      </c>
    </row>
    <row r="141" spans="2:10" x14ac:dyDescent="0.3">
      <c r="B141" s="60" t="s">
        <v>148</v>
      </c>
      <c r="C141" s="50"/>
      <c r="D141" s="50">
        <v>1873262</v>
      </c>
      <c r="E141" s="50">
        <v>1803264</v>
      </c>
      <c r="F141" s="50">
        <v>1560812</v>
      </c>
      <c r="G141" s="50">
        <v>1883016</v>
      </c>
      <c r="H141" s="50">
        <v>7120354</v>
      </c>
    </row>
    <row r="142" spans="2:10" x14ac:dyDescent="0.3">
      <c r="B142" s="61" t="s">
        <v>148</v>
      </c>
      <c r="C142" s="50"/>
      <c r="D142" s="50">
        <v>1873262</v>
      </c>
      <c r="E142" s="50">
        <v>1803264</v>
      </c>
      <c r="F142" s="50">
        <v>1560812</v>
      </c>
      <c r="G142" s="50">
        <v>1883016</v>
      </c>
      <c r="H142" s="50">
        <v>7120354</v>
      </c>
    </row>
    <row r="143" spans="2:10" x14ac:dyDescent="0.3">
      <c r="B143" s="59" t="s">
        <v>128</v>
      </c>
      <c r="C143" s="50">
        <v>475156</v>
      </c>
      <c r="D143" s="50">
        <v>490695</v>
      </c>
      <c r="E143" s="50">
        <v>559065</v>
      </c>
      <c r="F143" s="50">
        <v>824477</v>
      </c>
      <c r="G143" s="50">
        <v>797012</v>
      </c>
      <c r="H143" s="50">
        <v>3146405</v>
      </c>
    </row>
    <row r="144" spans="2:10" x14ac:dyDescent="0.3">
      <c r="B144" s="60" t="s">
        <v>129</v>
      </c>
      <c r="C144" s="50">
        <v>452421</v>
      </c>
      <c r="D144" s="50">
        <v>490695</v>
      </c>
      <c r="E144" s="50">
        <v>559065</v>
      </c>
      <c r="F144" s="50">
        <v>824477</v>
      </c>
      <c r="G144" s="50">
        <v>797012</v>
      </c>
      <c r="H144" s="50">
        <v>3123670</v>
      </c>
    </row>
    <row r="145" spans="2:15" x14ac:dyDescent="0.3">
      <c r="B145" s="61" t="s">
        <v>130</v>
      </c>
      <c r="C145" s="50">
        <v>452421</v>
      </c>
      <c r="D145" s="50">
        <v>490695</v>
      </c>
      <c r="E145" s="50">
        <v>559065</v>
      </c>
      <c r="F145" s="50">
        <v>824477</v>
      </c>
      <c r="G145" s="50">
        <v>797012</v>
      </c>
      <c r="H145" s="50">
        <v>3123670</v>
      </c>
    </row>
    <row r="146" spans="2:15" x14ac:dyDescent="0.3">
      <c r="B146" s="60" t="s">
        <v>182</v>
      </c>
      <c r="C146" s="50">
        <v>22735</v>
      </c>
      <c r="D146" s="50"/>
      <c r="E146" s="50"/>
      <c r="F146" s="50"/>
      <c r="G146" s="50"/>
      <c r="H146" s="50">
        <v>22735</v>
      </c>
    </row>
    <row r="147" spans="2:15" x14ac:dyDescent="0.3">
      <c r="B147" s="61" t="s">
        <v>183</v>
      </c>
      <c r="C147" s="50">
        <v>22735</v>
      </c>
      <c r="D147" s="50"/>
      <c r="E147" s="50"/>
      <c r="F147" s="50"/>
      <c r="G147" s="50"/>
      <c r="H147" s="50">
        <v>22735</v>
      </c>
      <c r="K147" s="4" t="s">
        <v>359</v>
      </c>
      <c r="L147" s="67"/>
      <c r="M147" s="68"/>
      <c r="N147" s="223"/>
      <c r="O147" s="187"/>
    </row>
    <row r="148" spans="2:15" x14ac:dyDescent="0.3">
      <c r="B148" s="59" t="s">
        <v>250</v>
      </c>
      <c r="C148" s="50">
        <v>33933119</v>
      </c>
      <c r="D148" s="50">
        <v>33891567</v>
      </c>
      <c r="E148" s="50">
        <v>34963730</v>
      </c>
      <c r="F148" s="50">
        <v>32185805</v>
      </c>
      <c r="G148" s="50">
        <v>32881189</v>
      </c>
      <c r="H148" s="50">
        <v>167855410</v>
      </c>
      <c r="K148" s="64" t="s">
        <v>20</v>
      </c>
      <c r="L148" s="65"/>
      <c r="M148" s="69" t="s">
        <v>9</v>
      </c>
      <c r="N148" s="7" t="s">
        <v>256</v>
      </c>
      <c r="O148" s="8" t="s">
        <v>11</v>
      </c>
    </row>
    <row r="149" spans="2:15" x14ac:dyDescent="0.3">
      <c r="K149" s="71" t="s">
        <v>258</v>
      </c>
      <c r="L149" s="66"/>
      <c r="M149" s="229">
        <f>Summary!X13</f>
        <v>7300000</v>
      </c>
      <c r="N149" s="229">
        <f>M149</f>
        <v>7300000</v>
      </c>
      <c r="O149" s="237">
        <f>M149</f>
        <v>7300000</v>
      </c>
    </row>
    <row r="150" spans="2:15" x14ac:dyDescent="0.3">
      <c r="K150" s="3" t="s">
        <v>127</v>
      </c>
      <c r="L150" s="9"/>
      <c r="M150" s="238">
        <f>Summary!X14</f>
        <v>4500000</v>
      </c>
      <c r="N150" s="238">
        <f>M150</f>
        <v>4500000</v>
      </c>
      <c r="O150" s="188">
        <f>M150</f>
        <v>4500000</v>
      </c>
    </row>
    <row r="151" spans="2:15" x14ac:dyDescent="0.3">
      <c r="K151" s="3" t="s">
        <v>360</v>
      </c>
      <c r="L151" s="9"/>
      <c r="M151" s="72">
        <f>Summary!X15</f>
        <v>2650000</v>
      </c>
      <c r="N151" s="72">
        <f>M151</f>
        <v>2650000</v>
      </c>
      <c r="O151" s="232">
        <f>M151</f>
        <v>2650000</v>
      </c>
    </row>
    <row r="152" spans="2:15" x14ac:dyDescent="0.3">
      <c r="K152" s="3" t="s">
        <v>257</v>
      </c>
      <c r="L152" s="9"/>
      <c r="M152" s="239">
        <f>Summary!X16</f>
        <v>6850000</v>
      </c>
      <c r="N152" s="240">
        <f>M152</f>
        <v>6850000</v>
      </c>
      <c r="O152" s="241">
        <f>M152</f>
        <v>6850000</v>
      </c>
    </row>
    <row r="153" spans="2:15" x14ac:dyDescent="0.3">
      <c r="K153" s="3" t="s">
        <v>341</v>
      </c>
      <c r="L153" s="9"/>
      <c r="M153" s="239">
        <f>HarvestGoals!E16/Summary!AF14</f>
        <v>331124.17617833824</v>
      </c>
      <c r="N153" s="240">
        <f>HarvestGoals!E19/Summary!AF14</f>
        <v>2185419.5627770326</v>
      </c>
      <c r="O153" s="242">
        <f>HarvestGoals!E22/Summary!AF14</f>
        <v>6622483.5235667648</v>
      </c>
    </row>
    <row r="154" spans="2:15" x14ac:dyDescent="0.3">
      <c r="K154" s="5" t="s">
        <v>25</v>
      </c>
      <c r="L154" s="6"/>
      <c r="M154" s="224">
        <f>SUM(M149:M153)</f>
        <v>21631124.17617834</v>
      </c>
      <c r="N154" s="224">
        <f>SUM(N149:N153)</f>
        <v>23485419.562777031</v>
      </c>
      <c r="O154" s="225">
        <f>SUM(O149:O153)</f>
        <v>27922483.523566764</v>
      </c>
    </row>
  </sheetData>
  <pageMargins left="0.7" right="0.7" top="0.75" bottom="0.75" header="0.3" footer="0.3"/>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6:T31"/>
  <sheetViews>
    <sheetView topLeftCell="A6" workbookViewId="0">
      <selection activeCell="O25" sqref="O25"/>
    </sheetView>
  </sheetViews>
  <sheetFormatPr defaultRowHeight="14.4" x14ac:dyDescent="0.3"/>
  <sheetData>
    <row r="6" spans="20:20" x14ac:dyDescent="0.3">
      <c r="T6" t="s">
        <v>413</v>
      </c>
    </row>
    <row r="18" spans="3:17" x14ac:dyDescent="0.3">
      <c r="Q18">
        <v>51000</v>
      </c>
    </row>
    <row r="19" spans="3:17" x14ac:dyDescent="0.3">
      <c r="Q19">
        <v>12850</v>
      </c>
    </row>
    <row r="20" spans="3:17" x14ac:dyDescent="0.3">
      <c r="Q20">
        <f>Q18-Q19</f>
        <v>38150</v>
      </c>
    </row>
    <row r="30" spans="3:17" x14ac:dyDescent="0.3">
      <c r="C30" t="s">
        <v>261</v>
      </c>
    </row>
    <row r="31" spans="3:17" x14ac:dyDescent="0.3">
      <c r="K31" s="17">
        <v>9.1999999999999998E-2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Doc</vt:lpstr>
      <vt:lpstr>Conv</vt:lpstr>
      <vt:lpstr>HistoricAbund.</vt:lpstr>
      <vt:lpstr>HarvestGoals</vt:lpstr>
      <vt:lpstr>Natl Spnr</vt:lpstr>
      <vt:lpstr>Fisheries</vt:lpstr>
      <vt:lpstr>Hatcheries</vt:lpstr>
      <vt:lpstr>HW</vt:lpstr>
      <vt:lpstr>Run</vt:lpstr>
      <vt:lpstr>Hanford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Beamesderfer</dc:creator>
  <cp:lastModifiedBy>xxx</cp:lastModifiedBy>
  <cp:lastPrinted>2018-03-21T00:48:28Z</cp:lastPrinted>
  <dcterms:created xsi:type="dcterms:W3CDTF">2018-02-26T21:28:01Z</dcterms:created>
  <dcterms:modified xsi:type="dcterms:W3CDTF">2020-08-13T16:44:52Z</dcterms:modified>
</cp:coreProperties>
</file>