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showInkAnnotation="0"/>
  <mc:AlternateContent xmlns:mc="http://schemas.openxmlformats.org/markup-compatibility/2006">
    <mc:Choice Requires="x15">
      <x15ac:absPath xmlns:x15ac="http://schemas.microsoft.com/office/spreadsheetml/2010/11/ac" url="C:\Users\beame\Documents\NMFS Columbia Basin\10. Quantitative goals\UCR chinook spring\"/>
    </mc:Choice>
  </mc:AlternateContent>
  <xr:revisionPtr revIDLastSave="0" documentId="8_{5490EAE7-F0BF-4618-856C-EB9DA8AFF549}" xr6:coauthVersionLast="45" xr6:coauthVersionMax="45" xr10:uidLastSave="{00000000-0000-0000-0000-000000000000}"/>
  <bookViews>
    <workbookView xWindow="28680" yWindow="-120" windowWidth="29040" windowHeight="15840" tabRatio="802" xr2:uid="{00000000-000D-0000-FFFF-FFFF00000000}"/>
  </bookViews>
  <sheets>
    <sheet name="Summary" sheetId="10" r:id="rId1"/>
    <sheet name="Documentation" sheetId="19" r:id="rId2"/>
    <sheet name="Runs" sheetId="11" r:id="rId3"/>
    <sheet name="Conv" sheetId="20" r:id="rId4"/>
    <sheet name="Natl Spnr" sheetId="1" r:id="rId5"/>
    <sheet name="HistoricAbund_Calcs." sheetId="17" r:id="rId6"/>
    <sheet name="HabitatPotential_MAT" sheetId="16" r:id="rId7"/>
    <sheet name="HarvestGoals_Calc" sheetId="18" r:id="rId8"/>
    <sheet name="Fishery" sheetId="2" r:id="rId9"/>
    <sheet name="Hatchery" sheetId="3" r:id="rId10"/>
  </sheets>
  <definedNames>
    <definedName name="_Ref67714019" localSheetId="3">#REF!</definedName>
    <definedName name="_Ref67714019" localSheetId="6">#REF!</definedName>
    <definedName name="_Ref67714019" localSheetId="7">#REF!</definedName>
    <definedName name="_Ref67714019" localSheetId="5">#REF!</definedName>
    <definedName name="_Ref67714019">#REF!</definedName>
    <definedName name="solver_adj" localSheetId="3" hidden="1">Conv!$X$46</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Conv!$Y$41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0.7</definedName>
    <definedName name="solver_ver" localSheetId="3" hidden="1">3</definedName>
  </definedNames>
  <calcPr calcId="181029"/>
  <pivotCaches>
    <pivotCache cacheId="0" r:id="rId11"/>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9" i="10" l="1"/>
  <c r="V8" i="10"/>
  <c r="X6" i="10"/>
  <c r="X5" i="10"/>
  <c r="AT39" i="11" l="1"/>
  <c r="AS39" i="11"/>
  <c r="AR39" i="11"/>
  <c r="AT38" i="11"/>
  <c r="AR38" i="11"/>
  <c r="AT37" i="11"/>
  <c r="AS37" i="11"/>
  <c r="AR37" i="11"/>
  <c r="AT36" i="11"/>
  <c r="AS36" i="11"/>
  <c r="AR36" i="11"/>
  <c r="AT35" i="11"/>
  <c r="AS35" i="11"/>
  <c r="AR35" i="11"/>
  <c r="AT34" i="11"/>
  <c r="AR34" i="11"/>
  <c r="AT33" i="11"/>
  <c r="AS33" i="11"/>
  <c r="AR33" i="11"/>
  <c r="AT32" i="11"/>
  <c r="AS32" i="11"/>
  <c r="AR32" i="11"/>
  <c r="AT31" i="11"/>
  <c r="AS31" i="11"/>
  <c r="AR31" i="11"/>
  <c r="AT30" i="11"/>
  <c r="AS30" i="11"/>
  <c r="AR30" i="11"/>
  <c r="AT29" i="11"/>
  <c r="AT41" i="11" s="1"/>
  <c r="AR29" i="11"/>
  <c r="AR41" i="11" s="1"/>
  <c r="AT28" i="11"/>
  <c r="AS28" i="11"/>
  <c r="AR28" i="11"/>
  <c r="AT27" i="11"/>
  <c r="AS27" i="11"/>
  <c r="AR27" i="11"/>
  <c r="AT26" i="11"/>
  <c r="AS26" i="11"/>
  <c r="AR26" i="11"/>
  <c r="AT25" i="11"/>
  <c r="AS25" i="11"/>
  <c r="AR25" i="11"/>
  <c r="AT24" i="11"/>
  <c r="AS24" i="11"/>
  <c r="AR24" i="11"/>
  <c r="AM41" i="11"/>
  <c r="AO41" i="11"/>
  <c r="T43" i="11" l="1"/>
  <c r="S43" i="11"/>
  <c r="Q43" i="11"/>
  <c r="R43" i="11" s="1"/>
  <c r="T42" i="11"/>
  <c r="S42" i="11"/>
  <c r="U42" i="11" s="1"/>
  <c r="Q42" i="11"/>
  <c r="R42" i="11" s="1"/>
  <c r="P43" i="11" l="1"/>
  <c r="U43" i="11"/>
  <c r="P42" i="11"/>
  <c r="T46" i="20"/>
  <c r="D29" i="20" l="1"/>
  <c r="D35" i="20"/>
  <c r="S35" i="20" l="1"/>
  <c r="W35" i="20"/>
  <c r="W29" i="20"/>
  <c r="S29" i="20"/>
  <c r="O35" i="20"/>
  <c r="K35" i="20"/>
  <c r="K29" i="20"/>
  <c r="O29" i="20"/>
  <c r="D34" i="20"/>
  <c r="D31" i="20"/>
  <c r="D28" i="20"/>
  <c r="E35" i="20"/>
  <c r="F35" i="20" s="1"/>
  <c r="E34" i="20"/>
  <c r="E31" i="20"/>
  <c r="E28" i="20" l="1"/>
  <c r="O28" i="20"/>
  <c r="K28" i="20"/>
  <c r="W28" i="20"/>
  <c r="S28" i="20"/>
  <c r="O31" i="20"/>
  <c r="K31" i="20"/>
  <c r="W31" i="20"/>
  <c r="S31" i="20"/>
  <c r="F34" i="20"/>
  <c r="W34" i="20"/>
  <c r="K34" i="20"/>
  <c r="S34" i="20"/>
  <c r="O34" i="20"/>
  <c r="W12" i="20" l="1"/>
  <c r="W9" i="20"/>
  <c r="W6" i="20"/>
  <c r="S12" i="20"/>
  <c r="S9" i="20"/>
  <c r="S6" i="20"/>
  <c r="O12" i="20"/>
  <c r="O9" i="20"/>
  <c r="O6" i="20"/>
  <c r="K12" i="20" l="1"/>
  <c r="K9" i="20"/>
  <c r="K6" i="20"/>
  <c r="D7" i="20"/>
  <c r="E29" i="20" s="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43" i="11"/>
  <c r="S7" i="20" l="1"/>
  <c r="W7" i="20"/>
  <c r="O7" i="20"/>
  <c r="K7" i="20"/>
  <c r="X34" i="10"/>
  <c r="E12" i="20" l="1"/>
  <c r="E9" i="20"/>
  <c r="E7" i="20"/>
  <c r="E6" i="20"/>
  <c r="AJ41" i="11" l="1"/>
  <c r="U6" i="10" s="1"/>
  <c r="AI41" i="11" l="1"/>
  <c r="U5" i="10" s="1"/>
  <c r="AH41" i="11"/>
  <c r="U7" i="10" l="1"/>
  <c r="AK41" i="11"/>
  <c r="F20" i="19"/>
  <c r="F19" i="19"/>
  <c r="F15" i="19"/>
  <c r="F5" i="19"/>
  <c r="F4" i="19"/>
  <c r="F3" i="19"/>
  <c r="F2" i="19"/>
  <c r="X28" i="10" l="1"/>
  <c r="AL16" i="10" l="1"/>
  <c r="W9" i="10"/>
  <c r="F16" i="19" s="1"/>
  <c r="AN15" i="10"/>
  <c r="AM15" i="10" s="1"/>
  <c r="AN14" i="10"/>
  <c r="AM14" i="10" s="1"/>
  <c r="AN13" i="10"/>
  <c r="AM13" i="10" s="1"/>
  <c r="AN10" i="10"/>
  <c r="AN9" i="10"/>
  <c r="AN12" i="10"/>
  <c r="Y8" i="10"/>
  <c r="F25" i="19" s="1"/>
  <c r="Q32" i="11" l="1"/>
  <c r="P32" i="11" s="1"/>
  <c r="Q41" i="11"/>
  <c r="M45" i="11"/>
  <c r="D45" i="11"/>
  <c r="E45" i="11"/>
  <c r="Y24" i="10" s="1"/>
  <c r="X14" i="10"/>
  <c r="X15" i="10"/>
  <c r="X16" i="10"/>
  <c r="X17" i="10"/>
  <c r="U43" i="10" l="1"/>
  <c r="H14" i="20"/>
  <c r="C11" i="20"/>
  <c r="U39" i="10"/>
  <c r="C14" i="20"/>
  <c r="C8" i="20"/>
  <c r="U47" i="10"/>
  <c r="Y26" i="10" s="1"/>
  <c r="AC19" i="10"/>
  <c r="AB19" i="10"/>
  <c r="R32" i="11"/>
  <c r="F8" i="1"/>
  <c r="F18" i="19"/>
  <c r="F17" i="19"/>
  <c r="V19" i="10"/>
  <c r="J24" i="3"/>
  <c r="U19" i="10"/>
  <c r="W14" i="1"/>
  <c r="C37" i="20" l="1"/>
  <c r="M68" i="10"/>
  <c r="AD19" i="10"/>
  <c r="H37" i="20"/>
  <c r="L37" i="20"/>
  <c r="P37" i="20"/>
  <c r="N45" i="11"/>
  <c r="L45" i="11"/>
  <c r="K45" i="11"/>
  <c r="J45" i="11"/>
  <c r="I45" i="11"/>
  <c r="H45" i="11"/>
  <c r="G45" i="11"/>
  <c r="Y25" i="10" s="1"/>
  <c r="Y28" i="10" s="1"/>
  <c r="F45" i="11"/>
  <c r="V24" i="10" s="1"/>
  <c r="F55" i="10" s="1"/>
  <c r="C45" i="11"/>
  <c r="V25" i="10" l="1"/>
  <c r="F56" i="10" s="1"/>
  <c r="H46" i="11"/>
  <c r="U40" i="10"/>
  <c r="U38" i="10" s="1"/>
  <c r="U41" i="10" s="1"/>
  <c r="C36" i="20"/>
  <c r="D13" i="20"/>
  <c r="F18" i="1"/>
  <c r="W18" i="1" s="1"/>
  <c r="F17" i="1"/>
  <c r="W17" i="1" s="1"/>
  <c r="F12" i="1"/>
  <c r="V31" i="10" l="1"/>
  <c r="V34" i="10" s="1"/>
  <c r="H36" i="20"/>
  <c r="E36" i="20"/>
  <c r="W13" i="20"/>
  <c r="O13" i="20"/>
  <c r="S13" i="20"/>
  <c r="E13" i="20"/>
  <c r="F13" i="20" s="1"/>
  <c r="F12" i="20" s="1"/>
  <c r="K13" i="20"/>
  <c r="D10" i="20"/>
  <c r="D32" i="20" s="1"/>
  <c r="Y6" i="10"/>
  <c r="F23" i="19" s="1"/>
  <c r="Y7" i="10"/>
  <c r="F24" i="19" s="1"/>
  <c r="T36" i="20" l="1"/>
  <c r="X40" i="10" s="1"/>
  <c r="X36" i="20"/>
  <c r="Y40" i="10" s="1"/>
  <c r="H34" i="20"/>
  <c r="I35" i="20" s="1"/>
  <c r="W32" i="20"/>
  <c r="S32" i="20"/>
  <c r="O32" i="20"/>
  <c r="K32" i="20"/>
  <c r="E32" i="20"/>
  <c r="H12" i="20"/>
  <c r="I13" i="20" s="1"/>
  <c r="W10" i="20"/>
  <c r="O10" i="20"/>
  <c r="S10" i="20"/>
  <c r="E10" i="20"/>
  <c r="F10" i="20" s="1"/>
  <c r="F9" i="20" s="1"/>
  <c r="K10" i="20"/>
  <c r="Y5" i="10"/>
  <c r="F22" i="19" s="1"/>
  <c r="H33" i="20" l="1"/>
  <c r="U44" i="10" s="1"/>
  <c r="U42" i="10" s="1"/>
  <c r="U45" i="10" s="1"/>
  <c r="H11" i="20"/>
  <c r="I12" i="20" s="1"/>
  <c r="F32" i="20"/>
  <c r="F31" i="20" s="1"/>
  <c r="F29" i="20" s="1"/>
  <c r="F28" i="20" s="1"/>
  <c r="H31" i="20"/>
  <c r="F7" i="20"/>
  <c r="F6" i="20" s="1"/>
  <c r="C34" i="18"/>
  <c r="C29" i="18"/>
  <c r="C28" i="18"/>
  <c r="C27" i="18"/>
  <c r="E10" i="18"/>
  <c r="E9" i="18"/>
  <c r="E8" i="18"/>
  <c r="J8" i="18" s="1"/>
  <c r="E7" i="18"/>
  <c r="K7" i="18" s="1"/>
  <c r="E6" i="18"/>
  <c r="K6" i="18" s="1"/>
  <c r="E5" i="18"/>
  <c r="J5" i="18" s="1"/>
  <c r="D4" i="18"/>
  <c r="E4" i="18" s="1"/>
  <c r="E79" i="16"/>
  <c r="I34" i="20" l="1"/>
  <c r="H9" i="20"/>
  <c r="H8" i="20" s="1"/>
  <c r="I9" i="20" s="1"/>
  <c r="I32" i="20"/>
  <c r="H30" i="20"/>
  <c r="U48" i="10" s="1"/>
  <c r="F8" i="18"/>
  <c r="G10" i="18"/>
  <c r="H5" i="18"/>
  <c r="I6" i="18"/>
  <c r="K8" i="18"/>
  <c r="G8" i="18"/>
  <c r="I5" i="18"/>
  <c r="K5" i="18"/>
  <c r="J7" i="18"/>
  <c r="F9" i="18"/>
  <c r="G9" i="18"/>
  <c r="H8" i="18"/>
  <c r="I4" i="18"/>
  <c r="H4" i="18"/>
  <c r="G4" i="18"/>
  <c r="E11" i="18"/>
  <c r="E12" i="18" s="1"/>
  <c r="F4" i="18"/>
  <c r="K4" i="18"/>
  <c r="J4" i="18"/>
  <c r="H10" i="18"/>
  <c r="F7" i="18"/>
  <c r="H9" i="18"/>
  <c r="I10" i="18"/>
  <c r="F6" i="18"/>
  <c r="G7" i="18"/>
  <c r="I9" i="18"/>
  <c r="J10" i="18"/>
  <c r="F5" i="18"/>
  <c r="G6" i="18"/>
  <c r="H7" i="18"/>
  <c r="I8" i="18"/>
  <c r="J9" i="18"/>
  <c r="K10" i="18"/>
  <c r="G5" i="18"/>
  <c r="H6" i="18"/>
  <c r="I7" i="18"/>
  <c r="K9" i="18"/>
  <c r="J6" i="18"/>
  <c r="F10" i="18"/>
  <c r="I10" i="20" l="1"/>
  <c r="I31" i="20"/>
  <c r="H28" i="20"/>
  <c r="I29" i="20" s="1"/>
  <c r="I40" i="20" s="1"/>
  <c r="G11" i="18"/>
  <c r="G12" i="18" s="1"/>
  <c r="H11" i="18"/>
  <c r="H12" i="18" s="1"/>
  <c r="I11" i="18"/>
  <c r="I12" i="18" s="1"/>
  <c r="J11" i="18"/>
  <c r="J12" i="18" s="1"/>
  <c r="K11" i="18"/>
  <c r="K12" i="18" s="1"/>
  <c r="F11" i="18"/>
  <c r="F12" i="18" s="1"/>
  <c r="I41" i="20" l="1"/>
  <c r="U56" i="10"/>
  <c r="H27" i="20"/>
  <c r="C22" i="18"/>
  <c r="P14" i="3" s="1"/>
  <c r="P15" i="3" s="1"/>
  <c r="C18" i="18"/>
  <c r="C19" i="18"/>
  <c r="O14" i="3" s="1"/>
  <c r="O15" i="3" s="1"/>
  <c r="C20" i="18"/>
  <c r="C16" i="18"/>
  <c r="N14" i="3" s="1"/>
  <c r="N15" i="3" s="1"/>
  <c r="C21" i="18"/>
  <c r="C17" i="18"/>
  <c r="F19" i="18"/>
  <c r="F20" i="18"/>
  <c r="F16" i="18"/>
  <c r="F21" i="18"/>
  <c r="F17" i="18"/>
  <c r="F22" i="18"/>
  <c r="F18" i="18"/>
  <c r="E19" i="18"/>
  <c r="E20" i="18"/>
  <c r="E16" i="18"/>
  <c r="E21" i="18"/>
  <c r="E17" i="18"/>
  <c r="E22" i="18"/>
  <c r="E18" i="18"/>
  <c r="H20" i="18"/>
  <c r="H16" i="18"/>
  <c r="H21" i="18"/>
  <c r="H17" i="18"/>
  <c r="H22" i="18"/>
  <c r="H18" i="18"/>
  <c r="H19" i="18"/>
  <c r="D22" i="18"/>
  <c r="D18" i="18"/>
  <c r="D19" i="18"/>
  <c r="D20" i="18"/>
  <c r="D16" i="18"/>
  <c r="D21" i="18"/>
  <c r="D17" i="18"/>
  <c r="G20" i="18"/>
  <c r="G16" i="18"/>
  <c r="G21" i="18"/>
  <c r="G17" i="18"/>
  <c r="G22" i="18"/>
  <c r="G18" i="18"/>
  <c r="G19" i="18"/>
  <c r="L27" i="20" l="1"/>
  <c r="L28" i="20" s="1"/>
  <c r="M28" i="20" s="1"/>
  <c r="U52" i="10"/>
  <c r="L30" i="20"/>
  <c r="I28" i="20"/>
  <c r="I42" i="20" s="1"/>
  <c r="I43" i="20" s="1"/>
  <c r="H6" i="20"/>
  <c r="H5" i="20" s="1"/>
  <c r="J90" i="17"/>
  <c r="I90" i="17"/>
  <c r="H90" i="17"/>
  <c r="G90" i="17"/>
  <c r="F90" i="17"/>
  <c r="E90" i="17"/>
  <c r="D90" i="17"/>
  <c r="C90" i="17"/>
  <c r="K89" i="17"/>
  <c r="K88" i="17"/>
  <c r="K87" i="17"/>
  <c r="K86" i="17"/>
  <c r="K85" i="17"/>
  <c r="K84" i="17"/>
  <c r="K83" i="17"/>
  <c r="K82" i="17"/>
  <c r="K81" i="17"/>
  <c r="K80" i="17"/>
  <c r="H55" i="17"/>
  <c r="H48" i="17"/>
  <c r="H62" i="17" s="1"/>
  <c r="G48" i="17"/>
  <c r="G62" i="17" s="1"/>
  <c r="F48" i="17"/>
  <c r="F62" i="17" s="1"/>
  <c r="H47" i="17"/>
  <c r="H61" i="17" s="1"/>
  <c r="G47" i="17"/>
  <c r="G61" i="17" s="1"/>
  <c r="F47" i="17"/>
  <c r="F61" i="17" s="1"/>
  <c r="H46" i="17"/>
  <c r="H60" i="17" s="1"/>
  <c r="G46" i="17"/>
  <c r="G60" i="17" s="1"/>
  <c r="F46" i="17"/>
  <c r="F60" i="17" s="1"/>
  <c r="H45" i="17"/>
  <c r="H59" i="17" s="1"/>
  <c r="G45" i="17"/>
  <c r="G59" i="17" s="1"/>
  <c r="F45" i="17"/>
  <c r="F59" i="17" s="1"/>
  <c r="H44" i="17"/>
  <c r="H58" i="17" s="1"/>
  <c r="G44" i="17"/>
  <c r="G58" i="17" s="1"/>
  <c r="F44" i="17"/>
  <c r="F58" i="17" s="1"/>
  <c r="H43" i="17"/>
  <c r="H57" i="17" s="1"/>
  <c r="G43" i="17"/>
  <c r="G57" i="17" s="1"/>
  <c r="F43" i="17"/>
  <c r="F57" i="17" s="1"/>
  <c r="H42" i="17"/>
  <c r="H56" i="17" s="1"/>
  <c r="G42" i="17"/>
  <c r="G56" i="17" s="1"/>
  <c r="F42" i="17"/>
  <c r="F56" i="17" s="1"/>
  <c r="H41" i="17"/>
  <c r="G41" i="17"/>
  <c r="G55" i="17" s="1"/>
  <c r="F41" i="17"/>
  <c r="F55" i="17" s="1"/>
  <c r="H40" i="17"/>
  <c r="H54" i="17" s="1"/>
  <c r="G40" i="17"/>
  <c r="G54" i="17" s="1"/>
  <c r="F40" i="17"/>
  <c r="F54" i="17" s="1"/>
  <c r="H39" i="17"/>
  <c r="G39" i="17"/>
  <c r="F39" i="17"/>
  <c r="B35" i="17"/>
  <c r="B30" i="17"/>
  <c r="D46" i="17" s="1"/>
  <c r="D60" i="17" s="1"/>
  <c r="B29" i="17"/>
  <c r="C47" i="17" s="1"/>
  <c r="C61" i="17" s="1"/>
  <c r="B28" i="17"/>
  <c r="B43" i="17" s="1"/>
  <c r="B57" i="17" s="1"/>
  <c r="B24" i="17"/>
  <c r="D32" i="17" s="1"/>
  <c r="AN11" i="10"/>
  <c r="AM11" i="10"/>
  <c r="L31" i="20" l="1"/>
  <c r="M29" i="20"/>
  <c r="Y32" i="10" s="1"/>
  <c r="I6" i="20"/>
  <c r="L5" i="20"/>
  <c r="L6" i="20" s="1"/>
  <c r="I7" i="20"/>
  <c r="AM16" i="10"/>
  <c r="X9" i="10"/>
  <c r="Y9" i="10"/>
  <c r="AN16" i="10"/>
  <c r="D33" i="17"/>
  <c r="D34" i="17"/>
  <c r="C41" i="17"/>
  <c r="C55" i="17" s="1"/>
  <c r="B42" i="17"/>
  <c r="B56" i="17" s="1"/>
  <c r="B44" i="17"/>
  <c r="H49" i="17"/>
  <c r="C42" i="17"/>
  <c r="C56" i="17" s="1"/>
  <c r="C44" i="17"/>
  <c r="C58" i="17" s="1"/>
  <c r="B45" i="17"/>
  <c r="B59" i="17" s="1"/>
  <c r="B40" i="17"/>
  <c r="C45" i="17"/>
  <c r="C59" i="17" s="1"/>
  <c r="B46" i="17"/>
  <c r="B60" i="17" s="1"/>
  <c r="B48" i="17"/>
  <c r="B62" i="17" s="1"/>
  <c r="B89" i="17" s="1"/>
  <c r="D104" i="17" s="1"/>
  <c r="D31" i="17"/>
  <c r="D35" i="17" s="1"/>
  <c r="C40" i="17"/>
  <c r="C54" i="17" s="1"/>
  <c r="B41" i="17"/>
  <c r="B55" i="17" s="1"/>
  <c r="C46" i="17"/>
  <c r="C60" i="17" s="1"/>
  <c r="C48" i="17"/>
  <c r="C62" i="17" s="1"/>
  <c r="B84" i="17"/>
  <c r="G49" i="17"/>
  <c r="G53" i="17"/>
  <c r="G63" i="17" s="1"/>
  <c r="B72" i="17" s="1"/>
  <c r="D30" i="17"/>
  <c r="E104" i="17"/>
  <c r="H104" i="17"/>
  <c r="J104" i="17"/>
  <c r="D43" i="17"/>
  <c r="D57" i="17" s="1"/>
  <c r="K90" i="17"/>
  <c r="F49" i="17"/>
  <c r="F53" i="17"/>
  <c r="F63" i="17" s="1"/>
  <c r="B71" i="17" s="1"/>
  <c r="D48" i="17"/>
  <c r="D62" i="17" s="1"/>
  <c r="D40" i="17"/>
  <c r="D54" i="17" s="1"/>
  <c r="D44" i="17"/>
  <c r="D58" i="17" s="1"/>
  <c r="D45" i="17"/>
  <c r="D59" i="17" s="1"/>
  <c r="D41" i="17"/>
  <c r="D55" i="17" s="1"/>
  <c r="D39" i="17"/>
  <c r="D42" i="17"/>
  <c r="D56" i="17" s="1"/>
  <c r="D47" i="17"/>
  <c r="D61" i="17" s="1"/>
  <c r="H53" i="17"/>
  <c r="H63" i="17" s="1"/>
  <c r="B73" i="17" s="1"/>
  <c r="B47" i="17"/>
  <c r="D28" i="17"/>
  <c r="B39" i="17"/>
  <c r="B54" i="17"/>
  <c r="B58" i="17"/>
  <c r="C39" i="17"/>
  <c r="C43" i="17"/>
  <c r="C57" i="17" s="1"/>
  <c r="D29" i="17"/>
  <c r="C104" i="17" l="1"/>
  <c r="I104" i="17"/>
  <c r="B104" i="17"/>
  <c r="E56" i="17"/>
  <c r="I56" i="17" s="1"/>
  <c r="M31" i="20"/>
  <c r="L33" i="20"/>
  <c r="I16" i="20"/>
  <c r="L8" i="20"/>
  <c r="M6" i="20"/>
  <c r="I18" i="20"/>
  <c r="I19" i="20" s="1"/>
  <c r="Y10" i="10"/>
  <c r="X5" i="20" s="1"/>
  <c r="F26" i="19"/>
  <c r="X10" i="10"/>
  <c r="T5" i="20" s="1"/>
  <c r="F21" i="19"/>
  <c r="E46" i="17"/>
  <c r="I46" i="17" s="1"/>
  <c r="E48" i="17"/>
  <c r="I48" i="17" s="1"/>
  <c r="B83" i="17"/>
  <c r="I98" i="17" s="1"/>
  <c r="E62" i="17"/>
  <c r="I62" i="17" s="1"/>
  <c r="E57" i="17"/>
  <c r="I57" i="17" s="1"/>
  <c r="E45" i="17"/>
  <c r="I45" i="17" s="1"/>
  <c r="G104" i="17"/>
  <c r="F104" i="17"/>
  <c r="K104" i="17" s="1"/>
  <c r="E40" i="17"/>
  <c r="I40" i="17" s="1"/>
  <c r="E43" i="17"/>
  <c r="I43" i="17" s="1"/>
  <c r="E42" i="17"/>
  <c r="I42" i="17" s="1"/>
  <c r="D49" i="17"/>
  <c r="D53" i="17"/>
  <c r="D63" i="17" s="1"/>
  <c r="B69" i="17" s="1"/>
  <c r="E47" i="17"/>
  <c r="I47" i="17" s="1"/>
  <c r="B61" i="17"/>
  <c r="C73" i="17"/>
  <c r="D73" i="17"/>
  <c r="F73" i="17"/>
  <c r="E73" i="17"/>
  <c r="E60" i="17"/>
  <c r="I60" i="17" s="1"/>
  <c r="B87" i="17"/>
  <c r="E58" i="17"/>
  <c r="I58" i="17" s="1"/>
  <c r="B85" i="17"/>
  <c r="E44" i="17"/>
  <c r="I44" i="17" s="1"/>
  <c r="B98" i="17"/>
  <c r="H98" i="17"/>
  <c r="G98" i="17"/>
  <c r="F98" i="17"/>
  <c r="E55" i="17"/>
  <c r="I55" i="17" s="1"/>
  <c r="B82" i="17"/>
  <c r="D72" i="17"/>
  <c r="E72" i="17"/>
  <c r="F72" i="17"/>
  <c r="C72" i="17"/>
  <c r="C49" i="17"/>
  <c r="C53" i="17"/>
  <c r="C63" i="17" s="1"/>
  <c r="B68" i="17" s="1"/>
  <c r="C121" i="17"/>
  <c r="E54" i="17"/>
  <c r="I54" i="17" s="1"/>
  <c r="C122" i="17"/>
  <c r="C120" i="17"/>
  <c r="B81" i="17"/>
  <c r="C119" i="17"/>
  <c r="E41" i="17"/>
  <c r="I41" i="17" s="1"/>
  <c r="E39" i="17"/>
  <c r="B53" i="17"/>
  <c r="B49" i="17"/>
  <c r="E71" i="17"/>
  <c r="D71" i="17"/>
  <c r="F71" i="17"/>
  <c r="C71" i="17"/>
  <c r="E59" i="17"/>
  <c r="I59" i="17" s="1"/>
  <c r="B86" i="17"/>
  <c r="G99" i="17"/>
  <c r="F99" i="17"/>
  <c r="C99" i="17"/>
  <c r="J99" i="17"/>
  <c r="B99" i="17"/>
  <c r="E99" i="17"/>
  <c r="D99" i="17"/>
  <c r="I99" i="17"/>
  <c r="H99" i="17"/>
  <c r="Y51" i="10" l="1"/>
  <c r="X6" i="20"/>
  <c r="T6" i="20"/>
  <c r="X51" i="10"/>
  <c r="L34" i="20"/>
  <c r="M32" i="20"/>
  <c r="Y31" i="10" s="1"/>
  <c r="I17" i="20"/>
  <c r="V28" i="10" s="1"/>
  <c r="F57" i="10" s="1"/>
  <c r="U55" i="10"/>
  <c r="U54" i="10" s="1"/>
  <c r="U57" i="10" s="1"/>
  <c r="L9" i="20"/>
  <c r="M7" i="20"/>
  <c r="D98" i="17"/>
  <c r="E98" i="17"/>
  <c r="C98" i="17"/>
  <c r="J98" i="17"/>
  <c r="E53" i="17"/>
  <c r="B63" i="17"/>
  <c r="B67" i="17" s="1"/>
  <c r="B80" i="17"/>
  <c r="C101" i="17"/>
  <c r="J101" i="17"/>
  <c r="B101" i="17"/>
  <c r="G101" i="17"/>
  <c r="F101" i="17"/>
  <c r="I101" i="17"/>
  <c r="H101" i="17"/>
  <c r="E101" i="17"/>
  <c r="D101" i="17"/>
  <c r="D68" i="17"/>
  <c r="C68" i="17"/>
  <c r="F68" i="17"/>
  <c r="E68" i="17"/>
  <c r="F119" i="17"/>
  <c r="E119" i="17"/>
  <c r="D119" i="17"/>
  <c r="C123" i="17"/>
  <c r="G119" i="17"/>
  <c r="E100" i="17"/>
  <c r="D100" i="17"/>
  <c r="I100" i="17"/>
  <c r="H100" i="17"/>
  <c r="G100" i="17"/>
  <c r="F100" i="17"/>
  <c r="B100" i="17"/>
  <c r="J100" i="17"/>
  <c r="C100" i="17"/>
  <c r="E96" i="17"/>
  <c r="I96" i="17"/>
  <c r="H96" i="17"/>
  <c r="J96" i="17"/>
  <c r="F96" i="17"/>
  <c r="D96" i="17"/>
  <c r="B96" i="17"/>
  <c r="G96" i="17"/>
  <c r="C96" i="17"/>
  <c r="E61" i="17"/>
  <c r="I61" i="17" s="1"/>
  <c r="B88" i="17"/>
  <c r="D121" i="17"/>
  <c r="G121" i="17"/>
  <c r="F121" i="17"/>
  <c r="E121" i="17"/>
  <c r="E49" i="17"/>
  <c r="I49" i="17" s="1"/>
  <c r="I39" i="17"/>
  <c r="G120" i="17"/>
  <c r="E120" i="17"/>
  <c r="D120" i="17"/>
  <c r="F120" i="17"/>
  <c r="K99" i="17"/>
  <c r="G122" i="17"/>
  <c r="F122" i="17"/>
  <c r="H8" i="1" s="1"/>
  <c r="E122" i="17"/>
  <c r="D122" i="17"/>
  <c r="I102" i="17"/>
  <c r="H102" i="17"/>
  <c r="E102" i="17"/>
  <c r="D102" i="17"/>
  <c r="G102" i="17"/>
  <c r="C102" i="17"/>
  <c r="F102" i="17"/>
  <c r="B102" i="17"/>
  <c r="J102" i="17"/>
  <c r="C69" i="17"/>
  <c r="F69" i="17"/>
  <c r="E69" i="17"/>
  <c r="D69" i="17"/>
  <c r="C97" i="17"/>
  <c r="G97" i="17"/>
  <c r="F97" i="17"/>
  <c r="I97" i="17"/>
  <c r="J97" i="17"/>
  <c r="H97" i="17"/>
  <c r="E97" i="17"/>
  <c r="D97" i="17"/>
  <c r="B97" i="17"/>
  <c r="K98" i="17" l="1"/>
  <c r="Y6" i="20"/>
  <c r="X8" i="20"/>
  <c r="T8" i="20"/>
  <c r="U6" i="20"/>
  <c r="M34" i="20"/>
  <c r="M42" i="20" s="1"/>
  <c r="L36" i="20"/>
  <c r="M9" i="20"/>
  <c r="L11" i="20"/>
  <c r="K100" i="17"/>
  <c r="G123" i="17"/>
  <c r="E63" i="17"/>
  <c r="I53" i="17"/>
  <c r="I63" i="17" s="1"/>
  <c r="K102" i="17"/>
  <c r="D123" i="17"/>
  <c r="K101" i="17"/>
  <c r="E123" i="17"/>
  <c r="G95" i="17"/>
  <c r="C95" i="17"/>
  <c r="J95" i="17"/>
  <c r="B95" i="17"/>
  <c r="F95" i="17"/>
  <c r="E95" i="17"/>
  <c r="D95" i="17"/>
  <c r="B90" i="17"/>
  <c r="I95" i="17"/>
  <c r="H95" i="17"/>
  <c r="K96" i="17"/>
  <c r="K97" i="17"/>
  <c r="G103" i="17"/>
  <c r="F103" i="17"/>
  <c r="C103" i="17"/>
  <c r="J103" i="17"/>
  <c r="B103" i="17"/>
  <c r="I103" i="17"/>
  <c r="H103" i="17"/>
  <c r="D103" i="17"/>
  <c r="E103" i="17"/>
  <c r="F123" i="17"/>
  <c r="E67" i="17"/>
  <c r="B70" i="17"/>
  <c r="F67" i="17"/>
  <c r="D67" i="17"/>
  <c r="C67" i="17"/>
  <c r="B105" i="17" l="1"/>
  <c r="X47" i="10"/>
  <c r="T9" i="20"/>
  <c r="U7" i="20"/>
  <c r="Y7" i="20"/>
  <c r="X9" i="20"/>
  <c r="Y47" i="10"/>
  <c r="M35" i="20"/>
  <c r="P36" i="20"/>
  <c r="W40" i="10" s="1"/>
  <c r="M43" i="20"/>
  <c r="M10" i="20"/>
  <c r="L12" i="20"/>
  <c r="D105" i="17"/>
  <c r="C110" i="17" s="1"/>
  <c r="I105" i="17"/>
  <c r="C116" i="17" s="1"/>
  <c r="F105" i="17"/>
  <c r="C112" i="17" s="1"/>
  <c r="E112" i="17" s="1"/>
  <c r="F110" i="17"/>
  <c r="H14" i="1" s="1"/>
  <c r="E110" i="17"/>
  <c r="G110" i="17"/>
  <c r="D110" i="17"/>
  <c r="E105" i="17"/>
  <c r="C111" i="17" s="1"/>
  <c r="B74" i="17"/>
  <c r="F70" i="17"/>
  <c r="E70" i="17"/>
  <c r="C70" i="17"/>
  <c r="D70" i="17"/>
  <c r="H105" i="17"/>
  <c r="C115" i="17" s="1"/>
  <c r="C105" i="17"/>
  <c r="K95" i="17"/>
  <c r="K103" i="17"/>
  <c r="J105" i="17"/>
  <c r="E116" i="17"/>
  <c r="D116" i="17"/>
  <c r="G116" i="17"/>
  <c r="F116" i="17"/>
  <c r="H17" i="1" s="1"/>
  <c r="G105" i="17"/>
  <c r="C113" i="17" s="1"/>
  <c r="M40" i="20" l="1"/>
  <c r="M41" i="20" s="1"/>
  <c r="Y30" i="10"/>
  <c r="Y34" i="10" s="1"/>
  <c r="U9" i="20"/>
  <c r="T11" i="20"/>
  <c r="Y9" i="20"/>
  <c r="X11" i="20"/>
  <c r="P34" i="20"/>
  <c r="L14" i="20"/>
  <c r="M13" i="20" s="1"/>
  <c r="M16" i="20" s="1"/>
  <c r="M17" i="20" s="1"/>
  <c r="M12" i="20"/>
  <c r="M18" i="20" s="1"/>
  <c r="F112" i="17"/>
  <c r="H13" i="1" s="1"/>
  <c r="D112" i="17"/>
  <c r="G112" i="17"/>
  <c r="G113" i="17"/>
  <c r="F113" i="17"/>
  <c r="H16" i="1" s="1"/>
  <c r="E113" i="17"/>
  <c r="D113" i="17"/>
  <c r="K105" i="17"/>
  <c r="C114" i="17"/>
  <c r="F115" i="17"/>
  <c r="C117" i="17"/>
  <c r="E115" i="17"/>
  <c r="E117" i="17" s="1"/>
  <c r="D115" i="17"/>
  <c r="D117" i="17" s="1"/>
  <c r="G115" i="17"/>
  <c r="G117" i="17" s="1"/>
  <c r="F74" i="17"/>
  <c r="E74" i="17"/>
  <c r="C74" i="17"/>
  <c r="D74" i="17"/>
  <c r="E111" i="17"/>
  <c r="E114" i="17" s="1"/>
  <c r="D111" i="17"/>
  <c r="G111" i="17"/>
  <c r="F111" i="17"/>
  <c r="H12" i="1" s="1"/>
  <c r="D114" i="17" l="1"/>
  <c r="X43" i="10"/>
  <c r="U10" i="20"/>
  <c r="T12" i="20"/>
  <c r="Y43" i="10"/>
  <c r="X12" i="20"/>
  <c r="Y10" i="20"/>
  <c r="M19" i="20"/>
  <c r="T34" i="20"/>
  <c r="P33" i="20"/>
  <c r="W44" i="10" s="1"/>
  <c r="Q35" i="20"/>
  <c r="G114" i="17"/>
  <c r="G124" i="17" s="1"/>
  <c r="D124" i="17"/>
  <c r="E124" i="17"/>
  <c r="C118" i="17"/>
  <c r="F114" i="17"/>
  <c r="F117" i="17"/>
  <c r="H18" i="1"/>
  <c r="C124" i="17"/>
  <c r="G118" i="17"/>
  <c r="D118" i="17"/>
  <c r="E118" i="17"/>
  <c r="Q34" i="20" l="1"/>
  <c r="U12" i="20"/>
  <c r="U18" i="20" s="1"/>
  <c r="T14" i="20"/>
  <c r="X14" i="20"/>
  <c r="Y12" i="20"/>
  <c r="Y18" i="20" s="1"/>
  <c r="T33" i="20"/>
  <c r="X34" i="20"/>
  <c r="U35" i="20"/>
  <c r="P31" i="20"/>
  <c r="F118" i="17"/>
  <c r="F124" i="17"/>
  <c r="M83" i="16"/>
  <c r="M82" i="16"/>
  <c r="G82" i="16"/>
  <c r="AB17" i="1" s="1"/>
  <c r="X17" i="1" s="1"/>
  <c r="G81" i="16"/>
  <c r="AB18" i="1" s="1"/>
  <c r="M79" i="16"/>
  <c r="K79" i="16"/>
  <c r="M78" i="16"/>
  <c r="G78" i="16"/>
  <c r="AB12" i="1" s="1"/>
  <c r="X12" i="1" s="1"/>
  <c r="G77" i="16"/>
  <c r="AB14" i="1" s="1"/>
  <c r="N43" i="16"/>
  <c r="M43" i="16"/>
  <c r="L43" i="16"/>
  <c r="K43" i="16"/>
  <c r="G43" i="16"/>
  <c r="F43" i="16"/>
  <c r="E43" i="16"/>
  <c r="D43" i="16"/>
  <c r="C43" i="16"/>
  <c r="N42" i="16"/>
  <c r="M42" i="16"/>
  <c r="L42" i="16"/>
  <c r="K42" i="16"/>
  <c r="G42" i="16"/>
  <c r="F42" i="16"/>
  <c r="E42" i="16"/>
  <c r="D42" i="16"/>
  <c r="C42" i="16"/>
  <c r="N41" i="16"/>
  <c r="K76" i="16" s="1"/>
  <c r="M41" i="16"/>
  <c r="L41" i="16"/>
  <c r="K41" i="16"/>
  <c r="G41" i="16"/>
  <c r="E76" i="16" s="1"/>
  <c r="F41" i="16"/>
  <c r="E41" i="16"/>
  <c r="D41" i="16"/>
  <c r="C41" i="16"/>
  <c r="N40" i="16"/>
  <c r="M40" i="16"/>
  <c r="L40" i="16"/>
  <c r="K40" i="16"/>
  <c r="G40" i="16"/>
  <c r="F40" i="16"/>
  <c r="E40" i="16"/>
  <c r="D40" i="16"/>
  <c r="C40" i="16"/>
  <c r="N39" i="16"/>
  <c r="M39" i="16"/>
  <c r="L39" i="16"/>
  <c r="K39" i="16"/>
  <c r="G39" i="16"/>
  <c r="F39" i="16"/>
  <c r="E39" i="16"/>
  <c r="D39" i="16"/>
  <c r="C39" i="16"/>
  <c r="N38" i="16"/>
  <c r="M38" i="16"/>
  <c r="L38" i="16"/>
  <c r="K38" i="16"/>
  <c r="G38" i="16"/>
  <c r="F38" i="16"/>
  <c r="E38" i="16"/>
  <c r="D38" i="16"/>
  <c r="C38" i="16"/>
  <c r="N37" i="16"/>
  <c r="M37" i="16"/>
  <c r="L37" i="16"/>
  <c r="K37" i="16"/>
  <c r="G37" i="16"/>
  <c r="F37" i="16"/>
  <c r="E37" i="16"/>
  <c r="D37" i="16"/>
  <c r="C37" i="16"/>
  <c r="N36" i="16"/>
  <c r="M36" i="16"/>
  <c r="L36" i="16"/>
  <c r="K36" i="16"/>
  <c r="G36" i="16"/>
  <c r="F36" i="16"/>
  <c r="E36" i="16"/>
  <c r="D36" i="16"/>
  <c r="C36" i="16"/>
  <c r="N35" i="16"/>
  <c r="M35" i="16"/>
  <c r="L35" i="16"/>
  <c r="K35" i="16"/>
  <c r="C35" i="16"/>
  <c r="N34" i="16"/>
  <c r="M34" i="16"/>
  <c r="L34" i="16"/>
  <c r="K34" i="16"/>
  <c r="G34" i="16"/>
  <c r="F34" i="16"/>
  <c r="E34" i="16"/>
  <c r="D34" i="16"/>
  <c r="C34" i="16"/>
  <c r="N33" i="16"/>
  <c r="K82" i="16" s="1"/>
  <c r="M33" i="16"/>
  <c r="L33" i="16"/>
  <c r="K33" i="16"/>
  <c r="G33" i="16"/>
  <c r="E81" i="16" s="1"/>
  <c r="F33" i="16"/>
  <c r="E33" i="16"/>
  <c r="D33" i="16"/>
  <c r="C33" i="16"/>
  <c r="N32" i="16"/>
  <c r="K83" i="16" s="1"/>
  <c r="M32" i="16"/>
  <c r="L32" i="16"/>
  <c r="K32" i="16"/>
  <c r="G32" i="16"/>
  <c r="E82" i="16" s="1"/>
  <c r="F32" i="16"/>
  <c r="E32" i="16"/>
  <c r="D32" i="16"/>
  <c r="C32" i="16"/>
  <c r="N31" i="16"/>
  <c r="M31" i="16"/>
  <c r="L31" i="16"/>
  <c r="K31" i="16"/>
  <c r="C31" i="16"/>
  <c r="N30" i="16"/>
  <c r="M30" i="16"/>
  <c r="L30" i="16"/>
  <c r="K30" i="16"/>
  <c r="G30" i="16"/>
  <c r="F30" i="16"/>
  <c r="E30" i="16"/>
  <c r="D30" i="16"/>
  <c r="C30" i="16"/>
  <c r="N29" i="16"/>
  <c r="M29" i="16"/>
  <c r="L29" i="16"/>
  <c r="K29" i="16"/>
  <c r="G29" i="16"/>
  <c r="F29" i="16"/>
  <c r="E29" i="16"/>
  <c r="D29" i="16"/>
  <c r="C29" i="16"/>
  <c r="N28" i="16"/>
  <c r="M28" i="16"/>
  <c r="L28" i="16"/>
  <c r="K28" i="16"/>
  <c r="G28" i="16"/>
  <c r="F28" i="16"/>
  <c r="E28" i="16"/>
  <c r="D28" i="16"/>
  <c r="C28" i="16"/>
  <c r="N27" i="16"/>
  <c r="K77" i="16" s="1"/>
  <c r="M27" i="16"/>
  <c r="L27" i="16"/>
  <c r="K27" i="16"/>
  <c r="C27" i="16"/>
  <c r="G13" i="16"/>
  <c r="G35" i="16" s="1"/>
  <c r="F13" i="16"/>
  <c r="F35" i="16" s="1"/>
  <c r="E13" i="16"/>
  <c r="E35" i="16" s="1"/>
  <c r="D13" i="16"/>
  <c r="D35" i="16" s="1"/>
  <c r="G9" i="16"/>
  <c r="G31" i="16" s="1"/>
  <c r="F9" i="16"/>
  <c r="F31" i="16" s="1"/>
  <c r="E9" i="16"/>
  <c r="E31" i="16" s="1"/>
  <c r="D9" i="16"/>
  <c r="D31" i="16" s="1"/>
  <c r="G5" i="16"/>
  <c r="G27" i="16" s="1"/>
  <c r="E77" i="16" s="1"/>
  <c r="F5" i="16"/>
  <c r="F27" i="16" s="1"/>
  <c r="E5" i="16"/>
  <c r="E27" i="16" s="1"/>
  <c r="D5" i="16"/>
  <c r="D27" i="16" s="1"/>
  <c r="Y19" i="20" l="1"/>
  <c r="Y13" i="20"/>
  <c r="Y16" i="20" s="1"/>
  <c r="Y39" i="10"/>
  <c r="Y38" i="10" s="1"/>
  <c r="Y41" i="10" s="1"/>
  <c r="U13" i="20"/>
  <c r="U16" i="20" s="1"/>
  <c r="X39" i="10"/>
  <c r="X38" i="10" s="1"/>
  <c r="X41" i="10" s="1"/>
  <c r="U19" i="20"/>
  <c r="U34" i="20"/>
  <c r="X44" i="10"/>
  <c r="X42" i="10" s="1"/>
  <c r="X45" i="10" s="1"/>
  <c r="P30" i="20"/>
  <c r="W48" i="10" s="1"/>
  <c r="T31" i="20"/>
  <c r="U32" i="20" s="1"/>
  <c r="X33" i="20"/>
  <c r="Q32" i="20"/>
  <c r="Y35" i="20"/>
  <c r="X18" i="1"/>
  <c r="E78" i="16"/>
  <c r="K78" i="16"/>
  <c r="X55" i="10" l="1"/>
  <c r="U17" i="20"/>
  <c r="Q31" i="20"/>
  <c r="Y55" i="10"/>
  <c r="Z24" i="10" s="1"/>
  <c r="Z28" i="10" s="1"/>
  <c r="Y17" i="20"/>
  <c r="Y34" i="20"/>
  <c r="Y44" i="10"/>
  <c r="Y42" i="10" s="1"/>
  <c r="Y45" i="10" s="1"/>
  <c r="T30" i="20"/>
  <c r="U31" i="20" s="1"/>
  <c r="X31" i="20"/>
  <c r="X30" i="20" s="1"/>
  <c r="Y48" i="10" s="1"/>
  <c r="Y46" i="10" s="1"/>
  <c r="Y49" i="10" s="1"/>
  <c r="P28" i="20"/>
  <c r="Q29" i="20" s="1"/>
  <c r="Q40" i="20" s="1"/>
  <c r="T41" i="11"/>
  <c r="S41" i="11"/>
  <c r="R41" i="11"/>
  <c r="T40" i="11"/>
  <c r="S40" i="11"/>
  <c r="Q40" i="11"/>
  <c r="R40" i="11" s="1"/>
  <c r="T39" i="11"/>
  <c r="S39" i="11"/>
  <c r="Q39" i="11"/>
  <c r="R39" i="11" s="1"/>
  <c r="T38" i="11"/>
  <c r="S38" i="11"/>
  <c r="Q38" i="11"/>
  <c r="P38" i="11" s="1"/>
  <c r="T37" i="11"/>
  <c r="S37" i="11"/>
  <c r="Q37" i="11"/>
  <c r="R37" i="11" s="1"/>
  <c r="T36" i="11"/>
  <c r="S36" i="11"/>
  <c r="Q36" i="11"/>
  <c r="R36" i="11" s="1"/>
  <c r="S35" i="11"/>
  <c r="Q35" i="11"/>
  <c r="P35" i="11" s="1"/>
  <c r="T34" i="11"/>
  <c r="S34" i="11"/>
  <c r="Q34" i="11"/>
  <c r="P34" i="11" s="1"/>
  <c r="T33" i="11"/>
  <c r="S33" i="11"/>
  <c r="Q33" i="11"/>
  <c r="R33" i="11" s="1"/>
  <c r="T32" i="11"/>
  <c r="S32" i="11"/>
  <c r="T31" i="11"/>
  <c r="S31" i="11"/>
  <c r="Q31" i="11"/>
  <c r="R31" i="11" s="1"/>
  <c r="T30" i="11"/>
  <c r="S30" i="11"/>
  <c r="Q30" i="11"/>
  <c r="R30" i="11" s="1"/>
  <c r="T29" i="11"/>
  <c r="S29" i="11"/>
  <c r="Q29" i="11"/>
  <c r="R29" i="11" s="1"/>
  <c r="T28" i="11"/>
  <c r="S28" i="11"/>
  <c r="Q28" i="11"/>
  <c r="R28" i="11" s="1"/>
  <c r="T27" i="11"/>
  <c r="S27" i="11"/>
  <c r="Q27" i="11"/>
  <c r="R27" i="11" s="1"/>
  <c r="T26" i="11"/>
  <c r="S26" i="11"/>
  <c r="Q26" i="11"/>
  <c r="P26" i="11" s="1"/>
  <c r="T25" i="11"/>
  <c r="S25" i="11"/>
  <c r="Q25" i="11"/>
  <c r="R25" i="11" s="1"/>
  <c r="T24" i="11"/>
  <c r="S24" i="11"/>
  <c r="Q24" i="11"/>
  <c r="R24" i="11" s="1"/>
  <c r="T23" i="11"/>
  <c r="S23" i="11"/>
  <c r="Q23" i="11"/>
  <c r="R23" i="11" s="1"/>
  <c r="T22" i="11"/>
  <c r="S22" i="11"/>
  <c r="Q22" i="11"/>
  <c r="R22" i="11" s="1"/>
  <c r="T21" i="11"/>
  <c r="S21" i="11"/>
  <c r="Q21" i="11"/>
  <c r="R21" i="11" s="1"/>
  <c r="T20" i="11"/>
  <c r="S20" i="11"/>
  <c r="Q20" i="11"/>
  <c r="R20" i="11" s="1"/>
  <c r="T19" i="11"/>
  <c r="S19" i="11"/>
  <c r="Q19" i="11"/>
  <c r="R19" i="11" s="1"/>
  <c r="T18" i="11"/>
  <c r="S18" i="11"/>
  <c r="Q18" i="11"/>
  <c r="P18" i="11" s="1"/>
  <c r="T17" i="11"/>
  <c r="S17" i="11"/>
  <c r="Q17" i="11"/>
  <c r="R17" i="11" s="1"/>
  <c r="T16" i="11"/>
  <c r="S16" i="11"/>
  <c r="Q16" i="11"/>
  <c r="R16" i="11" s="1"/>
  <c r="T15" i="11"/>
  <c r="S15" i="11"/>
  <c r="Q15" i="11"/>
  <c r="R15" i="11" s="1"/>
  <c r="T14" i="11"/>
  <c r="S14" i="11"/>
  <c r="Q14" i="11"/>
  <c r="R14" i="11" s="1"/>
  <c r="T13" i="11"/>
  <c r="S13" i="11"/>
  <c r="Q13" i="11"/>
  <c r="R13" i="11" s="1"/>
  <c r="T12" i="11"/>
  <c r="S12" i="11"/>
  <c r="Q12" i="11"/>
  <c r="R12" i="11" s="1"/>
  <c r="T11" i="11"/>
  <c r="S11" i="11"/>
  <c r="Q11" i="11"/>
  <c r="R11" i="11" s="1"/>
  <c r="T10" i="11"/>
  <c r="S10" i="11"/>
  <c r="Q10" i="11"/>
  <c r="R10" i="11" s="1"/>
  <c r="T9" i="11"/>
  <c r="S9" i="11"/>
  <c r="Q9" i="11"/>
  <c r="R9" i="11" s="1"/>
  <c r="T8" i="11"/>
  <c r="S8" i="11"/>
  <c r="Q8" i="11"/>
  <c r="R8" i="11" s="1"/>
  <c r="T7" i="11"/>
  <c r="S7" i="11"/>
  <c r="Q7" i="11"/>
  <c r="R7" i="11" s="1"/>
  <c r="T6" i="11"/>
  <c r="S6" i="11"/>
  <c r="Q6" i="11"/>
  <c r="R6" i="11" s="1"/>
  <c r="P41" i="11"/>
  <c r="P39" i="11"/>
  <c r="P25" i="11"/>
  <c r="P20" i="11"/>
  <c r="P17" i="11"/>
  <c r="P8" i="11"/>
  <c r="P10" i="11" l="1"/>
  <c r="P33" i="11"/>
  <c r="Q41" i="20"/>
  <c r="W56" i="10"/>
  <c r="T28" i="20"/>
  <c r="U29" i="20" s="1"/>
  <c r="U40" i="20" s="1"/>
  <c r="X48" i="10"/>
  <c r="X46" i="10" s="1"/>
  <c r="X49" i="10" s="1"/>
  <c r="Y32" i="20"/>
  <c r="Y31" i="20"/>
  <c r="X28" i="20"/>
  <c r="P27" i="20"/>
  <c r="W52" i="10" s="1"/>
  <c r="P36" i="11"/>
  <c r="P15" i="11"/>
  <c r="T47" i="11"/>
  <c r="P23" i="11"/>
  <c r="U38" i="11"/>
  <c r="P6" i="11"/>
  <c r="P11" i="11"/>
  <c r="P27" i="11"/>
  <c r="P37" i="11"/>
  <c r="U15" i="11"/>
  <c r="U23" i="11"/>
  <c r="U27" i="11"/>
  <c r="U31" i="11"/>
  <c r="P7" i="11"/>
  <c r="P14" i="11"/>
  <c r="P22" i="11"/>
  <c r="P31" i="11"/>
  <c r="U17" i="11"/>
  <c r="U25" i="11"/>
  <c r="S45" i="11"/>
  <c r="U33" i="11"/>
  <c r="U39" i="11"/>
  <c r="P16" i="11"/>
  <c r="P28" i="11"/>
  <c r="P12" i="11"/>
  <c r="P24" i="11"/>
  <c r="U19" i="11"/>
  <c r="P19" i="11"/>
  <c r="P30" i="11"/>
  <c r="U18" i="11"/>
  <c r="U34" i="11"/>
  <c r="U37" i="11"/>
  <c r="U26" i="11"/>
  <c r="P40" i="11"/>
  <c r="U16" i="11"/>
  <c r="U24" i="11"/>
  <c r="U36" i="11"/>
  <c r="U41" i="11"/>
  <c r="P9" i="11"/>
  <c r="P13" i="11"/>
  <c r="P21" i="11"/>
  <c r="P29" i="11"/>
  <c r="U13" i="11"/>
  <c r="U14" i="11"/>
  <c r="R18" i="11"/>
  <c r="U21" i="11"/>
  <c r="U22" i="11"/>
  <c r="R26" i="11"/>
  <c r="U29" i="11"/>
  <c r="U30" i="11"/>
  <c r="R34" i="11"/>
  <c r="R38" i="11"/>
  <c r="U40" i="11"/>
  <c r="U20" i="11"/>
  <c r="U28" i="11"/>
  <c r="Q45" i="11"/>
  <c r="U32" i="11"/>
  <c r="T27" i="20" l="1"/>
  <c r="U28" i="20" s="1"/>
  <c r="U42" i="20" s="1"/>
  <c r="U43" i="20" s="1"/>
  <c r="Q28" i="20"/>
  <c r="Q42" i="20" s="1"/>
  <c r="Q43" i="20" s="1"/>
  <c r="U41" i="20"/>
  <c r="X56" i="10"/>
  <c r="X54" i="10" s="1"/>
  <c r="X57" i="10" s="1"/>
  <c r="Y29" i="20"/>
  <c r="Y40" i="20" s="1"/>
  <c r="X27" i="20"/>
  <c r="P45" i="11"/>
  <c r="U47" i="11"/>
  <c r="R45" i="11"/>
  <c r="X52" i="10" l="1"/>
  <c r="X50" i="10" s="1"/>
  <c r="X53" i="10" s="1"/>
  <c r="Y28" i="20"/>
  <c r="Y42" i="20" s="1"/>
  <c r="Y43" i="20" s="1"/>
  <c r="Y52" i="10"/>
  <c r="Y50" i="10" s="1"/>
  <c r="Y53" i="10" s="1"/>
  <c r="Y41" i="20"/>
  <c r="Y56" i="10"/>
  <c r="F68" i="10"/>
  <c r="Z30" i="10" l="1"/>
  <c r="Z34" i="10" s="1"/>
  <c r="Y54" i="10"/>
  <c r="Y57" i="10" s="1"/>
  <c r="H9" i="1" l="1"/>
  <c r="AK11" i="10" l="1"/>
  <c r="AJ13" i="10"/>
  <c r="A1" i="3" l="1"/>
  <c r="J27" i="3"/>
  <c r="J26" i="3"/>
  <c r="J25" i="3"/>
  <c r="V5" i="10"/>
  <c r="F7" i="19" s="1"/>
  <c r="V7" i="10"/>
  <c r="F9" i="19" s="1"/>
  <c r="V6" i="10"/>
  <c r="F8" i="19" s="1"/>
  <c r="AK13" i="10" l="1"/>
  <c r="AK9" i="10"/>
  <c r="AK10" i="10"/>
  <c r="AK14" i="10"/>
  <c r="F10" i="19" l="1"/>
  <c r="AK12" i="10"/>
  <c r="AJ10" i="10"/>
  <c r="AJ9" i="10"/>
  <c r="AJ12" i="10"/>
  <c r="AJ14" i="10"/>
  <c r="W9" i="1"/>
  <c r="W7" i="1"/>
  <c r="W6" i="1"/>
  <c r="U9" i="10" l="1"/>
  <c r="AK15" i="10"/>
  <c r="Y6" i="1"/>
  <c r="W7" i="10"/>
  <c r="F14" i="19" s="1"/>
  <c r="Y7" i="1"/>
  <c r="W5" i="10"/>
  <c r="F12" i="19" s="1"/>
  <c r="Y9" i="1"/>
  <c r="W6" i="10"/>
  <c r="F13" i="19" s="1"/>
  <c r="A1" i="2"/>
  <c r="A1" i="1"/>
  <c r="V10" i="10" l="1"/>
  <c r="F11" i="19"/>
  <c r="U10" i="10"/>
  <c r="C5" i="20" s="1"/>
  <c r="F6" i="19"/>
  <c r="W10" i="10"/>
  <c r="P5" i="20" s="1"/>
  <c r="AK16" i="10"/>
  <c r="X6" i="1"/>
  <c r="X7" i="1"/>
  <c r="X9" i="1"/>
  <c r="W51" i="10" l="1"/>
  <c r="W50" i="10" s="1"/>
  <c r="W53" i="10" s="1"/>
  <c r="P6" i="20"/>
  <c r="D21" i="10"/>
  <c r="D22" i="10"/>
  <c r="D23" i="10"/>
  <c r="D20" i="10"/>
  <c r="U51" i="10"/>
  <c r="U50" i="10" s="1"/>
  <c r="U53" i="10" s="1"/>
  <c r="D24" i="10"/>
  <c r="P8" i="20" l="1"/>
  <c r="Q6" i="20"/>
  <c r="U46" i="10"/>
  <c r="U49" i="10" s="1"/>
  <c r="W47" i="10" l="1"/>
  <c r="W46" i="10" s="1"/>
  <c r="W49" i="10" s="1"/>
  <c r="P9" i="20"/>
  <c r="Q7" i="20"/>
  <c r="Q9" i="20" l="1"/>
  <c r="P11" i="20"/>
  <c r="W43" i="10" l="1"/>
  <c r="W42" i="10" s="1"/>
  <c r="W45" i="10" s="1"/>
  <c r="Q10" i="20"/>
  <c r="P12" i="20"/>
  <c r="Q12" i="20" l="1"/>
  <c r="Q18" i="20" s="1"/>
  <c r="P14" i="20"/>
  <c r="Q13" i="20" l="1"/>
  <c r="Q16" i="20" s="1"/>
  <c r="W39" i="10"/>
  <c r="W38" i="10" s="1"/>
  <c r="W41" i="10" s="1"/>
  <c r="Q19" i="20"/>
  <c r="Q17" i="20" l="1"/>
  <c r="W55" i="10"/>
  <c r="W54" i="10" s="1"/>
  <c r="W57" i="10" s="1"/>
  <c r="AN41" i="11" l="1"/>
  <c r="AS38" i="11" l="1"/>
  <c r="AS29" i="11"/>
  <c r="AS41" i="11" s="1"/>
  <c r="AU41" i="11" s="1"/>
  <c r="AP41" i="11" s="1"/>
  <c r="AS3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Casey Baldwin</author>
    <author>Conor Giorgi</author>
  </authors>
  <commentList>
    <comment ref="AM6" authorId="0" shapeId="0" xr:uid="{00000000-0006-0000-0000-000008000000}">
      <text>
        <r>
          <rPr>
            <b/>
            <sz val="9"/>
            <color indexed="81"/>
            <rFont val="Tahoma"/>
            <family val="2"/>
          </rPr>
          <t>UC workgroup:</t>
        </r>
        <r>
          <rPr>
            <sz val="9"/>
            <color indexed="81"/>
            <rFont val="Tahoma"/>
            <family val="2"/>
          </rPr>
          <t xml:space="preserve">
These came out quite similar to the overall % of historic for the columbia basin.  If the basin-wide current % of historic is approximately ~30%(+ or - 15%) (using the current escapement of 2.3 million and a historic abundance of 8-16 million</t>
        </r>
      </text>
    </comment>
    <comment ref="AL9" authorId="1" shapeId="0" xr:uid="{00000000-0006-0000-0000-00000C000000}">
      <text>
        <r>
          <rPr>
            <b/>
            <sz val="9"/>
            <color indexed="81"/>
            <rFont val="Tahoma"/>
            <family val="2"/>
          </rPr>
          <t>Conor Giorgi:</t>
        </r>
        <r>
          <rPr>
            <sz val="9"/>
            <color indexed="81"/>
            <rFont val="Tahoma"/>
            <family val="2"/>
          </rPr>
          <t xml:space="preserve">
STI EDT equilib abund for spokane river assessment units under BiOp scenario.</t>
        </r>
      </text>
    </comment>
    <comment ref="AL10" authorId="1" shapeId="0" xr:uid="{00000000-0006-0000-0000-00000D000000}">
      <text>
        <r>
          <rPr>
            <b/>
            <sz val="9"/>
            <color indexed="81"/>
            <rFont val="Tahoma"/>
            <family val="2"/>
          </rPr>
          <t>Conor Giorgi:</t>
        </r>
        <r>
          <rPr>
            <sz val="9"/>
            <color indexed="81"/>
            <rFont val="Tahoma"/>
            <family val="2"/>
          </rPr>
          <t xml:space="preserve">
STI EDT equilib abund for Hangman Creek assessment units under BiOp scenario.</t>
        </r>
      </text>
    </comment>
    <comment ref="AL12" authorId="1" shapeId="0" xr:uid="{00000000-0006-0000-0000-00000E000000}">
      <text>
        <r>
          <rPr>
            <b/>
            <sz val="9"/>
            <color indexed="81"/>
            <rFont val="Tahoma"/>
            <family val="2"/>
          </rPr>
          <t>Conor Giorgi:</t>
        </r>
        <r>
          <rPr>
            <sz val="9"/>
            <color indexed="81"/>
            <rFont val="Tahoma"/>
            <family val="2"/>
          </rPr>
          <t xml:space="preserve">
CCT EDT equilib abund under BiOp passage scenario. Since this is less than IP-based MAT, equilibrium abundance was assigned as low goal and MAT as medium goal.</t>
        </r>
      </text>
    </comment>
    <comment ref="AM12" authorId="1" shapeId="0" xr:uid="{00000000-0006-0000-0000-00000F000000}">
      <text>
        <r>
          <rPr>
            <b/>
            <sz val="9"/>
            <color indexed="81"/>
            <rFont val="Tahoma"/>
            <family val="2"/>
          </rPr>
          <t>Conor Giorgi:</t>
        </r>
        <r>
          <rPr>
            <sz val="9"/>
            <color indexed="81"/>
            <rFont val="Tahoma"/>
            <family val="2"/>
          </rPr>
          <t xml:space="preserve">
Amount of IP habitat falls within "Large" population size, associated MAT</t>
        </r>
      </text>
    </comment>
    <comment ref="AL13" authorId="1" shapeId="0" xr:uid="{00000000-0006-0000-0000-000011000000}">
      <text>
        <r>
          <rPr>
            <b/>
            <sz val="9"/>
            <color indexed="81"/>
            <rFont val="Tahoma"/>
            <family val="2"/>
          </rPr>
          <t>Conor Giorgi:</t>
        </r>
        <r>
          <rPr>
            <sz val="9"/>
            <color indexed="81"/>
            <rFont val="Tahoma"/>
            <family val="2"/>
          </rPr>
          <t xml:space="preserve">
STI EDT equilib abund for select Roosevelt Tribs = 17
ONA IP-based abundance for Christina Lake = 175; ALL CHINOOK, ONA DOES NOT SEPARATE BY RACE.</t>
        </r>
      </text>
    </comment>
    <comment ref="AL18" authorId="0" shapeId="0" xr:uid="{00000000-0006-0000-0000-000014000000}">
      <text>
        <r>
          <rPr>
            <b/>
            <sz val="9"/>
            <color indexed="81"/>
            <rFont val="Tahoma"/>
            <family val="2"/>
          </rPr>
          <t>Casey Baldwin:</t>
        </r>
        <r>
          <rPr>
            <sz val="9"/>
            <color indexed="81"/>
            <rFont val="Tahoma"/>
            <family val="2"/>
          </rPr>
          <t xml:space="preserve">
assumed pre-spawn mortality</t>
        </r>
      </text>
    </comment>
    <comment ref="AM18" authorId="0" shapeId="0" xr:uid="{00000000-0006-0000-0000-000015000000}">
      <text>
        <r>
          <rPr>
            <b/>
            <sz val="9"/>
            <color indexed="81"/>
            <rFont val="Tahoma"/>
            <family val="2"/>
          </rPr>
          <t>uc workgroup:</t>
        </r>
        <r>
          <rPr>
            <sz val="9"/>
            <color indexed="81"/>
            <rFont val="Tahoma"/>
            <family val="2"/>
          </rPr>
          <t xml:space="preserve">
These are coming in considerably less than the ~30% of historic, but considering where we are starting from and the challenges to getting the high potential goal it seems like a reasonable range from which to start the discussion</t>
        </r>
      </text>
    </comment>
    <comment ref="AL45" authorId="0" shapeId="0" xr:uid="{00000000-0006-0000-0000-00001F000000}">
      <text>
        <r>
          <rPr>
            <b/>
            <sz val="9"/>
            <color indexed="81"/>
            <rFont val="Tahoma"/>
            <family val="2"/>
          </rPr>
          <t>UC workgroup:</t>
        </r>
        <r>
          <rPr>
            <sz val="9"/>
            <color indexed="81"/>
            <rFont val="Tahoma"/>
            <family val="2"/>
          </rPr>
          <t xml:space="preserve">
USvOr sliding scale take limit, 5.5-17 is the treaty tribes, I think 6-19.5 covers non-treaty
</t>
        </r>
        <r>
          <rPr>
            <b/>
            <sz val="9"/>
            <color indexed="81"/>
            <rFont val="Tahoma"/>
            <family val="2"/>
          </rPr>
          <t>RB</t>
        </r>
        <r>
          <rPr>
            <sz val="9"/>
            <color indexed="81"/>
            <rFont val="Tahoma"/>
            <family val="2"/>
          </rPr>
          <t xml:space="preserve">: in 2008-2017 management agreement treaty tribe sliding scale is 5-14.3%. Non treat is ,0.5 - 2.7%. Tptal is &lt;5.5 - 17%. Ref: </t>
        </r>
      </text>
    </comment>
    <comment ref="AL46" authorId="0" shapeId="0" xr:uid="{00000000-0006-0000-0000-000020000000}">
      <text>
        <r>
          <rPr>
            <b/>
            <sz val="9"/>
            <color indexed="81"/>
            <rFont val="Tahoma"/>
            <family val="2"/>
          </rPr>
          <t>Casey Baldwin:</t>
        </r>
        <r>
          <rPr>
            <sz val="9"/>
            <color indexed="81"/>
            <rFont val="Tahoma"/>
            <family val="2"/>
          </rPr>
          <t xml:space="preserve">
this is the sliding scale take allowance for CCT based on the escapement at Wells Dam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I1" authorId="0" shapeId="0" xr:uid="{10E2CA24-1117-40A9-98BD-A580BEEA244D}">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1" authorId="0" shapeId="0" xr:uid="{4A648185-46AE-4436-82AB-37EEA043A6B6}">
      <text>
        <r>
          <rPr>
            <b/>
            <sz val="9"/>
            <color indexed="81"/>
            <rFont val="Tahoma"/>
            <family val="2"/>
          </rPr>
          <t>if applicable</t>
        </r>
      </text>
    </comment>
    <comment ref="L1" authorId="0" shapeId="0" xr:uid="{8C9D4A52-C6E9-44F3-8A65-1D1AA8FF0746}">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6" authorId="0" shapeId="0" xr:uid="{FDBED575-1BD3-4BE5-965D-2E3FA6EDA286}">
      <text>
        <r>
          <rPr>
            <b/>
            <sz val="9"/>
            <color indexed="81"/>
            <rFont val="Tahoma"/>
            <family val="2"/>
          </rPr>
          <t>solved to match actual</t>
        </r>
      </text>
    </comment>
    <comment ref="D9" authorId="0" shapeId="0" xr:uid="{5775C240-8DA8-473A-9CE4-3087DBA4DF84}">
      <text>
        <r>
          <rPr>
            <b/>
            <sz val="9"/>
            <color indexed="81"/>
            <rFont val="Tahoma"/>
            <family val="2"/>
          </rPr>
          <t>solved to match actual</t>
        </r>
      </text>
    </comment>
    <comment ref="D12" authorId="0" shapeId="0" xr:uid="{E69438C2-2ABC-4BAC-8754-C53E04FC5783}">
      <text>
        <r>
          <rPr>
            <b/>
            <sz val="9"/>
            <color indexed="81"/>
            <rFont val="Tahoma"/>
            <family val="2"/>
          </rPr>
          <t>Based on pinniped predation. Note that TAC CR mouth redturn and exploitation rates do not include a coversion for this</t>
        </r>
      </text>
    </comment>
    <comment ref="K12" authorId="0" shapeId="0" xr:uid="{319FCEA2-A7E6-458B-8825-B96D0FD44EA7}">
      <text>
        <r>
          <rPr>
            <b/>
            <sz val="9"/>
            <color indexed="81"/>
            <rFont val="Tahoma"/>
            <family val="2"/>
          </rPr>
          <t>Based on pinniped predation. Note that TAC CR mouth redturn and exploitation rates do not include a coversion for this</t>
        </r>
      </text>
    </comment>
    <comment ref="K34" authorId="0" shapeId="0" xr:uid="{E52C32E0-6FA5-4BDE-92A1-7FFA8D1F0BF9}">
      <text>
        <r>
          <rPr>
            <b/>
            <sz val="9"/>
            <color indexed="81"/>
            <rFont val="Tahoma"/>
            <family val="2"/>
          </rPr>
          <t>Based on pinniped predation. Note that TAC CR mouth redturn and exploitation rates do not include a coversion for this</t>
        </r>
      </text>
    </comment>
    <comment ref="T36" authorId="0" shapeId="0" xr:uid="{10EE1B49-B4F3-4664-A875-310B087DE8CF}">
      <text>
        <r>
          <rPr>
            <b/>
            <sz val="9"/>
            <color indexed="81"/>
            <rFont val="Tahoma"/>
            <family val="2"/>
          </rPr>
          <t>assume same SAR as current</t>
        </r>
      </text>
    </comment>
    <comment ref="X36" authorId="0" shapeId="0" xr:uid="{B300690B-0420-4FE7-BC00-86C9BF75BA1B}">
      <text>
        <r>
          <rPr>
            <b/>
            <sz val="9"/>
            <color indexed="81"/>
            <rFont val="Tahoma"/>
            <family val="2"/>
          </rPr>
          <t>assume same SAR as current</t>
        </r>
      </text>
    </comment>
    <comment ref="T37" authorId="0" shapeId="0" xr:uid="{12A0C691-CA5F-4AB4-A646-DAF01B69AE2B}">
      <text>
        <r>
          <rPr>
            <b/>
            <sz val="9"/>
            <color indexed="81"/>
            <rFont val="Tahoma"/>
            <family val="2"/>
          </rPr>
          <t>low end of anticipated range</t>
        </r>
      </text>
    </comment>
    <comment ref="X37" authorId="0" shapeId="0" xr:uid="{662F2DD8-AE50-4FEA-AD9B-D3449316D17B}">
      <text>
        <r>
          <rPr>
            <b/>
            <sz val="9"/>
            <color indexed="81"/>
            <rFont val="Tahoma"/>
            <family val="2"/>
          </rPr>
          <t>high end of anticipated range</t>
        </r>
      </text>
    </comment>
    <comment ref="Q41" authorId="0" shapeId="0" xr:uid="{7D43326E-1BC0-4DAF-870F-34CA07F85F5B}">
      <text>
        <r>
          <rPr>
            <b/>
            <sz val="9"/>
            <color indexed="81"/>
            <rFont val="Tahoma"/>
            <family val="2"/>
          </rPr>
          <t>assume no change in ER until after recovery goal achieved (continue to be limited by natural impacts)</t>
        </r>
      </text>
    </comment>
    <comment ref="U41" authorId="0" shapeId="0" xr:uid="{84074903-ACE9-4153-9AE8-32A0B80C5432}">
      <text>
        <r>
          <rPr>
            <b/>
            <sz val="9"/>
            <color indexed="81"/>
            <rFont val="Tahoma"/>
            <family val="2"/>
          </rPr>
          <t>assume about halfway between low and high values (in this case just used the same scalar as the wild</t>
        </r>
      </text>
    </comment>
    <comment ref="Y41" authorId="0" shapeId="0" xr:uid="{76D5864B-3AF8-4F98-951B-2B37A6C3E46E}">
      <text>
        <r>
          <rPr>
            <b/>
            <sz val="9"/>
            <color indexed="81"/>
            <rFont val="Tahoma"/>
            <family val="2"/>
          </rPr>
          <t>assume able to achieve 70% target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Ray Beamesderfer</author>
    <author>Conor Giorgi</author>
  </authors>
  <commentList>
    <comment ref="D5" authorId="0" shapeId="0" xr:uid="{00000000-0006-0000-0100-000001000000}">
      <text>
        <r>
          <rPr>
            <b/>
            <sz val="8"/>
            <color indexed="81"/>
            <rFont val="Tahoma"/>
            <family val="2"/>
          </rPr>
          <t>Recent 10-yr geometric meantaken from the NOAA 5 yr status review, 2015</t>
        </r>
      </text>
    </comment>
    <comment ref="F5" authorId="1" shapeId="0" xr:uid="{00000000-0006-0000-0100-000002000000}">
      <text>
        <r>
          <rPr>
            <b/>
            <sz val="9"/>
            <color indexed="81"/>
            <rFont val="Tahoma"/>
            <family val="2"/>
          </rPr>
          <t>Conor Giorgi:</t>
        </r>
        <r>
          <rPr>
            <sz val="9"/>
            <color indexed="81"/>
            <rFont val="Tahoma"/>
            <family val="2"/>
          </rPr>
          <t xml:space="preserve">
Estimated equilibrium abundance under current habitat conditions</t>
        </r>
      </text>
    </comment>
    <comment ref="I5" authorId="0" shapeId="0" xr:uid="{00000000-0006-0000-0100-000003000000}">
      <text>
        <r>
          <rPr>
            <b/>
            <sz val="8"/>
            <color indexed="81"/>
            <rFont val="Tahoma"/>
            <family val="2"/>
          </rPr>
          <t>Average/equilibrium abundance at high viability (e.g. minimum abundance threshold). Source: NMFS 2009 recovery plan</t>
        </r>
      </text>
    </comment>
    <comment ref="L5" authorId="0" shapeId="0" xr:uid="{00000000-0006-0000-0100-000004000000}">
      <text>
        <r>
          <rPr>
            <b/>
            <sz val="8"/>
            <color indexed="81"/>
            <rFont val="Tahoma"/>
            <family val="2"/>
          </rPr>
          <t>Source: NMFS 2009 Recovery Plan</t>
        </r>
      </text>
    </comment>
    <comment ref="M5" authorId="0" shapeId="0" xr:uid="{00000000-0006-0000-0100-000005000000}">
      <text>
        <r>
          <rPr>
            <b/>
            <sz val="8"/>
            <color indexed="81"/>
            <rFont val="Tahoma"/>
            <family val="2"/>
          </rPr>
          <t>Source: NMFS 2009 Recovery Plan</t>
        </r>
      </text>
    </comment>
    <comment ref="F7" authorId="1" shapeId="0" xr:uid="{00000000-0006-0000-0100-000006000000}">
      <text>
        <r>
          <rPr>
            <b/>
            <sz val="9"/>
            <color indexed="81"/>
            <rFont val="Tahoma"/>
            <family val="2"/>
          </rPr>
          <t>Conor Giorgi:</t>
        </r>
        <r>
          <rPr>
            <sz val="9"/>
            <color indexed="81"/>
            <rFont val="Tahoma"/>
            <family val="2"/>
          </rPr>
          <t xml:space="preserve">
EDT 2014 equilib. Abund. Under current conditions.
https://ecosystems.azurewebsites.net/hstr-methow/</t>
        </r>
      </text>
    </comment>
    <comment ref="G7" authorId="1" shapeId="0" xr:uid="{00000000-0006-0000-0100-000007000000}">
      <text>
        <r>
          <rPr>
            <b/>
            <sz val="9"/>
            <color indexed="81"/>
            <rFont val="Tahoma"/>
            <family val="2"/>
          </rPr>
          <t>Conor Giorgi:</t>
        </r>
        <r>
          <rPr>
            <sz val="9"/>
            <color indexed="81"/>
            <rFont val="Tahoma"/>
            <family val="2"/>
          </rPr>
          <t xml:space="preserve">
"True Template" Adult Abundance found in Table F16 in Appendix F1 of UCR Recovery Plan</t>
        </r>
      </text>
    </comment>
    <comment ref="F8" authorId="1" shapeId="0" xr:uid="{00000000-0006-0000-0100-000008000000}">
      <text>
        <r>
          <rPr>
            <b/>
            <sz val="9"/>
            <color indexed="81"/>
            <rFont val="Tahoma"/>
            <family val="2"/>
          </rPr>
          <t>Conor Giorgi:</t>
        </r>
        <r>
          <rPr>
            <sz val="9"/>
            <color indexed="81"/>
            <rFont val="Tahoma"/>
            <family val="2"/>
          </rPr>
          <t xml:space="preserve">
EDT US equilib. Abund  = 5960, canadian = 416
http://cctobmep.com/media/files/2013ChinookHabitatStatusandTrendReport_ElectronicOnly.pdf</t>
        </r>
      </text>
    </comment>
    <comment ref="W8" authorId="1" shapeId="0" xr:uid="{00000000-0006-0000-0100-000009000000}">
      <text>
        <r>
          <rPr>
            <b/>
            <sz val="9"/>
            <color indexed="81"/>
            <rFont val="Tahoma"/>
            <family val="2"/>
          </rPr>
          <t>Conor Giorgi:</t>
        </r>
        <r>
          <rPr>
            <sz val="9"/>
            <color indexed="81"/>
            <rFont val="Tahoma"/>
            <family val="2"/>
          </rPr>
          <t xml:space="preserve">
ICTRT 2007 Appendix B lists Okanogan an intermediate size for spring chinook with an associated MAT of 750</t>
        </r>
      </text>
    </comment>
    <comment ref="F9" authorId="1" shapeId="0" xr:uid="{00000000-0006-0000-0100-00000A000000}">
      <text>
        <r>
          <rPr>
            <b/>
            <sz val="9"/>
            <color indexed="81"/>
            <rFont val="Tahoma"/>
            <family val="2"/>
          </rPr>
          <t>Conor Giorgi:</t>
        </r>
        <r>
          <rPr>
            <sz val="9"/>
            <color indexed="81"/>
            <rFont val="Tahoma"/>
            <family val="2"/>
          </rPr>
          <t xml:space="preserve">
UC Recovery Plan Appendix F1 EDT results (Abundance from Scenario 1- with restoration)</t>
        </r>
      </text>
    </comment>
    <comment ref="G9" authorId="1" shapeId="0" xr:uid="{00000000-0006-0000-0100-00000B000000}">
      <text>
        <r>
          <rPr>
            <b/>
            <sz val="9"/>
            <color indexed="81"/>
            <rFont val="Tahoma"/>
            <family val="2"/>
          </rPr>
          <t>Conor Giorgi:</t>
        </r>
        <r>
          <rPr>
            <sz val="9"/>
            <color indexed="81"/>
            <rFont val="Tahoma"/>
            <family val="2"/>
          </rPr>
          <t xml:space="preserve">
"True Template" Adult Abundance found in Table F15 in Appendix F1 of UCR Recovery Plan</t>
        </r>
      </text>
    </comment>
    <comment ref="H9" authorId="0" shapeId="0" xr:uid="{00000000-0006-0000-0100-00000C000000}">
      <text>
        <r>
          <rPr>
            <b/>
            <sz val="8"/>
            <color indexed="81"/>
            <rFont val="Tahoma"/>
            <family val="2"/>
          </rPr>
          <t>Ray Beamesderfer:</t>
        </r>
        <r>
          <rPr>
            <sz val="8"/>
            <color indexed="81"/>
            <rFont val="Tahoma"/>
            <family val="2"/>
          </rPr>
          <t xml:space="preserve">
assumed half of 41,000 referenced in recovery plan to Mullan et al. 1992 including spring and summer run</t>
        </r>
      </text>
    </comment>
    <comment ref="F12" authorId="1" shapeId="0" xr:uid="{00000000-0006-0000-0100-00000D000000}">
      <text>
        <r>
          <rPr>
            <b/>
            <sz val="9"/>
            <color indexed="81"/>
            <rFont val="Tahoma"/>
            <family val="2"/>
          </rPr>
          <t>Conor Giorgi:</t>
        </r>
        <r>
          <rPr>
            <sz val="9"/>
            <color indexed="81"/>
            <rFont val="Tahoma"/>
            <family val="2"/>
          </rPr>
          <t xml:space="preserve">
Not all potential tributaries were modeled.</t>
        </r>
      </text>
    </comment>
    <comment ref="F17" authorId="1" shapeId="0" xr:uid="{00000000-0006-0000-0100-00000E000000}">
      <text>
        <r>
          <rPr>
            <b/>
            <sz val="9"/>
            <color indexed="81"/>
            <rFont val="Tahoma"/>
            <family val="2"/>
          </rPr>
          <t>Conor Giorgi:</t>
        </r>
        <r>
          <rPr>
            <sz val="9"/>
            <color indexed="81"/>
            <rFont val="Tahoma"/>
            <family val="2"/>
          </rPr>
          <t xml:space="preserve">
STI EDT analysis equilibrium abundance</t>
        </r>
      </text>
    </comment>
    <comment ref="F18" authorId="1" shapeId="0" xr:uid="{00000000-0006-0000-0100-00000F000000}">
      <text>
        <r>
          <rPr>
            <b/>
            <sz val="9"/>
            <color indexed="81"/>
            <rFont val="Tahoma"/>
            <family val="2"/>
          </rPr>
          <t>Conor Giorgi:</t>
        </r>
        <r>
          <rPr>
            <sz val="9"/>
            <color indexed="81"/>
            <rFont val="Tahoma"/>
            <family val="2"/>
          </rPr>
          <t xml:space="preserve">
STI EDT analysis equilibrium abundance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Conor Giorgi</author>
    <author>Casey Baldwin</author>
  </authors>
  <commentList>
    <comment ref="A12" authorId="0" shapeId="0" xr:uid="{00000000-0006-0000-0200-000001000000}">
      <text>
        <r>
          <rPr>
            <b/>
            <sz val="9"/>
            <color indexed="81"/>
            <rFont val="Tahoma"/>
            <family val="2"/>
          </rPr>
          <t>Conor Giorgi:</t>
        </r>
        <r>
          <rPr>
            <sz val="9"/>
            <color indexed="81"/>
            <rFont val="Tahoma"/>
            <family val="2"/>
          </rPr>
          <t xml:space="preserve">
Walker's 1985 estimates attributed higher populations for the tribes and higher per capita consumption rates, which were based upon historical catch records and ethnographic data.
</t>
        </r>
      </text>
    </comment>
    <comment ref="C119" authorId="0" shapeId="0" xr:uid="{00000000-0006-0000-0200-000002000000}">
      <text>
        <r>
          <rPr>
            <b/>
            <sz val="9"/>
            <color indexed="81"/>
            <rFont val="Tahoma"/>
            <family val="2"/>
          </rPr>
          <t>Conor Giorgi:</t>
        </r>
        <r>
          <rPr>
            <sz val="9"/>
            <color indexed="81"/>
            <rFont val="Tahoma"/>
            <family val="2"/>
          </rPr>
          <t xml:space="preserve">
Used harvest numbers from Colville - Okanogan and spread it proportionally across Wenatchee, Entiat, Methow, and Okanogan according to stream kilometers (found in ICTRT 2005).</t>
        </r>
      </text>
    </comment>
    <comment ref="A124" authorId="1" shapeId="0" xr:uid="{00000000-0006-0000-0200-000003000000}">
      <text>
        <r>
          <rPr>
            <b/>
            <sz val="9"/>
            <color indexed="81"/>
            <rFont val="Tahoma"/>
            <family val="2"/>
          </rPr>
          <t>Casey Baldwin:</t>
        </r>
        <r>
          <rPr>
            <sz val="9"/>
            <color indexed="81"/>
            <rFont val="Tahoma"/>
            <family val="2"/>
          </rPr>
          <t xml:space="preserve">
changed each of these labels to match the species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C11" authorId="0" shapeId="0" xr:uid="{00000000-0006-0000-0400-000001000000}">
      <text>
        <r>
          <rPr>
            <b/>
            <sz val="9"/>
            <color indexed="81"/>
            <rFont val="Tahoma"/>
            <family val="2"/>
          </rPr>
          <t xml:space="preserve">Casey Baldwin:
</t>
        </r>
        <r>
          <rPr>
            <sz val="9"/>
            <color indexed="81"/>
            <rFont val="Tahoma"/>
            <family val="2"/>
          </rPr>
          <t>will depend on harvest allocation agreements, for now Assume 50% (treaty non-treaty) of 50% (upriver downriver) of 50% (blocked area sharing) = 12.5%</t>
        </r>
        <r>
          <rPr>
            <sz val="9"/>
            <color indexed="81"/>
            <rFont val="Tahoma"/>
            <family val="2"/>
          </rPr>
          <t xml:space="preserve">
</t>
        </r>
      </text>
    </comment>
    <comment ref="C30" authorId="0" shapeId="0" xr:uid="{00000000-0006-0000-0400-000002000000}">
      <text>
        <r>
          <rPr>
            <b/>
            <sz val="9"/>
            <color indexed="81"/>
            <rFont val="Tahoma"/>
            <family val="2"/>
          </rPr>
          <t>Conor Giorgi:</t>
        </r>
        <r>
          <rPr>
            <sz val="9"/>
            <color indexed="81"/>
            <rFont val="Tahoma"/>
            <family val="2"/>
          </rPr>
          <t xml:space="preserve">
Original value provided in Scholz et al. 1985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P21" authorId="0" shapeId="0" xr:uid="{00000000-0006-0000-0500-000001000000}">
      <text>
        <r>
          <rPr>
            <b/>
            <sz val="8"/>
            <color indexed="81"/>
            <rFont val="Tahoma"/>
            <family val="2"/>
          </rPr>
          <t>Ray Beamesderfer:</t>
        </r>
        <r>
          <rPr>
            <sz val="8"/>
            <color indexed="81"/>
            <rFont val="Tahoma"/>
            <family val="2"/>
          </rPr>
          <t xml:space="preserve">
placeholder</t>
        </r>
      </text>
    </comment>
    <comment ref="R21" authorId="0" shapeId="0" xr:uid="{00000000-0006-0000-0500-000002000000}">
      <text>
        <r>
          <rPr>
            <b/>
            <sz val="8"/>
            <color indexed="81"/>
            <rFont val="Tahoma"/>
            <family val="2"/>
          </rPr>
          <t>Ray Beamesderfer:</t>
        </r>
        <r>
          <rPr>
            <sz val="8"/>
            <color indexed="81"/>
            <rFont val="Tahoma"/>
            <family val="2"/>
          </rPr>
          <t xml:space="preserve">
placeholder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Conor Giorgi</author>
  </authors>
  <commentList>
    <comment ref="N14" authorId="0" shapeId="0" xr:uid="{00000000-0006-0000-0600-000001000000}">
      <text>
        <r>
          <rPr>
            <b/>
            <sz val="9"/>
            <color indexed="81"/>
            <rFont val="Tahoma"/>
            <family val="2"/>
          </rPr>
          <t>Conor Giorgi:</t>
        </r>
        <r>
          <rPr>
            <sz val="9"/>
            <color indexed="81"/>
            <rFont val="Tahoma"/>
            <family val="2"/>
          </rPr>
          <t xml:space="preserve">
Production required to meet 5% of regional needs.</t>
        </r>
      </text>
    </comment>
    <comment ref="O14" authorId="0" shapeId="0" xr:uid="{00000000-0006-0000-0600-000002000000}">
      <text>
        <r>
          <rPr>
            <b/>
            <sz val="9"/>
            <color indexed="81"/>
            <rFont val="Tahoma"/>
            <family val="2"/>
          </rPr>
          <t>Conor Giorgi:</t>
        </r>
        <r>
          <rPr>
            <sz val="9"/>
            <color indexed="81"/>
            <rFont val="Tahoma"/>
            <family val="2"/>
          </rPr>
          <t xml:space="preserve">
Production required to meet 33% of regional needs</t>
        </r>
      </text>
    </comment>
    <comment ref="P14" authorId="0" shapeId="0" xr:uid="{00000000-0006-0000-0600-000003000000}">
      <text>
        <r>
          <rPr>
            <b/>
            <sz val="9"/>
            <color indexed="81"/>
            <rFont val="Tahoma"/>
            <family val="2"/>
          </rPr>
          <t>Conor Giorgi:</t>
        </r>
        <r>
          <rPr>
            <sz val="9"/>
            <color indexed="81"/>
            <rFont val="Tahoma"/>
            <family val="2"/>
          </rPr>
          <t xml:space="preserve">
Production required to meet 100% of regional needs.</t>
        </r>
      </text>
    </comment>
  </commentList>
</comments>
</file>

<file path=xl/sharedStrings.xml><?xml version="1.0" encoding="utf-8"?>
<sst xmlns="http://schemas.openxmlformats.org/spreadsheetml/2006/main" count="1320" uniqueCount="453">
  <si>
    <t xml:space="preserve">Quantitative sustainability reference values for (prototype) stock of Columbia R. Salmon and Steelhead. Sustainability includes conservation, viability, ESA recovery, and ecological/ecosystem function. </t>
  </si>
  <si>
    <t>Population</t>
  </si>
  <si>
    <t>Major Population Group</t>
  </si>
  <si>
    <t>Current</t>
  </si>
  <si>
    <t>Historical</t>
  </si>
  <si>
    <t>Abundance</t>
  </si>
  <si>
    <t>Metric</t>
  </si>
  <si>
    <t>Reference Values</t>
  </si>
  <si>
    <t>Capacity</t>
  </si>
  <si>
    <t>Potential</t>
  </si>
  <si>
    <t>Existing Goals</t>
  </si>
  <si>
    <t>Viable</t>
  </si>
  <si>
    <t>Tribal</t>
  </si>
  <si>
    <t>State</t>
  </si>
  <si>
    <t>Totals</t>
  </si>
  <si>
    <t>NPPC database</t>
  </si>
  <si>
    <t>Low</t>
  </si>
  <si>
    <t>Med</t>
  </si>
  <si>
    <t>High</t>
  </si>
  <si>
    <t>Delisting</t>
  </si>
  <si>
    <t>Rebuilding Expl. Rate</t>
  </si>
  <si>
    <r>
      <t>Optimum Yield</t>
    </r>
    <r>
      <rPr>
        <b/>
        <vertAlign val="superscript"/>
        <sz val="11"/>
        <color theme="1"/>
        <rFont val="Calibri"/>
        <family val="2"/>
        <scheme val="minor"/>
      </rPr>
      <t>b</t>
    </r>
  </si>
  <si>
    <t>PSC</t>
  </si>
  <si>
    <t>PFMC</t>
  </si>
  <si>
    <t>USvOR</t>
  </si>
  <si>
    <t>Numbers</t>
  </si>
  <si>
    <t>Quantitative fishery reference values for (prototype) stock of Columbia R. Salmon and Steelhead.</t>
  </si>
  <si>
    <r>
      <t>Max. Yield</t>
    </r>
    <r>
      <rPr>
        <b/>
        <vertAlign val="superscript"/>
        <sz val="11"/>
        <color theme="1"/>
        <rFont val="Calibri"/>
        <family val="2"/>
        <scheme val="minor"/>
      </rPr>
      <t>c</t>
    </r>
  </si>
  <si>
    <t>Fishery</t>
  </si>
  <si>
    <t>Terminal tribal</t>
  </si>
  <si>
    <t>Terminal sport</t>
  </si>
  <si>
    <t>Zone 6 tribal</t>
  </si>
  <si>
    <t>UpR. sport</t>
  </si>
  <si>
    <t>LCR comm.</t>
  </si>
  <si>
    <t>LCR sport</t>
  </si>
  <si>
    <t>US Ocean</t>
  </si>
  <si>
    <t>AK/CA</t>
  </si>
  <si>
    <t>Metrics</t>
  </si>
  <si>
    <t>Harvest (Natl.)</t>
  </si>
  <si>
    <t>Harvest (Hat.)</t>
  </si>
  <si>
    <t>Impact rate (Natl.)</t>
  </si>
  <si>
    <t>Impact rate (Hat.)</t>
  </si>
  <si>
    <t>Total</t>
  </si>
  <si>
    <t>--</t>
  </si>
  <si>
    <t>Production</t>
  </si>
  <si>
    <t>Return</t>
  </si>
  <si>
    <t>Broodstock</t>
  </si>
  <si>
    <t>Quantitative mitigation reference values (including hatcheries) for (prototype) stock of Columbia R. Salmon and Steelhead.</t>
  </si>
  <si>
    <t>Viability</t>
  </si>
  <si>
    <t>Year</t>
  </si>
  <si>
    <t>Wild</t>
  </si>
  <si>
    <t>Hatchery</t>
  </si>
  <si>
    <t>Releases</t>
  </si>
  <si>
    <t>Location</t>
  </si>
  <si>
    <t>Program</t>
  </si>
  <si>
    <t>(US v OR)</t>
  </si>
  <si>
    <t>Rec Plan</t>
  </si>
  <si>
    <t>CPB  Options</t>
  </si>
  <si>
    <t>MPG</t>
  </si>
  <si>
    <t>Potential Goal Range</t>
  </si>
  <si>
    <t>v MAT</t>
  </si>
  <si>
    <t>Subbasin Plan</t>
  </si>
  <si>
    <t>Spnrs</t>
  </si>
  <si>
    <t>Col R</t>
  </si>
  <si>
    <t>(3 yr avg)</t>
  </si>
  <si>
    <t>(40 yr)</t>
  </si>
  <si>
    <t>For Plot</t>
  </si>
  <si>
    <t>Location (Program)</t>
  </si>
  <si>
    <t>Brood</t>
  </si>
  <si>
    <t>Natural Production</t>
  </si>
  <si>
    <t>SAR</t>
  </si>
  <si>
    <t>Adult rtn</t>
  </si>
  <si>
    <t>Harvest</t>
  </si>
  <si>
    <t>For plot</t>
  </si>
  <si>
    <t>Goal Range Totals)</t>
  </si>
  <si>
    <t>TBD</t>
  </si>
  <si>
    <t>Terminal</t>
  </si>
  <si>
    <t>Long term</t>
  </si>
  <si>
    <t>Avg</t>
  </si>
  <si>
    <t>Rtn goal</t>
  </si>
  <si>
    <t>Fisheries / Harvest</t>
  </si>
  <si>
    <t>Recent</t>
  </si>
  <si>
    <t>Methow</t>
  </si>
  <si>
    <t>Wenatchee</t>
  </si>
  <si>
    <t>Entiat</t>
  </si>
  <si>
    <t>Okanogan</t>
  </si>
  <si>
    <t>Sanpoil</t>
  </si>
  <si>
    <t>Kettle/Colville</t>
  </si>
  <si>
    <t>Kootenay</t>
  </si>
  <si>
    <t>Spokane</t>
  </si>
  <si>
    <t>Hangman Cr.</t>
  </si>
  <si>
    <t>Yearlings</t>
  </si>
  <si>
    <t>Grand Total</t>
  </si>
  <si>
    <t>North Cascades</t>
  </si>
  <si>
    <t>Entiat River</t>
  </si>
  <si>
    <t>Methow River</t>
  </si>
  <si>
    <t>Okanogan River</t>
  </si>
  <si>
    <t>Wenatchee River</t>
  </si>
  <si>
    <t>Kettle River</t>
  </si>
  <si>
    <t>Kootenay River</t>
  </si>
  <si>
    <t>Sanpoil River</t>
  </si>
  <si>
    <t>Hangman Creek</t>
  </si>
  <si>
    <t>Spokane River</t>
  </si>
  <si>
    <t>N Cascades</t>
  </si>
  <si>
    <t>ESA: Threatened</t>
  </si>
  <si>
    <t>Status</t>
  </si>
  <si>
    <t>Total spawners</t>
  </si>
  <si>
    <t>Wild/Natural</t>
  </si>
  <si>
    <t>Sum of NumReleased</t>
  </si>
  <si>
    <t>Column Labels</t>
  </si>
  <si>
    <t>Row Labels</t>
  </si>
  <si>
    <t>From FPC database</t>
  </si>
  <si>
    <t>Ocean</t>
  </si>
  <si>
    <t>Subtotal</t>
  </si>
  <si>
    <t>@ Columbia R Mouth</t>
  </si>
  <si>
    <t>Upper Columbia River Spring Chinook</t>
  </si>
  <si>
    <t>Life History: Spring run, Stream-rearing</t>
  </si>
  <si>
    <t>Far Upper Columbia</t>
  </si>
  <si>
    <t>Far Upper Columbia R</t>
  </si>
  <si>
    <t>Wells Pool</t>
  </si>
  <si>
    <t>Col R (Wells pool)</t>
  </si>
  <si>
    <t>5.5-17%</t>
  </si>
  <si>
    <t>Table 8.   Estimated Numbers of Adult Upper Columbia Wild Spring Chinook Entering the Columbia River.</t>
  </si>
  <si>
    <t>Return to Columbia River</t>
  </si>
  <si>
    <t>Non-Indian</t>
  </si>
  <si>
    <t>Treaty</t>
  </si>
  <si>
    <r>
      <t>Wild Catch</t>
    </r>
    <r>
      <rPr>
        <i/>
        <sz val="7"/>
        <color indexed="8"/>
        <rFont val="Times New Roman"/>
        <family val="1"/>
        <charset val="204"/>
      </rPr>
      <t>1</t>
    </r>
  </si>
  <si>
    <r>
      <t>Wild Catch</t>
    </r>
    <r>
      <rPr>
        <i/>
        <sz val="7"/>
        <color indexed="8"/>
        <rFont val="Times New Roman"/>
        <family val="1"/>
        <charset val="204"/>
      </rPr>
      <t>2</t>
    </r>
  </si>
  <si>
    <t>Wild Catch</t>
  </si>
  <si>
    <r>
      <t>Passage Loss</t>
    </r>
    <r>
      <rPr>
        <i/>
        <sz val="7"/>
        <color indexed="8"/>
        <rFont val="Times New Roman"/>
        <family val="1"/>
        <charset val="204"/>
      </rPr>
      <t>3</t>
    </r>
  </si>
  <si>
    <r>
      <t>Escapement</t>
    </r>
    <r>
      <rPr>
        <i/>
        <sz val="7"/>
        <color indexed="8"/>
        <rFont val="Times New Roman"/>
        <family val="1"/>
        <charset val="204"/>
      </rPr>
      <t>4</t>
    </r>
  </si>
  <si>
    <t>No.</t>
  </si>
  <si>
    <t>% of Run</t>
  </si>
  <si>
    <r>
      <t xml:space="preserve">1.     </t>
    </r>
    <r>
      <rPr>
        <i/>
        <sz val="10"/>
        <color indexed="8"/>
        <rFont val="Times New Roman"/>
        <family val="1"/>
        <charset val="204"/>
      </rPr>
      <t>Includes  incidental  release  mortalities  in  mainstem  recreational  and  commercial  fisheries.     Includes Wanapum tribal harvest.</t>
    </r>
  </si>
  <si>
    <r>
      <t xml:space="preserve">2.     </t>
    </r>
    <r>
      <rPr>
        <i/>
        <sz val="10"/>
        <color indexed="8"/>
        <rFont val="Times New Roman"/>
        <family val="1"/>
        <charset val="204"/>
      </rPr>
      <t>Since 1982 C&amp;S catch includes gill net, dip net and hook and line.   Includes harvest downstream of BON from C&amp;S fishery.</t>
    </r>
  </si>
  <si>
    <r>
      <t xml:space="preserve">3.     </t>
    </r>
    <r>
      <rPr>
        <i/>
        <sz val="10"/>
        <color indexed="8"/>
        <rFont val="Times New Roman"/>
        <family val="1"/>
        <charset val="204"/>
      </rPr>
      <t>Bonneville Dam through McNary Dam: calculated by Zone 6 escapement minus Rock Island Dam passage</t>
    </r>
    <r>
      <rPr>
        <sz val="10"/>
        <color indexed="8"/>
        <rFont val="Arial"/>
        <family val="1"/>
        <charset val="204"/>
      </rPr>
      <t>.</t>
    </r>
  </si>
  <si>
    <r>
      <t xml:space="preserve">4.     </t>
    </r>
    <r>
      <rPr>
        <i/>
        <sz val="10"/>
        <color indexed="8"/>
        <rFont val="Times New Roman"/>
        <family val="1"/>
        <charset val="204"/>
      </rPr>
      <t>Estimated Rock Island Dam passage</t>
    </r>
    <r>
      <rPr>
        <b/>
        <i/>
        <sz val="10"/>
        <color indexed="8"/>
        <rFont val="Times New Roman"/>
        <family val="1"/>
        <charset val="204"/>
      </rPr>
      <t>.</t>
    </r>
  </si>
  <si>
    <t>Joint staff report</t>
  </si>
  <si>
    <t>10-yr avg</t>
  </si>
  <si>
    <t>LCR comm. &amp; sport</t>
  </si>
  <si>
    <t>UC Total</t>
  </si>
  <si>
    <t>OKA (Okanogan)</t>
  </si>
  <si>
    <t>MET (Methow)</t>
  </si>
  <si>
    <t>ENT (Entiat)</t>
  </si>
  <si>
    <t>WEN (Wenatchee)</t>
  </si>
  <si>
    <t>UC</t>
  </si>
  <si>
    <t>Blocked Area Total</t>
  </si>
  <si>
    <t>SP Total</t>
  </si>
  <si>
    <t>HAN (Hangman)</t>
  </si>
  <si>
    <t>MAI (Mainstem)</t>
  </si>
  <si>
    <t>SP</t>
  </si>
  <si>
    <t>AC Total</t>
  </si>
  <si>
    <t>SAN (Sanpoil)</t>
  </si>
  <si>
    <t>SP/K/C</t>
  </si>
  <si>
    <t>Catch = 33%</t>
  </si>
  <si>
    <t>Catch = 50%</t>
  </si>
  <si>
    <t>Catch = 66%</t>
  </si>
  <si>
    <t>Catch = 85%</t>
  </si>
  <si>
    <t>Estimated Tribal Harvest</t>
  </si>
  <si>
    <t>UCR Total Spring Chinook</t>
  </si>
  <si>
    <t>Steelhead</t>
  </si>
  <si>
    <t>Sockeye</t>
  </si>
  <si>
    <t>Coho</t>
  </si>
  <si>
    <t>Fall Chinook</t>
  </si>
  <si>
    <t>Summer Chinook</t>
  </si>
  <si>
    <t>Spring Chinook</t>
  </si>
  <si>
    <t>All Chinook</t>
  </si>
  <si>
    <t>Estimated Harvest from Tribes (# of fish)</t>
  </si>
  <si>
    <t>Species</t>
  </si>
  <si>
    <t>Similar to Table 3.8 in Scholz et al., run estimates based on various catch rates applied to harvest estimates updated with values for entire Upper Columbia River.</t>
  </si>
  <si>
    <t>Pend d'Oreille</t>
  </si>
  <si>
    <t>Lakes</t>
  </si>
  <si>
    <t>Kootenai</t>
  </si>
  <si>
    <t>Kalispel</t>
  </si>
  <si>
    <t>Flathead</t>
  </si>
  <si>
    <t>CCT- Kettle Falls</t>
  </si>
  <si>
    <t>CCT- Sanpoil, Nespelem</t>
  </si>
  <si>
    <t>CCT- Okan., Met., Wen.</t>
  </si>
  <si>
    <t>Coeur d'Alene</t>
  </si>
  <si>
    <t>Total Chinook</t>
  </si>
  <si>
    <t>Tribe</t>
  </si>
  <si>
    <t>Total (# of fish)</t>
  </si>
  <si>
    <t>Historic Harvest by Species (# of fish)</t>
  </si>
  <si>
    <t>CCT- Okanogan</t>
  </si>
  <si>
    <t>Total (lbs)</t>
  </si>
  <si>
    <t>Harvest by Species (lbs)</t>
  </si>
  <si>
    <t>Tribal Consumption (lbs)</t>
  </si>
  <si>
    <t>Average Weight</t>
  </si>
  <si>
    <t>Scholz et al. unlabeled table on pg. 78 (proportion of fish harvested in UCR).</t>
  </si>
  <si>
    <t>Fall</t>
  </si>
  <si>
    <t>Summer</t>
  </si>
  <si>
    <t>Spring</t>
  </si>
  <si>
    <t>% of catch</t>
  </si>
  <si>
    <t>Race</t>
  </si>
  <si>
    <t>Historic Harvest/Consumption (lbs)</t>
  </si>
  <si>
    <t>Relevant salmon/sthd consumption data using Walker (1985) estimates from Scholz et al. Table 3.3 (pg. 75)</t>
  </si>
  <si>
    <t>Most tables in NPPC 1986, which are derived from previously published historic run size reports, have summer chinook composing approximately 50% of the total chinook run.</t>
  </si>
  <si>
    <t>Historical harvest was calculated using values from Scholz et al. 1985 Technical Report #2 and NPPC 1986.  Proportion of UCR harvest, by species, was found in Scholz (pg. 78).  Proportion of Chinook harvest was further broken by run according to run-specific harvest totals found in NPCC 1986 (Tables 3 &amp; 4 of that document). Species &amp; run specific anadromous fish consumption from Table 3.3 (Scholz, pg. 75) were broken down for each tribe by species.  The pounds of species consumed were divided by the species' average weight to get a number of fish consumed by each tribe.  Tribal catches were assigned to geographically appropriate major population groups.  The capture efficiencies of 85% 66%, 50%, and 33% were applied to the catches within the MPGs to estimate numbers of returning adults.</t>
  </si>
  <si>
    <t>Mainstem Columbia</t>
  </si>
  <si>
    <t>Rufus Woods</t>
  </si>
  <si>
    <t>Transboundary</t>
  </si>
  <si>
    <t>Headwaters</t>
  </si>
  <si>
    <t>Far Upper CR</t>
  </si>
  <si>
    <t>Harvest-Based</t>
  </si>
  <si>
    <t>NA</t>
  </si>
  <si>
    <t>TBD (&lt;100)</t>
  </si>
  <si>
    <t>Current Sliding scale</t>
  </si>
  <si>
    <t>2-6%</t>
  </si>
  <si>
    <t>Assume wide range of potential for terminal MSF, with adult management at structures it could be even higher</t>
  </si>
  <si>
    <t>6-19.5%</t>
  </si>
  <si>
    <t>ONA</t>
  </si>
  <si>
    <t>Ktunaxa</t>
  </si>
  <si>
    <t>Colville</t>
  </si>
  <si>
    <t># Steelhead</t>
  </si>
  <si>
    <t># Sockeye</t>
  </si>
  <si>
    <t># Coho</t>
  </si>
  <si>
    <t># fall Chinook</t>
  </si>
  <si>
    <t># summer Chinook</t>
  </si>
  <si>
    <t># spring Chinook</t>
  </si>
  <si>
    <t>Annual Consumption (lbs)</t>
  </si>
  <si>
    <t>Fish Consumption Rate (lbs/day)</t>
  </si>
  <si>
    <t>Current Membership</t>
  </si>
  <si>
    <t>Goals (Hatchery Production)</t>
  </si>
  <si>
    <t>Assume that the target for low goal is the high end of current sliding scale harvest rate, then go up from that for Med and High, but should probably limit total expoitation to something less than 50%</t>
  </si>
  <si>
    <t>Not sure if the mainstem harvest rate on hatchery fish should go up based on MSF effectiveness? For now we plugged in the same rate as natural fish sliding scale</t>
  </si>
  <si>
    <t>Draft Tribal harvest goals based on approximate 2018 human populations and various fish consumption rate objectives.  Yellow highlighted cells have not undergone tribal policy approval and should not be considered offical tribal goals.  Pounds per day includes a correction factor of 0.8 to account for 20% inedible biomass/fish.  Species specific consumption goals are based on historic species composition as estimated by Scholz and do not reflect contemporary tribal objectives for species specific harvest needs.</t>
  </si>
  <si>
    <t>wild</t>
  </si>
  <si>
    <t>TAC</t>
  </si>
  <si>
    <t>corr</t>
  </si>
  <si>
    <t>CR #</t>
  </si>
  <si>
    <t>UCR #</t>
  </si>
  <si>
    <t>conv</t>
  </si>
  <si>
    <t>for ER</t>
  </si>
  <si>
    <t>% H at CR</t>
  </si>
  <si>
    <t>ER</t>
  </si>
  <si>
    <t>inc harv</t>
  </si>
  <si>
    <t>(BON-RIS)</t>
  </si>
  <si>
    <t>Conversion rates</t>
  </si>
  <si>
    <t>2008 Biop est</t>
  </si>
  <si>
    <t>BON-RIS</t>
  </si>
  <si>
    <t>BON-RRE</t>
  </si>
  <si>
    <t>BON-WEL</t>
  </si>
  <si>
    <t>2014 Biop</t>
  </si>
  <si>
    <t>BON-MN</t>
  </si>
  <si>
    <t>Hatchery Production</t>
  </si>
  <si>
    <t>Current Production</t>
  </si>
  <si>
    <t>New (blocked areas)</t>
  </si>
  <si>
    <t>Avg.</t>
  </si>
  <si>
    <t>Blocked area</t>
  </si>
  <si>
    <t>Total Return</t>
  </si>
  <si>
    <t>@ Goals</t>
  </si>
  <si>
    <t>Harvest (Col Basin)</t>
  </si>
  <si>
    <t>% hatchery</t>
  </si>
  <si>
    <t>7.5-23%</t>
  </si>
  <si>
    <t>Intrinsic Potential model output generated by STI with data provided by the Northwest Fisheries Science Center.  Weighted streambed area (m2) for spring Chinook spawning and rearing habitats, as rated by the model.</t>
  </si>
  <si>
    <t>Intrinsic Potential model output generated by STI with data provided by the Northwest Fisheries Science Center.  Weighted streambed area (m2) for steelhead spawning and rearing habitats, as rated by the model.</t>
  </si>
  <si>
    <t>Subbasin &amp; Reporting Areas</t>
  </si>
  <si>
    <t>None</t>
  </si>
  <si>
    <t>Moderate</t>
  </si>
  <si>
    <t>Lower Sanpoil</t>
  </si>
  <si>
    <t>Upper Sanpoil</t>
  </si>
  <si>
    <t>West Fork Sanpoil</t>
  </si>
  <si>
    <t>Hangman</t>
  </si>
  <si>
    <t>Little Spokane</t>
  </si>
  <si>
    <t>Lower Spokane</t>
  </si>
  <si>
    <t>Upper Columbia</t>
  </si>
  <si>
    <t>Barnaby Creek</t>
  </si>
  <si>
    <t>Hall Creek</t>
  </si>
  <si>
    <t>Kettle</t>
  </si>
  <si>
    <t>Lake Roosevelt</t>
  </si>
  <si>
    <t>Nez Perce Creek</t>
  </si>
  <si>
    <t>Stranger Creek</t>
  </si>
  <si>
    <t>Weighted streambed area, historically, for spring Chinook in square kilometers</t>
  </si>
  <si>
    <t>Weighted streambed area, historically, for steelhead in square kilometers</t>
  </si>
  <si>
    <r>
      <t xml:space="preserve">Intrinsic Potential analysis performed by Bussanich et al. 2017.  Measures reported were adopted from section 5.6 </t>
    </r>
    <r>
      <rPr>
        <i/>
        <sz val="11"/>
        <color theme="1"/>
        <rFont val="Calibri"/>
        <family val="2"/>
        <scheme val="minor"/>
      </rPr>
      <t xml:space="preserve">Summary of Results </t>
    </r>
    <r>
      <rPr>
        <sz val="11"/>
        <color theme="1"/>
        <rFont val="Calibri"/>
        <family val="2"/>
        <scheme val="minor"/>
      </rPr>
      <t>of that document.</t>
    </r>
  </si>
  <si>
    <t>Chinook IP Habitat (m2)</t>
  </si>
  <si>
    <t>Steelhead IP Habitat (m2)</t>
  </si>
  <si>
    <t>Christina Lake*</t>
  </si>
  <si>
    <t>Transboundary Region</t>
  </si>
  <si>
    <t>Slocan Watershed</t>
  </si>
  <si>
    <t>Whatshan Reservoir*</t>
  </si>
  <si>
    <t>Lower Arrow Reservoir</t>
  </si>
  <si>
    <t>Table B-5 in ICTRT 2007 (Appendix B - Pop. Size &amp; Complexity). Minimum abundance thresholds by species and historical population size (spawning area) for extant Interior Columbia Basin stream type chinook and steelhead populations. Median weighted area and corresponding spawners per kilometer are provided for populations in each size category.  Ranges for each population size category found in table B-2 for spring Chinook and table B-3 for steelhead.</t>
  </si>
  <si>
    <t>Population Size Categories</t>
  </si>
  <si>
    <t>UCR Spring Chinook</t>
  </si>
  <si>
    <t>UCR Steelhead</t>
  </si>
  <si>
    <t>Min. Abundance Threshold</t>
  </si>
  <si>
    <t>Median Weighted Area</t>
  </si>
  <si>
    <t>Area Range</t>
  </si>
  <si>
    <t>Basic</t>
  </si>
  <si>
    <t>12.5 - 29.6</t>
  </si>
  <si>
    <t>66.6 - 193.7</t>
  </si>
  <si>
    <t>Intermediate</t>
  </si>
  <si>
    <t>33.9 - 52.8</t>
  </si>
  <si>
    <t>229.3 - 550.5</t>
  </si>
  <si>
    <t>Large</t>
  </si>
  <si>
    <t>57.2 - 111.1</t>
  </si>
  <si>
    <t>686.7 - 921.0</t>
  </si>
  <si>
    <t>Very Large</t>
  </si>
  <si>
    <t>134.8 - 153.0</t>
  </si>
  <si>
    <t>1,175.4 - 1,175.4</t>
  </si>
  <si>
    <t>Major population groups and populations as defined by the ICTRT and associated maps produced by NOAA with weighted stream areas provided by STI and ONA (Bussanich et al. 2017) intrinsic potential analyses; both of which were performed using model outputs provided by the Northwest Fisheries Science Center.  Populations were assigned a size category based on the criteria described in ICTRT Tables 2, 3, and 5 (ICTRT 2007, Appendix B).</t>
  </si>
  <si>
    <t>Spring Chin. Weighted Streambed Area (km2)</t>
  </si>
  <si>
    <t>Spring Chinook Pop. Size Category</t>
  </si>
  <si>
    <t>Minimum Abundance Threshold</t>
  </si>
  <si>
    <t>Sthd. Weighted Streambed Area (km2)</t>
  </si>
  <si>
    <t>Steelhead Pop. Size Category</t>
  </si>
  <si>
    <t>Kootenay/Transb.</t>
  </si>
  <si>
    <t>Pend Oreille/Transb./Salmo</t>
  </si>
  <si>
    <t>Kootenay River/Transb.</t>
  </si>
  <si>
    <t>Proportion of UCR Historic Harvest</t>
  </si>
  <si>
    <t>Assumed percentage of tribal harvest from various spring Chinook MPGs and populations, a function of the Tribe's U&amp;A and use of invited fisheries.</t>
  </si>
  <si>
    <t>San/K/C</t>
  </si>
  <si>
    <t>East Cascades</t>
  </si>
  <si>
    <t>TOTAL</t>
  </si>
  <si>
    <t>Estimated Total Spring Chinook Harvest</t>
  </si>
  <si>
    <t>Combined</t>
  </si>
  <si>
    <t>Estimated # of spring Chinook harvested by each tribe, assigned to various MPGs and populations per the assumed percentages above.</t>
  </si>
  <si>
    <r>
      <t xml:space="preserve">Abundance estimates under various catch efficiencies per MPG and Population based upon tribe's historic harvest of </t>
    </r>
    <r>
      <rPr>
        <b/>
        <sz val="11"/>
        <color theme="1"/>
        <rFont val="Calibri"/>
        <family val="2"/>
        <scheme val="minor"/>
      </rPr>
      <t>spring Chinook</t>
    </r>
    <r>
      <rPr>
        <sz val="11"/>
        <color theme="1"/>
        <rFont val="Calibri"/>
        <family val="2"/>
        <scheme val="minor"/>
      </rPr>
      <t>, similar to Scholz Table 3.8</t>
    </r>
  </si>
  <si>
    <t>KET (Kettle/Colville)</t>
  </si>
  <si>
    <t>KOO (Kootenai/Transboundary)</t>
  </si>
  <si>
    <t>HWR (Columbia Headwaters)</t>
  </si>
  <si>
    <t>SAR =</t>
  </si>
  <si>
    <t xml:space="preserve">pre-spawn mortality = </t>
  </si>
  <si>
    <t>Sport Fishery</t>
  </si>
  <si>
    <t>Assumed 12.5% of Regional Harvest</t>
  </si>
  <si>
    <t>Percentage of totals from the above table for use in setting harvest goals for the blocked area, upstream of Chief Joseph Dam</t>
  </si>
  <si>
    <t>Percent of Total</t>
  </si>
  <si>
    <t>Okanogan (US)</t>
  </si>
  <si>
    <t>Okanogan River (US)</t>
  </si>
  <si>
    <t>EDT (Template)</t>
  </si>
  <si>
    <t>EDT (Present Eq. Abund)</t>
  </si>
  <si>
    <t>Headwaters (CA)</t>
  </si>
  <si>
    <t>Low goal</t>
  </si>
  <si>
    <t>Med goal</t>
  </si>
  <si>
    <t>High goal</t>
  </si>
  <si>
    <t>Passing &gt; Chief Joseph</t>
  </si>
  <si>
    <t>goal</t>
  </si>
  <si>
    <t>Anticipated</t>
  </si>
  <si>
    <t>production</t>
  </si>
  <si>
    <t>Limits</t>
  </si>
  <si>
    <t>3.8-16.6 million</t>
  </si>
  <si>
    <t>Stock</t>
  </si>
  <si>
    <t>Record type</t>
  </si>
  <si>
    <t>Subject</t>
  </si>
  <si>
    <t>Variable</t>
  </si>
  <si>
    <t>Value</t>
  </si>
  <si>
    <t>Units</t>
  </si>
  <si>
    <t>Method</t>
  </si>
  <si>
    <t>Years</t>
  </si>
  <si>
    <t>Quantitative Goal Rules</t>
  </si>
  <si>
    <t>Reference</t>
  </si>
  <si>
    <t>Reference Link</t>
  </si>
  <si>
    <t>Notes</t>
  </si>
  <si>
    <t>Upper Columbia Spring Chinook</t>
  </si>
  <si>
    <t>NOSAIJ</t>
  </si>
  <si>
    <t>Washington Department of Fish and Wildlife</t>
  </si>
  <si>
    <t>U.S. Fish and Wildlife Service</t>
  </si>
  <si>
    <t>2007-2016</t>
  </si>
  <si>
    <t>geomean</t>
  </si>
  <si>
    <t>WDFW data</t>
  </si>
  <si>
    <t>https://www.streamnet.org/ca-priority-data/</t>
  </si>
  <si>
    <t>includes adults &amp; jacks</t>
  </si>
  <si>
    <t>not applicable</t>
  </si>
  <si>
    <t>spawning ground survey</t>
  </si>
  <si>
    <t>natural origin spawners adults</t>
  </si>
  <si>
    <t>blocked area</t>
  </si>
  <si>
    <t>Present condition</t>
  </si>
  <si>
    <t>https://www.nwcouncil.org/subbasin-plans/okanogan-subbasin-plan</t>
  </si>
  <si>
    <t>NPCC. 2004. Okanogan subbasin plan.</t>
  </si>
  <si>
    <t>UCR Regional Technical Team</t>
  </si>
  <si>
    <t>https://www.westcoast.fisheries.noaa.gov/protected_species/salmon_steelhead/recovery_planning_and_implementation/upper_columbia/upper_columbia_spring_chinook_steelhead_recovery_plan.html</t>
  </si>
  <si>
    <t>UCSRB. 2007. Upper Columbia Spring Chinook Salmon and Steelhead Recovery Plan</t>
  </si>
  <si>
    <t>minimum abundance threshold</t>
  </si>
  <si>
    <t>annecdotal information</t>
  </si>
  <si>
    <t>assumed half of 41,300 referenced in recovery plan to Mullan et al. 1992 including spring and summer run</t>
  </si>
  <si>
    <t>Historically extinct. Colville Tribes working to reintroduce.</t>
  </si>
  <si>
    <t>No recovery goal identified in ESA plan. This is the MAT consistent with ICTRT guidance for a basin of this scale. Guidance for reintroduction efforts.</t>
  </si>
  <si>
    <t>3x MAT</t>
  </si>
  <si>
    <t>Low range - 1</t>
  </si>
  <si>
    <t>Low range - 2</t>
  </si>
  <si>
    <t>Mid-way between low- and high-range goals</t>
  </si>
  <si>
    <t>Mid range - 2</t>
  </si>
  <si>
    <t>High range - 4</t>
  </si>
  <si>
    <t>Defined to produce equivalent number of fish to historical fishery area</t>
  </si>
  <si>
    <t>UC Recovery Plan Appendix F1 EDT results (med range was from Scenario 1- with restoration)</t>
  </si>
  <si>
    <t>Abundance from EDT Template scenario available in Appendix F1 of UCR Recovery Plan.</t>
  </si>
  <si>
    <t>https://www.westcoast.fisheries.noaa.gov/publications/recovery_planning/salmon_steelhead/domains/interior_columbia/upper_columbia/uc-plan-appf1.pdf</t>
  </si>
  <si>
    <t>EDT Model (scenario)</t>
  </si>
  <si>
    <t>1.5x mid-range goal</t>
  </si>
  <si>
    <t>EDT US equilib. Abund  = 5960, canadian = 416 (assumes SAR increase.)</t>
  </si>
  <si>
    <t>EDT 2014 equilib. Abund. Under current conditions (assumes SAR increase.)</t>
  </si>
  <si>
    <t>Mid range - 1</t>
  </si>
  <si>
    <t>High range - 3</t>
  </si>
  <si>
    <t>Defined to produce equivalent number of fish to historical fishery area (based on MATs for upstream populations)</t>
  </si>
  <si>
    <t>pre 1900</t>
  </si>
  <si>
    <t>Historical tribal consumption &amp; harvest rate assumptions adapted from Scholz et al.</t>
  </si>
  <si>
    <t>forwards</t>
  </si>
  <si>
    <t>current</t>
  </si>
  <si>
    <t>Medium</t>
  </si>
  <si>
    <t>mort</t>
  </si>
  <si>
    <t>surv</t>
  </si>
  <si>
    <t>cummul</t>
  </si>
  <si>
    <t>#</t>
  </si>
  <si>
    <t>diff</t>
  </si>
  <si>
    <t>terminal run</t>
  </si>
  <si>
    <t>Natl loss from LGr to terminal area</t>
  </si>
  <si>
    <t>Harvest from LGR to terminal area</t>
  </si>
  <si>
    <t>Natl loss from BON to MCN</t>
  </si>
  <si>
    <t>Harvest from BON to MCN</t>
  </si>
  <si>
    <t>@BON</t>
  </si>
  <si>
    <t>Natl loss from mouth to BON</t>
  </si>
  <si>
    <t>Harvest from mouth to BON</t>
  </si>
  <si>
    <t>CR run</t>
  </si>
  <si>
    <t>Total harvest</t>
  </si>
  <si>
    <t>ER v mouth</t>
  </si>
  <si>
    <t>Conversion loss</t>
  </si>
  <si>
    <t>%</t>
  </si>
  <si>
    <t>ER goal</t>
  </si>
  <si>
    <t>These are aspirational harvest rates identified to provide progressively reasonable opportunity</t>
  </si>
  <si>
    <t>hatchery</t>
  </si>
  <si>
    <t>harv rates adjusted to maintain similar hatchery escapement</t>
  </si>
  <si>
    <t>Subjective assumptions for how much hatchery harvest rates might increase relative to wild rates</t>
  </si>
  <si>
    <t>Mainstem Non-trty</t>
  </si>
  <si>
    <t>Mainstem Trty</t>
  </si>
  <si>
    <t>Exploitation rate (v Col R)</t>
  </si>
  <si>
    <t>≤70%</t>
  </si>
  <si>
    <t>backwards</t>
  </si>
  <si>
    <t>actual</t>
  </si>
  <si>
    <t>v BON =</t>
  </si>
  <si>
    <t>Natl loss from BON to PRD</t>
  </si>
  <si>
    <t>@ PRD</t>
  </si>
  <si>
    <t>Harvest from BON to PRD</t>
  </si>
  <si>
    <t>Harvest from PRD to terminal area</t>
  </si>
  <si>
    <t>Natl loss from PRD to terminal area</t>
  </si>
  <si>
    <t>v Col R.</t>
  </si>
  <si>
    <t>v PRD</t>
  </si>
  <si>
    <t>scalar</t>
  </si>
  <si>
    <t>20-60%</t>
  </si>
  <si>
    <t>To Upper Col R (PRD)</t>
  </si>
  <si>
    <t>To Bonneville Dam</t>
  </si>
  <si>
    <t>releases</t>
  </si>
  <si>
    <t>Escapement</t>
  </si>
  <si>
    <t>natural origin spawners adults &amp; jacks</t>
  </si>
  <si>
    <t>Mid range - 5</t>
  </si>
  <si>
    <t>harvest-based</t>
  </si>
  <si>
    <t>million</t>
  </si>
  <si>
    <t>0.7 - 13.5 million</t>
  </si>
  <si>
    <t>Recent avg</t>
  </si>
  <si>
    <t>(2008-2017)</t>
  </si>
  <si>
    <t>New (blocked area)</t>
  </si>
  <si>
    <t>PHOSIJ</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</si>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</sst>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_(* #,##0_);_(* \(#,##0\);_(* &quot;-&quot;??_);_(@_)"/>
    <numFmt numFmtId="167" formatCode="#,##0.0"/>
    <numFmt numFmtId="168" formatCode="0.000"/>
  </numFmts>
  <fonts count="49" x14ac:knownFonts="1">
    <font>
      <sz val="11"/>
      <color theme="1"/>
      <name val="Calibri"/>
      <family val="2"/>
      <scheme val="minor"/>
    </font>
    <font>
      <b/>
      <sz val="11"/>
      <color theme="0"/>
      <name val="Calibri"/>
      <family val="2"/>
      <scheme val="minor"/>
    </font>
    <font>
      <b/>
      <sz val="11"/>
      <color theme="1"/>
      <name val="Calibri"/>
      <family val="2"/>
      <scheme val="minor"/>
    </font>
    <font>
      <b/>
      <sz val="8"/>
      <color indexed="81"/>
      <name val="Tahoma"/>
      <family val="2"/>
    </font>
    <font>
      <b/>
      <u/>
      <sz val="11"/>
      <color theme="1"/>
      <name val="Calibri"/>
      <family val="2"/>
      <scheme val="minor"/>
    </font>
    <font>
      <b/>
      <sz val="14"/>
      <color theme="0"/>
      <name val="Calibri"/>
      <family val="2"/>
      <scheme val="minor"/>
    </font>
    <font>
      <i/>
      <sz val="11"/>
      <color theme="1"/>
      <name val="Calibri"/>
      <family val="2"/>
      <scheme val="minor"/>
    </font>
    <font>
      <sz val="11"/>
      <color theme="1"/>
      <name val="Calibri"/>
      <family val="2"/>
      <scheme val="minor"/>
    </font>
    <font>
      <sz val="11"/>
      <color theme="0"/>
      <name val="Calibri"/>
      <family val="2"/>
      <scheme val="minor"/>
    </font>
    <font>
      <b/>
      <vertAlign val="superscript"/>
      <sz val="11"/>
      <color theme="1"/>
      <name val="Calibri"/>
      <family val="2"/>
      <scheme val="minor"/>
    </font>
    <font>
      <b/>
      <u/>
      <sz val="14"/>
      <color theme="1"/>
      <name val="Calibri"/>
      <family val="2"/>
      <scheme val="minor"/>
    </font>
    <font>
      <sz val="11"/>
      <color rgb="FFFF0000"/>
      <name val="Calibri"/>
      <family val="2"/>
      <scheme val="minor"/>
    </font>
    <font>
      <b/>
      <i/>
      <sz val="11"/>
      <color theme="1"/>
      <name val="Calibri"/>
      <family val="2"/>
      <scheme val="minor"/>
    </font>
    <font>
      <sz val="11"/>
      <color theme="4" tint="-0.499984740745262"/>
      <name val="Calibri"/>
      <family val="2"/>
      <scheme val="minor"/>
    </font>
    <font>
      <sz val="11"/>
      <name val="Calibri"/>
      <family val="2"/>
      <scheme val="minor"/>
    </font>
    <font>
      <b/>
      <sz val="11"/>
      <color rgb="FFFF0000"/>
      <name val="Calibri"/>
      <family val="2"/>
      <scheme val="minor"/>
    </font>
    <font>
      <b/>
      <sz val="14"/>
      <color rgb="FFFF0000"/>
      <name val="Calibri"/>
      <family val="2"/>
      <scheme val="minor"/>
    </font>
    <font>
      <b/>
      <sz val="8"/>
      <color theme="1"/>
      <name val="Calibri"/>
      <family val="2"/>
      <scheme val="minor"/>
    </font>
    <font>
      <sz val="10"/>
      <name val="Arial"/>
      <family val="2"/>
    </font>
    <font>
      <b/>
      <sz val="12"/>
      <color theme="1"/>
      <name val="Calibri"/>
      <family val="2"/>
      <scheme val="minor"/>
    </font>
    <font>
      <sz val="8"/>
      <color indexed="81"/>
      <name val="Tahoma"/>
      <family val="2"/>
    </font>
    <font>
      <sz val="10"/>
      <color theme="1"/>
      <name val="Arial"/>
      <family val="2"/>
    </font>
    <font>
      <sz val="10"/>
      <color theme="4" tint="-0.499984740745262"/>
      <name val="Arial"/>
      <family val="2"/>
    </font>
    <font>
      <sz val="10"/>
      <name val="Times New Roman"/>
      <family val="1"/>
      <charset val="204"/>
    </font>
    <font>
      <sz val="10"/>
      <color indexed="8"/>
      <name val="Arial"/>
      <family val="2"/>
    </font>
    <font>
      <b/>
      <i/>
      <sz val="10"/>
      <color indexed="8"/>
      <name val="Times New Roman"/>
      <family val="2"/>
    </font>
    <font>
      <sz val="10"/>
      <color indexed="8"/>
      <name val="Times New Roman"/>
      <family val="2"/>
    </font>
    <font>
      <i/>
      <sz val="7"/>
      <color indexed="8"/>
      <name val="Times New Roman"/>
      <family val="1"/>
      <charset val="204"/>
    </font>
    <font>
      <sz val="10"/>
      <color indexed="8"/>
      <name val="Times New Roman"/>
      <family val="1"/>
      <charset val="204"/>
    </font>
    <font>
      <i/>
      <sz val="10"/>
      <color indexed="8"/>
      <name val="Times New Roman"/>
      <family val="1"/>
      <charset val="204"/>
    </font>
    <font>
      <sz val="10"/>
      <color indexed="8"/>
      <name val="Arial"/>
      <family val="1"/>
      <charset val="204"/>
    </font>
    <font>
      <b/>
      <i/>
      <sz val="10"/>
      <color indexed="8"/>
      <name val="Times New Roman"/>
      <family val="1"/>
      <charset val="204"/>
    </font>
    <font>
      <sz val="11"/>
      <color theme="1"/>
      <name val="Calibri"/>
      <family val="2"/>
    </font>
    <font>
      <i/>
      <sz val="11"/>
      <color indexed="8"/>
      <name val="Calibri"/>
      <family val="2"/>
    </font>
    <font>
      <b/>
      <sz val="9"/>
      <color indexed="81"/>
      <name val="Tahoma"/>
      <family val="2"/>
    </font>
    <font>
      <sz val="9"/>
      <color indexed="81"/>
      <name val="Tahoma"/>
      <family val="2"/>
    </font>
    <font>
      <sz val="11"/>
      <color rgb="FF000000"/>
      <name val="Calibri"/>
      <family val="2"/>
      <scheme val="minor"/>
    </font>
    <font>
      <sz val="11"/>
      <color indexed="8"/>
      <name val="Calibri"/>
      <family val="2"/>
      <scheme val="minor"/>
    </font>
    <font>
      <sz val="11"/>
      <color theme="0" tint="-0.499984740745262"/>
      <name val="Calibri"/>
      <family val="2"/>
      <scheme val="minor"/>
    </font>
    <font>
      <sz val="11"/>
      <color theme="0" tint="-0.34998626667073579"/>
      <name val="Calibri"/>
      <family val="2"/>
      <scheme val="minor"/>
    </font>
    <font>
      <b/>
      <sz val="11"/>
      <color theme="0" tint="-0.34998626667073579"/>
      <name val="Calibri"/>
      <family val="2"/>
      <scheme val="minor"/>
    </font>
    <font>
      <b/>
      <u/>
      <sz val="9"/>
      <color indexed="81"/>
      <name val="Tahoma"/>
      <family val="2"/>
    </font>
    <font>
      <u/>
      <sz val="11"/>
      <color theme="10"/>
      <name val="Calibri"/>
      <family val="2"/>
      <scheme val="minor"/>
    </font>
    <font>
      <sz val="14"/>
      <color theme="0"/>
      <name val="Calibri"/>
      <family val="2"/>
      <scheme val="minor"/>
    </font>
    <font>
      <sz val="14"/>
      <color rgb="FFFF0000"/>
      <name val="Calibri"/>
      <family val="2"/>
      <scheme val="minor"/>
    </font>
    <font>
      <b/>
      <sz val="14"/>
      <color theme="1"/>
      <name val="Calibri"/>
      <family val="2"/>
      <scheme val="minor"/>
    </font>
    <font>
      <sz val="14"/>
      <color theme="1"/>
      <name val="Calibri"/>
      <family val="2"/>
      <scheme val="minor"/>
    </font>
    <font>
      <sz val="14"/>
      <color theme="0" tint="-0.34998626667073579"/>
      <name val="Calibri"/>
      <family val="2"/>
      <scheme val="minor"/>
    </font>
    <font>
      <sz val="14"/>
      <color theme="0" tint="-0.499984740745262"/>
      <name val="Calibri"/>
      <family val="2"/>
      <scheme val="minor"/>
    </font>
  </fonts>
  <fills count="22">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F3F3F3"/>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008D85"/>
        <bgColor indexed="64"/>
      </patternFill>
    </fill>
    <fill>
      <patternFill patternType="solid">
        <fgColor rgb="FF4BFFF6"/>
        <bgColor indexed="64"/>
      </patternFill>
    </fill>
    <fill>
      <patternFill patternType="solid">
        <fgColor rgb="FFBDFFFC"/>
        <bgColor indexed="64"/>
      </patternFill>
    </fill>
  </fills>
  <borders count="48">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s>
  <cellStyleXfs count="5">
    <xf numFmtId="0" fontId="0" fillId="0" borderId="0"/>
    <xf numFmtId="9" fontId="7" fillId="0" borderId="0" applyFont="0" applyFill="0" applyBorder="0" applyAlignment="0" applyProtection="0"/>
    <xf numFmtId="0" fontId="18" fillId="0" borderId="0"/>
    <xf numFmtId="43" fontId="7" fillId="0" borderId="0" applyFont="0" applyFill="0" applyBorder="0" applyAlignment="0" applyProtection="0"/>
    <xf numFmtId="0" fontId="42" fillId="0" borderId="0" applyNumberFormat="0" applyFill="0" applyBorder="0" applyAlignment="0" applyProtection="0"/>
  </cellStyleXfs>
  <cellXfs count="555">
    <xf numFmtId="0" fontId="0" fillId="0" borderId="0" xfId="0"/>
    <xf numFmtId="0" fontId="1" fillId="2" borderId="0" xfId="0" applyFont="1" applyFill="1"/>
    <xf numFmtId="0" fontId="0" fillId="2" borderId="0" xfId="0" applyFill="1"/>
    <xf numFmtId="0" fontId="5" fillId="2" borderId="0" xfId="0" applyFont="1" applyFill="1"/>
    <xf numFmtId="0" fontId="2" fillId="4" borderId="1" xfId="0" applyFont="1" applyFill="1" applyBorder="1"/>
    <xf numFmtId="0" fontId="2" fillId="4" borderId="2" xfId="0" applyFont="1" applyFill="1" applyBorder="1" applyAlignment="1">
      <alignment horizontal="center"/>
    </xf>
    <xf numFmtId="0" fontId="2" fillId="4" borderId="1" xfId="0" applyFont="1" applyFill="1" applyBorder="1" applyAlignment="1">
      <alignment horizontal="center"/>
    </xf>
    <xf numFmtId="0" fontId="2" fillId="0" borderId="0" xfId="0" applyFont="1"/>
    <xf numFmtId="0" fontId="0" fillId="0" borderId="0" xfId="0" applyAlignment="1">
      <alignment horizontal="center"/>
    </xf>
    <xf numFmtId="3" fontId="0" fillId="2" borderId="0" xfId="0" applyNumberFormat="1" applyFill="1"/>
    <xf numFmtId="3" fontId="2" fillId="4" borderId="2" xfId="0" applyNumberFormat="1" applyFont="1" applyFill="1" applyBorder="1" applyAlignment="1">
      <alignment horizontal="center"/>
    </xf>
    <xf numFmtId="3" fontId="0" fillId="0" borderId="0" xfId="0" applyNumberFormat="1"/>
    <xf numFmtId="0" fontId="8" fillId="2" borderId="0" xfId="0" applyFont="1" applyFill="1"/>
    <xf numFmtId="0" fontId="10" fillId="5" borderId="0" xfId="0" applyFont="1" applyFill="1"/>
    <xf numFmtId="0" fontId="4" fillId="5" borderId="0" xfId="0" applyFont="1" applyFill="1"/>
    <xf numFmtId="0" fontId="4" fillId="5" borderId="0" xfId="0" applyFont="1" applyFill="1" applyAlignment="1">
      <alignment horizontal="centerContinuous"/>
    </xf>
    <xf numFmtId="0" fontId="2" fillId="5" borderId="0" xfId="0" applyFont="1" applyFill="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6" fillId="3" borderId="0" xfId="0" applyFont="1" applyFill="1"/>
    <xf numFmtId="0" fontId="6" fillId="3" borderId="0" xfId="0" applyFont="1" applyFill="1" applyAlignment="1">
      <alignment horizontal="center" vertical="center" wrapText="1"/>
    </xf>
    <xf numFmtId="0" fontId="6" fillId="3" borderId="1" xfId="0" applyFont="1" applyFill="1" applyBorder="1"/>
    <xf numFmtId="0" fontId="6" fillId="3" borderId="1" xfId="0" applyFont="1" applyFill="1" applyBorder="1" applyAlignment="1">
      <alignment horizontal="center" vertical="center" wrapText="1"/>
    </xf>
    <xf numFmtId="0" fontId="0" fillId="0" borderId="0" xfId="0" quotePrefix="1" applyAlignment="1">
      <alignment horizontal="center"/>
    </xf>
    <xf numFmtId="0" fontId="2" fillId="5" borderId="0" xfId="0" applyFont="1" applyFill="1"/>
    <xf numFmtId="0" fontId="2" fillId="5" borderId="0" xfId="0" applyFont="1" applyFill="1" applyAlignment="1">
      <alignment horizontal="centerContinuous"/>
    </xf>
    <xf numFmtId="0" fontId="2" fillId="5" borderId="0" xfId="0" applyFont="1" applyFill="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xf>
    <xf numFmtId="0" fontId="2" fillId="4" borderId="0" xfId="0" applyFont="1" applyFill="1" applyAlignment="1">
      <alignment horizontal="center"/>
    </xf>
    <xf numFmtId="0" fontId="2" fillId="4" borderId="6" xfId="0" applyFont="1" applyFill="1" applyBorder="1" applyAlignment="1">
      <alignment horizontal="center"/>
    </xf>
    <xf numFmtId="0" fontId="2" fillId="4" borderId="6" xfId="0" applyFont="1" applyFill="1" applyBorder="1"/>
    <xf numFmtId="0" fontId="12" fillId="6" borderId="0" xfId="0" applyFont="1" applyFill="1"/>
    <xf numFmtId="3" fontId="12" fillId="6" borderId="0" xfId="0" applyNumberFormat="1" applyFont="1" applyFill="1"/>
    <xf numFmtId="0" fontId="6" fillId="3" borderId="0" xfId="0" applyFont="1" applyFill="1" applyAlignment="1">
      <alignment horizontal="center"/>
    </xf>
    <xf numFmtId="164" fontId="0" fillId="0" borderId="0" xfId="0" applyNumberFormat="1" applyAlignment="1">
      <alignment horizontal="center"/>
    </xf>
    <xf numFmtId="0" fontId="11" fillId="0" borderId="0" xfId="0" applyFont="1" applyAlignment="1">
      <alignment horizontal="center"/>
    </xf>
    <xf numFmtId="3" fontId="0" fillId="0" borderId="0" xfId="0" applyNumberFormat="1" applyAlignment="1">
      <alignment horizontal="right"/>
    </xf>
    <xf numFmtId="3" fontId="1" fillId="2" borderId="0" xfId="0" applyNumberFormat="1" applyFont="1" applyFill="1"/>
    <xf numFmtId="3" fontId="2" fillId="4" borderId="2" xfId="0" applyNumberFormat="1" applyFont="1" applyFill="1" applyBorder="1"/>
    <xf numFmtId="0" fontId="6" fillId="0" borderId="0" xfId="0" applyFont="1"/>
    <xf numFmtId="3" fontId="4" fillId="5" borderId="0" xfId="0" applyNumberFormat="1" applyFont="1" applyFill="1" applyAlignment="1">
      <alignment horizontal="centerContinuous"/>
    </xf>
    <xf numFmtId="3" fontId="2" fillId="5" borderId="0" xfId="0" applyNumberFormat="1" applyFont="1" applyFill="1" applyAlignment="1">
      <alignment horizontal="center" vertical="center" wrapText="1"/>
    </xf>
    <xf numFmtId="0" fontId="1" fillId="0" borderId="0" xfId="0" applyFont="1"/>
    <xf numFmtId="0" fontId="12" fillId="0" borderId="0" xfId="0" applyFont="1"/>
    <xf numFmtId="164" fontId="6" fillId="3" borderId="0" xfId="0" applyNumberFormat="1" applyFont="1" applyFill="1"/>
    <xf numFmtId="164" fontId="6" fillId="3" borderId="0" xfId="0" applyNumberFormat="1" applyFont="1" applyFill="1" applyAlignment="1">
      <alignment horizontal="center"/>
    </xf>
    <xf numFmtId="0" fontId="2" fillId="4" borderId="0" xfId="0" applyFont="1" applyFill="1"/>
    <xf numFmtId="3" fontId="4" fillId="4" borderId="7" xfId="0" applyNumberFormat="1" applyFont="1" applyFill="1" applyBorder="1" applyAlignment="1">
      <alignment horizontal="centerContinuous"/>
    </xf>
    <xf numFmtId="0" fontId="4" fillId="4" borderId="0" xfId="0" applyFont="1" applyFill="1" applyAlignment="1">
      <alignment horizontal="centerContinuous"/>
    </xf>
    <xf numFmtId="0" fontId="2" fillId="4" borderId="0" xfId="0" applyFont="1" applyFill="1" applyAlignment="1">
      <alignment horizontal="centerContinuous"/>
    </xf>
    <xf numFmtId="0" fontId="2" fillId="4" borderId="8" xfId="0" applyFont="1" applyFill="1" applyBorder="1" applyAlignment="1">
      <alignment horizontal="centerContinuous"/>
    </xf>
    <xf numFmtId="0" fontId="4" fillId="4" borderId="7" xfId="0" applyFont="1" applyFill="1" applyBorder="1" applyAlignment="1">
      <alignment horizontal="centerContinuous"/>
    </xf>
    <xf numFmtId="0" fontId="4" fillId="4" borderId="7" xfId="0" applyFont="1" applyFill="1" applyBorder="1"/>
    <xf numFmtId="0" fontId="0" fillId="9" borderId="0" xfId="0" applyFill="1"/>
    <xf numFmtId="0" fontId="8" fillId="0" borderId="0" xfId="0" applyFont="1"/>
    <xf numFmtId="165" fontId="0" fillId="0" borderId="0" xfId="0" applyNumberFormat="1"/>
    <xf numFmtId="0" fontId="0" fillId="0" borderId="0" xfId="0" applyAlignment="1">
      <alignment horizontal="right"/>
    </xf>
    <xf numFmtId="0" fontId="2" fillId="0" borderId="1" xfId="0" applyFont="1" applyBorder="1"/>
    <xf numFmtId="0" fontId="2" fillId="0" borderId="1" xfId="0" applyFont="1" applyBorder="1" applyAlignment="1">
      <alignment horizontal="center"/>
    </xf>
    <xf numFmtId="0" fontId="4" fillId="0" borderId="0" xfId="0" applyFont="1"/>
    <xf numFmtId="0" fontId="6" fillId="0" borderId="1" xfId="0" applyFont="1" applyBorder="1"/>
    <xf numFmtId="9" fontId="0" fillId="0" borderId="0" xfId="1" applyFont="1"/>
    <xf numFmtId="9" fontId="7" fillId="0" borderId="0" xfId="1" applyAlignment="1">
      <alignment horizontal="center" vertical="center" wrapText="1"/>
    </xf>
    <xf numFmtId="9" fontId="6" fillId="0" borderId="0" xfId="1" applyFont="1"/>
    <xf numFmtId="9" fontId="6" fillId="0" borderId="1" xfId="1" applyFont="1" applyBorder="1"/>
    <xf numFmtId="9" fontId="6" fillId="0" borderId="1" xfId="1" applyFont="1" applyBorder="1" applyAlignment="1">
      <alignment horizontal="center" vertical="center" wrapText="1"/>
    </xf>
    <xf numFmtId="0" fontId="14" fillId="0" borderId="0" xfId="0" quotePrefix="1" applyFont="1" applyAlignment="1">
      <alignment horizontal="center"/>
    </xf>
    <xf numFmtId="0" fontId="14" fillId="0" borderId="0" xfId="0" applyFont="1" applyAlignment="1">
      <alignment horizontal="center"/>
    </xf>
    <xf numFmtId="0" fontId="2" fillId="4" borderId="12" xfId="0" applyFont="1" applyFill="1" applyBorder="1"/>
    <xf numFmtId="0" fontId="2" fillId="4" borderId="14" xfId="0" applyFont="1" applyFill="1" applyBorder="1"/>
    <xf numFmtId="0" fontId="2" fillId="0" borderId="0" xfId="0" applyFont="1" applyAlignment="1">
      <alignment horizontal="center"/>
    </xf>
    <xf numFmtId="3" fontId="4" fillId="4" borderId="0" xfId="0" applyNumberFormat="1" applyFont="1" applyFill="1" applyAlignment="1">
      <alignment horizontal="centerContinuous"/>
    </xf>
    <xf numFmtId="0" fontId="0" fillId="0" borderId="0" xfId="0" applyAlignment="1">
      <alignment horizontal="left" vertical="center" wrapText="1"/>
    </xf>
    <xf numFmtId="3" fontId="2" fillId="4" borderId="1" xfId="0" applyNumberFormat="1" applyFont="1" applyFill="1" applyBorder="1" applyAlignment="1">
      <alignment horizontal="center"/>
    </xf>
    <xf numFmtId="0" fontId="11" fillId="0" borderId="0" xfId="0" applyFont="1"/>
    <xf numFmtId="3" fontId="6" fillId="0" borderId="0" xfId="0" applyNumberFormat="1" applyFont="1"/>
    <xf numFmtId="0" fontId="6" fillId="0" borderId="0" xfId="0" applyFont="1" applyAlignment="1">
      <alignment horizontal="center"/>
    </xf>
    <xf numFmtId="0" fontId="2" fillId="6" borderId="0" xfId="0" applyFont="1" applyFill="1"/>
    <xf numFmtId="3" fontId="2" fillId="6" borderId="0" xfId="0" applyNumberFormat="1" applyFont="1" applyFill="1"/>
    <xf numFmtId="0" fontId="16" fillId="9" borderId="0" xfId="0" applyFont="1" applyFill="1" applyAlignment="1">
      <alignment vertical="center"/>
    </xf>
    <xf numFmtId="0" fontId="11" fillId="9" borderId="0" xfId="0" applyFont="1" applyFill="1" applyAlignment="1">
      <alignment vertical="center"/>
    </xf>
    <xf numFmtId="0" fontId="15" fillId="9" borderId="0" xfId="0" applyFont="1" applyFill="1" applyAlignment="1">
      <alignment vertical="center"/>
    </xf>
    <xf numFmtId="0" fontId="11" fillId="9" borderId="0" xfId="0" applyFont="1" applyFill="1"/>
    <xf numFmtId="0" fontId="2" fillId="8" borderId="8" xfId="0" applyFont="1" applyFill="1" applyBorder="1" applyAlignment="1">
      <alignment horizontal="center" vertical="center"/>
    </xf>
    <xf numFmtId="0" fontId="2" fillId="8" borderId="0" xfId="0" applyFont="1" applyFill="1" applyAlignment="1">
      <alignment horizontal="center" vertical="center"/>
    </xf>
    <xf numFmtId="0" fontId="0" fillId="0" borderId="7" xfId="0" applyBorder="1"/>
    <xf numFmtId="0" fontId="18" fillId="0" borderId="0" xfId="2"/>
    <xf numFmtId="0" fontId="0" fillId="4" borderId="0" xfId="0" applyFill="1"/>
    <xf numFmtId="3" fontId="18" fillId="0" borderId="0" xfId="2" applyNumberFormat="1"/>
    <xf numFmtId="3" fontId="18" fillId="0" borderId="0" xfId="2" quotePrefix="1" applyNumberFormat="1" applyAlignment="1">
      <alignment horizontal="center"/>
    </xf>
    <xf numFmtId="3" fontId="21" fillId="0" borderId="0" xfId="2" applyNumberFormat="1" applyFont="1" applyAlignment="1">
      <alignment horizontal="right"/>
    </xf>
    <xf numFmtId="3" fontId="18" fillId="0" borderId="0" xfId="2" applyNumberFormat="1" applyAlignment="1">
      <alignment horizontal="right"/>
    </xf>
    <xf numFmtId="0" fontId="13" fillId="0" borderId="0" xfId="0" applyFont="1" applyAlignment="1">
      <alignment horizontal="right"/>
    </xf>
    <xf numFmtId="0" fontId="0" fillId="0" borderId="2" xfId="0" applyBorder="1"/>
    <xf numFmtId="0" fontId="2" fillId="12" borderId="12" xfId="0" applyFont="1" applyFill="1" applyBorder="1"/>
    <xf numFmtId="0" fontId="2" fillId="12" borderId="13" xfId="0" applyFont="1" applyFill="1" applyBorder="1"/>
    <xf numFmtId="0" fontId="4" fillId="11" borderId="4" xfId="0" applyFont="1" applyFill="1" applyBorder="1" applyAlignment="1">
      <alignment horizontal="centerContinuous"/>
    </xf>
    <xf numFmtId="0" fontId="2" fillId="11" borderId="4" xfId="0" applyFont="1" applyFill="1" applyBorder="1" applyAlignment="1">
      <alignment horizontal="centerContinuous"/>
    </xf>
    <xf numFmtId="0" fontId="2" fillId="11" borderId="2" xfId="0" applyFont="1" applyFill="1" applyBorder="1"/>
    <xf numFmtId="0" fontId="0" fillId="0" borderId="0" xfId="0" applyAlignment="1">
      <alignment horizontal="left"/>
    </xf>
    <xf numFmtId="0" fontId="0" fillId="0" borderId="0" xfId="0" pivotButton="1"/>
    <xf numFmtId="0" fontId="0" fillId="0" borderId="3" xfId="0" applyBorder="1"/>
    <xf numFmtId="3" fontId="22" fillId="0" borderId="0" xfId="2" applyNumberFormat="1" applyFont="1"/>
    <xf numFmtId="164" fontId="6" fillId="0" borderId="0" xfId="1" applyNumberFormat="1" applyFont="1"/>
    <xf numFmtId="0" fontId="23" fillId="0" borderId="0" xfId="0" applyFont="1" applyAlignment="1">
      <alignment vertical="top" wrapText="1"/>
    </xf>
    <xf numFmtId="0" fontId="26" fillId="0" borderId="18" xfId="0" applyFont="1" applyBorder="1" applyAlignment="1">
      <alignment horizontal="left" vertical="top" wrapText="1" indent="1"/>
    </xf>
    <xf numFmtId="0" fontId="26" fillId="0" borderId="18" xfId="0" applyFont="1" applyBorder="1" applyAlignment="1">
      <alignment horizontal="center" vertical="center" wrapText="1"/>
    </xf>
    <xf numFmtId="0" fontId="26" fillId="0" borderId="18" xfId="0" applyFont="1" applyBorder="1" applyAlignment="1">
      <alignment horizontal="right" vertical="center" wrapText="1" indent="1"/>
    </xf>
    <xf numFmtId="0" fontId="26" fillId="0" borderId="18" xfId="0" applyFont="1" applyBorder="1" applyAlignment="1">
      <alignment horizontal="left" vertical="center" wrapText="1" indent="1"/>
    </xf>
    <xf numFmtId="0" fontId="26" fillId="0" borderId="17" xfId="0" applyFont="1" applyBorder="1" applyAlignment="1">
      <alignment horizontal="left" vertical="top" wrapText="1" indent="1"/>
    </xf>
    <xf numFmtId="1" fontId="24" fillId="0" borderId="19" xfId="0" applyNumberFormat="1" applyFont="1" applyBorder="1" applyAlignment="1">
      <alignment horizontal="right" vertical="top" wrapText="1"/>
    </xf>
    <xf numFmtId="1" fontId="24" fillId="0" borderId="0" xfId="0" applyNumberFormat="1" applyFont="1" applyAlignment="1">
      <alignment horizontal="right" vertical="top" wrapText="1"/>
    </xf>
    <xf numFmtId="1" fontId="24" fillId="0" borderId="22" xfId="0" applyNumberFormat="1" applyFont="1" applyBorder="1" applyAlignment="1">
      <alignment horizontal="right" vertical="top" wrapText="1"/>
    </xf>
    <xf numFmtId="0" fontId="27" fillId="0" borderId="0" xfId="0" applyFont="1" applyAlignment="1">
      <alignment horizontal="left" vertical="top"/>
    </xf>
    <xf numFmtId="164" fontId="0" fillId="0" borderId="0" xfId="1" applyNumberFormat="1" applyFont="1"/>
    <xf numFmtId="0" fontId="32" fillId="0" borderId="0" xfId="0" applyFont="1"/>
    <xf numFmtId="0" fontId="33" fillId="0" borderId="0" xfId="0" applyFont="1" applyAlignment="1">
      <alignment horizontal="left" vertical="top"/>
    </xf>
    <xf numFmtId="165" fontId="32" fillId="0" borderId="0" xfId="0" applyNumberFormat="1" applyFont="1" applyAlignment="1">
      <alignment horizontal="center"/>
    </xf>
    <xf numFmtId="9" fontId="0" fillId="0" borderId="0" xfId="0" applyNumberFormat="1"/>
    <xf numFmtId="166" fontId="0" fillId="0" borderId="0" xfId="3" applyNumberFormat="1" applyFont="1" applyAlignment="1">
      <alignment horizontal="center"/>
    </xf>
    <xf numFmtId="3" fontId="0" fillId="0" borderId="0" xfId="0" applyNumberFormat="1" applyAlignment="1">
      <alignment horizontal="center"/>
    </xf>
    <xf numFmtId="3" fontId="2" fillId="13" borderId="25" xfId="0" applyNumberFormat="1" applyFont="1" applyFill="1" applyBorder="1" applyAlignment="1">
      <alignment horizontal="center"/>
    </xf>
    <xf numFmtId="3" fontId="2" fillId="13" borderId="26" xfId="0" applyNumberFormat="1" applyFont="1" applyFill="1" applyBorder="1" applyAlignment="1">
      <alignment horizontal="center"/>
    </xf>
    <xf numFmtId="0" fontId="0" fillId="13" borderId="26" xfId="0" applyFill="1" applyBorder="1"/>
    <xf numFmtId="0" fontId="2" fillId="13" borderId="27" xfId="0" applyFont="1" applyFill="1" applyBorder="1"/>
    <xf numFmtId="3" fontId="2" fillId="13" borderId="28" xfId="0" applyNumberFormat="1" applyFont="1" applyFill="1" applyBorder="1" applyAlignment="1">
      <alignment horizontal="center"/>
    </xf>
    <xf numFmtId="3" fontId="2" fillId="13" borderId="1" xfId="0" applyNumberFormat="1" applyFont="1" applyFill="1" applyBorder="1" applyAlignment="1">
      <alignment horizontal="center"/>
    </xf>
    <xf numFmtId="0" fontId="2" fillId="13" borderId="1" xfId="0" applyFont="1" applyFill="1" applyBorder="1"/>
    <xf numFmtId="0" fontId="2" fillId="13" borderId="29" xfId="0" applyFont="1" applyFill="1" applyBorder="1"/>
    <xf numFmtId="3" fontId="0" fillId="13" borderId="30" xfId="0" applyNumberFormat="1" applyFill="1" applyBorder="1" applyAlignment="1">
      <alignment horizontal="center"/>
    </xf>
    <xf numFmtId="3" fontId="0" fillId="13" borderId="0" xfId="0" applyNumberFormat="1" applyFill="1" applyAlignment="1">
      <alignment horizontal="center"/>
    </xf>
    <xf numFmtId="0" fontId="0" fillId="13" borderId="0" xfId="0" applyFill="1"/>
    <xf numFmtId="3" fontId="2" fillId="13" borderId="32" xfId="0" applyNumberFormat="1" applyFont="1" applyFill="1" applyBorder="1" applyAlignment="1">
      <alignment horizontal="center"/>
    </xf>
    <xf numFmtId="3" fontId="2" fillId="13" borderId="14" xfId="0" applyNumberFormat="1" applyFont="1" applyFill="1" applyBorder="1" applyAlignment="1">
      <alignment horizontal="center"/>
    </xf>
    <xf numFmtId="0" fontId="2" fillId="13" borderId="14" xfId="0" applyFont="1" applyFill="1" applyBorder="1"/>
    <xf numFmtId="0" fontId="2" fillId="13" borderId="33" xfId="0" applyFont="1" applyFill="1" applyBorder="1"/>
    <xf numFmtId="0" fontId="2" fillId="13" borderId="34" xfId="0" applyFont="1" applyFill="1" applyBorder="1" applyAlignment="1">
      <alignment horizontal="center"/>
    </xf>
    <xf numFmtId="0" fontId="2" fillId="13" borderId="35" xfId="0" applyFont="1" applyFill="1" applyBorder="1" applyAlignment="1">
      <alignment horizontal="center"/>
    </xf>
    <xf numFmtId="0" fontId="2" fillId="13" borderId="35" xfId="0" applyFont="1" applyFill="1" applyBorder="1"/>
    <xf numFmtId="37" fontId="0" fillId="0" borderId="0" xfId="3" applyNumberFormat="1" applyFont="1"/>
    <xf numFmtId="3" fontId="2" fillId="0" borderId="25" xfId="0" applyNumberFormat="1" applyFont="1" applyBorder="1" applyAlignment="1">
      <alignment horizontal="center"/>
    </xf>
    <xf numFmtId="0" fontId="0" fillId="0" borderId="26" xfId="0" applyBorder="1"/>
    <xf numFmtId="0" fontId="2" fillId="0" borderId="27" xfId="0" applyFont="1" applyBorder="1"/>
    <xf numFmtId="0" fontId="2" fillId="0" borderId="29" xfId="0" applyFont="1" applyBorder="1"/>
    <xf numFmtId="3" fontId="0" fillId="0" borderId="30" xfId="0" applyNumberFormat="1" applyBorder="1" applyAlignment="1">
      <alignment horizontal="center"/>
    </xf>
    <xf numFmtId="0" fontId="2" fillId="0" borderId="35" xfId="0" applyFont="1" applyBorder="1" applyAlignment="1">
      <alignment horizontal="center"/>
    </xf>
    <xf numFmtId="3" fontId="2" fillId="0" borderId="26" xfId="0" applyNumberFormat="1" applyFont="1" applyBorder="1" applyAlignment="1">
      <alignment horizontal="center"/>
    </xf>
    <xf numFmtId="3" fontId="0" fillId="0" borderId="28" xfId="0" applyNumberFormat="1" applyBorder="1" applyAlignment="1">
      <alignment horizontal="center"/>
    </xf>
    <xf numFmtId="3" fontId="0" fillId="0" borderId="1" xfId="0" applyNumberFormat="1" applyBorder="1" applyAlignment="1">
      <alignment horizontal="center"/>
    </xf>
    <xf numFmtId="0" fontId="0" fillId="0" borderId="29" xfId="0" applyBorder="1"/>
    <xf numFmtId="0" fontId="0" fillId="0" borderId="31" xfId="0" applyBorder="1"/>
    <xf numFmtId="3" fontId="6" fillId="0" borderId="30" xfId="0" applyNumberFormat="1" applyFont="1" applyBorder="1" applyAlignment="1">
      <alignment horizontal="center"/>
    </xf>
    <xf numFmtId="3" fontId="6" fillId="0" borderId="0" xfId="0" applyNumberFormat="1" applyFont="1" applyAlignment="1">
      <alignment horizontal="center"/>
    </xf>
    <xf numFmtId="0" fontId="6" fillId="0" borderId="31" xfId="0" applyFont="1" applyBorder="1" applyAlignment="1">
      <alignment horizontal="right"/>
    </xf>
    <xf numFmtId="0" fontId="2" fillId="0" borderId="34" xfId="0" applyFont="1" applyBorder="1" applyAlignment="1">
      <alignment horizontal="center"/>
    </xf>
    <xf numFmtId="0" fontId="2" fillId="0" borderId="36" xfId="0" applyFont="1" applyBorder="1"/>
    <xf numFmtId="0" fontId="0" fillId="13" borderId="29" xfId="0" applyFill="1" applyBorder="1"/>
    <xf numFmtId="0" fontId="0" fillId="13" borderId="31" xfId="0" applyFill="1" applyBorder="1"/>
    <xf numFmtId="3" fontId="2" fillId="0" borderId="25" xfId="0" applyNumberFormat="1" applyFont="1" applyBorder="1"/>
    <xf numFmtId="3" fontId="2" fillId="0" borderId="28" xfId="0" applyNumberFormat="1" applyFont="1" applyBorder="1"/>
    <xf numFmtId="3" fontId="2" fillId="0" borderId="30" xfId="0" applyNumberFormat="1" applyFont="1" applyBorder="1"/>
    <xf numFmtId="0" fontId="0" fillId="0" borderId="39" xfId="0" applyBorder="1"/>
    <xf numFmtId="0" fontId="2" fillId="0" borderId="26" xfId="0" applyFont="1" applyBorder="1"/>
    <xf numFmtId="0" fontId="2" fillId="0" borderId="26" xfId="0" applyFont="1" applyBorder="1" applyAlignment="1">
      <alignment horizontal="center"/>
    </xf>
    <xf numFmtId="3" fontId="0" fillId="0" borderId="28" xfId="0" applyNumberFormat="1" applyBorder="1"/>
    <xf numFmtId="3" fontId="0" fillId="0" borderId="30" xfId="0" applyNumberFormat="1" applyBorder="1"/>
    <xf numFmtId="3" fontId="6" fillId="0" borderId="30" xfId="0" applyNumberFormat="1" applyFont="1" applyBorder="1"/>
    <xf numFmtId="2" fontId="6" fillId="0" borderId="0" xfId="0" applyNumberFormat="1" applyFont="1"/>
    <xf numFmtId="9" fontId="0" fillId="14" borderId="25" xfId="1" applyFont="1" applyFill="1" applyBorder="1" applyAlignment="1">
      <alignment horizontal="center"/>
    </xf>
    <xf numFmtId="0" fontId="0" fillId="14" borderId="27" xfId="0" applyFill="1" applyBorder="1" applyAlignment="1">
      <alignment horizontal="center"/>
    </xf>
    <xf numFmtId="9" fontId="0" fillId="14" borderId="30" xfId="1" applyFont="1" applyFill="1" applyBorder="1" applyAlignment="1">
      <alignment horizontal="center"/>
    </xf>
    <xf numFmtId="0" fontId="0" fillId="14" borderId="31" xfId="0" applyFill="1" applyBorder="1" applyAlignment="1">
      <alignment horizontal="center"/>
    </xf>
    <xf numFmtId="0" fontId="0" fillId="14" borderId="34" xfId="0" applyFill="1" applyBorder="1" applyAlignment="1">
      <alignment horizontal="center"/>
    </xf>
    <xf numFmtId="0" fontId="0" fillId="14" borderId="36" xfId="0" applyFill="1" applyBorder="1" applyAlignment="1">
      <alignment horizontal="center"/>
    </xf>
    <xf numFmtId="0" fontId="0" fillId="0" borderId="10" xfId="0" applyBorder="1"/>
    <xf numFmtId="0" fontId="14" fillId="0" borderId="0" xfId="0" applyFont="1"/>
    <xf numFmtId="0" fontId="0" fillId="0" borderId="4" xfId="0" applyBorder="1"/>
    <xf numFmtId="166" fontId="0" fillId="0" borderId="0" xfId="3" applyNumberFormat="1" applyFont="1"/>
    <xf numFmtId="166" fontId="22" fillId="0" borderId="0" xfId="3" applyNumberFormat="1" applyFont="1"/>
    <xf numFmtId="3" fontId="18" fillId="0" borderId="0" xfId="2" applyNumberFormat="1" applyAlignment="1">
      <alignment horizontal="center"/>
    </xf>
    <xf numFmtId="164" fontId="0" fillId="0" borderId="0" xfId="0" applyNumberFormat="1" applyAlignment="1">
      <alignment horizontal="left"/>
    </xf>
    <xf numFmtId="0" fontId="2" fillId="0" borderId="25" xfId="0" applyFont="1" applyBorder="1"/>
    <xf numFmtId="0" fontId="0" fillId="0" borderId="28" xfId="0" applyBorder="1" applyAlignment="1">
      <alignment horizontal="center"/>
    </xf>
    <xf numFmtId="0" fontId="0" fillId="0" borderId="30" xfId="0" applyBorder="1" applyAlignment="1">
      <alignment horizontal="center"/>
    </xf>
    <xf numFmtId="0" fontId="6" fillId="0" borderId="30" xfId="0" applyFont="1" applyBorder="1" applyAlignment="1">
      <alignment horizontal="center"/>
    </xf>
    <xf numFmtId="3" fontId="2" fillId="13" borderId="25" xfId="0" applyNumberFormat="1" applyFont="1" applyFill="1" applyBorder="1"/>
    <xf numFmtId="3" fontId="2" fillId="13" borderId="26" xfId="0" applyNumberFormat="1" applyFont="1" applyFill="1" applyBorder="1"/>
    <xf numFmtId="0" fontId="2" fillId="13" borderId="26" xfId="0" applyFont="1" applyFill="1" applyBorder="1"/>
    <xf numFmtId="3" fontId="0" fillId="13" borderId="30" xfId="0" applyNumberFormat="1" applyFill="1" applyBorder="1"/>
    <xf numFmtId="3" fontId="0" fillId="13" borderId="0" xfId="0" applyNumberFormat="1" applyFill="1"/>
    <xf numFmtId="4" fontId="0" fillId="13" borderId="0" xfId="0" applyNumberFormat="1" applyFill="1"/>
    <xf numFmtId="3" fontId="0" fillId="13" borderId="28" xfId="0" applyNumberFormat="1" applyFill="1" applyBorder="1"/>
    <xf numFmtId="3" fontId="0" fillId="13" borderId="1" xfId="0" applyNumberFormat="1" applyFill="1" applyBorder="1"/>
    <xf numFmtId="4" fontId="0" fillId="13" borderId="1" xfId="0" applyNumberFormat="1" applyFill="1" applyBorder="1"/>
    <xf numFmtId="4" fontId="0" fillId="14" borderId="0" xfId="0" applyNumberFormat="1" applyFill="1"/>
    <xf numFmtId="0" fontId="0" fillId="14" borderId="31" xfId="0" applyFill="1" applyBorder="1"/>
    <xf numFmtId="3" fontId="0" fillId="14" borderId="0" xfId="0" applyNumberFormat="1" applyFill="1"/>
    <xf numFmtId="0" fontId="2" fillId="5" borderId="7" xfId="0" applyFont="1" applyFill="1" applyBorder="1" applyAlignment="1">
      <alignment horizontal="center"/>
    </xf>
    <xf numFmtId="0" fontId="2" fillId="5" borderId="8" xfId="0" applyFont="1" applyFill="1" applyBorder="1" applyAlignment="1">
      <alignment horizontal="center"/>
    </xf>
    <xf numFmtId="3" fontId="0" fillId="0" borderId="8" xfId="0" applyNumberFormat="1" applyBorder="1" applyAlignment="1">
      <alignment horizontal="center"/>
    </xf>
    <xf numFmtId="3" fontId="0" fillId="5" borderId="40" xfId="0" applyNumberFormat="1" applyFill="1" applyBorder="1" applyAlignment="1">
      <alignment horizontal="center"/>
    </xf>
    <xf numFmtId="3" fontId="0" fillId="5" borderId="26" xfId="0" applyNumberFormat="1" applyFill="1" applyBorder="1" applyAlignment="1">
      <alignment horizontal="center"/>
    </xf>
    <xf numFmtId="3" fontId="0" fillId="5" borderId="41" xfId="0" applyNumberFormat="1" applyFill="1" applyBorder="1" applyAlignment="1">
      <alignment horizontal="center"/>
    </xf>
    <xf numFmtId="0" fontId="4" fillId="4" borderId="4" xfId="0" applyFont="1" applyFill="1" applyBorder="1" applyAlignment="1">
      <alignment horizontal="centerContinuous"/>
    </xf>
    <xf numFmtId="9" fontId="0" fillId="0" borderId="0" xfId="1" applyFont="1" applyAlignment="1">
      <alignment horizontal="center"/>
    </xf>
    <xf numFmtId="3" fontId="0" fillId="0" borderId="1" xfId="0" applyNumberFormat="1" applyBorder="1"/>
    <xf numFmtId="9" fontId="0" fillId="8" borderId="42" xfId="0" applyNumberFormat="1" applyFill="1" applyBorder="1"/>
    <xf numFmtId="0" fontId="2" fillId="10" borderId="12" xfId="0" applyFont="1" applyFill="1" applyBorder="1"/>
    <xf numFmtId="0" fontId="0" fillId="10" borderId="13" xfId="0" applyFill="1" applyBorder="1"/>
    <xf numFmtId="0" fontId="2" fillId="4" borderId="4" xfId="0" applyFont="1" applyFill="1" applyBorder="1" applyAlignment="1">
      <alignment horizontal="centerContinuous"/>
    </xf>
    <xf numFmtId="0" fontId="4" fillId="11" borderId="5" xfId="0" applyFont="1" applyFill="1" applyBorder="1" applyAlignment="1">
      <alignment horizontal="centerContinuous"/>
    </xf>
    <xf numFmtId="0" fontId="2" fillId="11" borderId="1" xfId="0" applyFont="1" applyFill="1" applyBorder="1"/>
    <xf numFmtId="0" fontId="2" fillId="11" borderId="1" xfId="0" applyFont="1" applyFill="1" applyBorder="1" applyAlignment="1">
      <alignment horizontal="center"/>
    </xf>
    <xf numFmtId="0" fontId="2" fillId="11" borderId="6" xfId="0" applyFont="1" applyFill="1" applyBorder="1" applyAlignment="1">
      <alignment horizontal="center"/>
    </xf>
    <xf numFmtId="0" fontId="0" fillId="0" borderId="1" xfId="0" applyBorder="1"/>
    <xf numFmtId="37" fontId="0" fillId="0" borderId="0" xfId="3" applyNumberFormat="1" applyFont="1" applyAlignment="1">
      <alignment horizontal="center"/>
    </xf>
    <xf numFmtId="0" fontId="2" fillId="0" borderId="3" xfId="0" quotePrefix="1" applyFont="1" applyBorder="1" applyAlignment="1">
      <alignment horizontal="left"/>
    </xf>
    <xf numFmtId="0" fontId="2" fillId="0" borderId="3" xfId="0" applyFont="1" applyBorder="1"/>
    <xf numFmtId="0" fontId="11" fillId="0" borderId="4" xfId="0" applyFont="1" applyBorder="1"/>
    <xf numFmtId="0" fontId="11" fillId="0" borderId="1" xfId="0" applyFont="1" applyBorder="1"/>
    <xf numFmtId="3" fontId="32" fillId="0" borderId="0" xfId="0" applyNumberFormat="1" applyFont="1"/>
    <xf numFmtId="165" fontId="24" fillId="0" borderId="0" xfId="0" applyNumberFormat="1" applyFont="1" applyAlignment="1">
      <alignment horizontal="center" vertical="top" wrapText="1"/>
    </xf>
    <xf numFmtId="0" fontId="0" fillId="0" borderId="1" xfId="0" applyBorder="1" applyAlignment="1">
      <alignment horizontal="center"/>
    </xf>
    <xf numFmtId="3" fontId="2" fillId="0" borderId="0" xfId="0" applyNumberFormat="1" applyFont="1" applyAlignment="1">
      <alignment horizontal="center"/>
    </xf>
    <xf numFmtId="0" fontId="2" fillId="0" borderId="0" xfId="0" applyFont="1" applyAlignment="1">
      <alignment horizontal="left"/>
    </xf>
    <xf numFmtId="3" fontId="0" fillId="0" borderId="0" xfId="3" applyNumberFormat="1" applyFont="1" applyAlignment="1">
      <alignment horizontal="center"/>
    </xf>
    <xf numFmtId="3" fontId="2" fillId="0" borderId="0" xfId="3" applyNumberFormat="1" applyFont="1" applyAlignment="1">
      <alignment horizontal="center"/>
    </xf>
    <xf numFmtId="3" fontId="0" fillId="0" borderId="1" xfId="3" applyNumberFormat="1" applyFont="1" applyBorder="1" applyAlignment="1">
      <alignment horizontal="center"/>
    </xf>
    <xf numFmtId="166" fontId="2" fillId="0" borderId="0" xfId="3" applyNumberFormat="1" applyFont="1"/>
    <xf numFmtId="3" fontId="7" fillId="0" borderId="0" xfId="3" applyNumberFormat="1" applyAlignment="1">
      <alignment horizontal="center"/>
    </xf>
    <xf numFmtId="3" fontId="7" fillId="0" borderId="1" xfId="3" applyNumberFormat="1" applyBorder="1" applyAlignment="1">
      <alignment horizontal="center"/>
    </xf>
    <xf numFmtId="0" fontId="0" fillId="0" borderId="1" xfId="0" applyBorder="1" applyAlignment="1">
      <alignment horizontal="left"/>
    </xf>
    <xf numFmtId="3" fontId="7" fillId="0" borderId="26" xfId="3" applyNumberFormat="1" applyBorder="1" applyAlignment="1">
      <alignment horizontal="center"/>
    </xf>
    <xf numFmtId="3" fontId="0" fillId="0" borderId="26" xfId="0" applyNumberFormat="1" applyBorder="1" applyAlignment="1">
      <alignment horizontal="center"/>
    </xf>
    <xf numFmtId="43" fontId="2" fillId="0" borderId="0" xfId="3" applyFont="1"/>
    <xf numFmtId="3" fontId="2" fillId="0" borderId="0" xfId="0" applyNumberFormat="1" applyFont="1"/>
    <xf numFmtId="166" fontId="7" fillId="0" borderId="0" xfId="3" applyNumberFormat="1"/>
    <xf numFmtId="0" fontId="0" fillId="0" borderId="0" xfId="0" applyAlignment="1">
      <alignment horizontal="center" vertical="center" wrapText="1"/>
    </xf>
    <xf numFmtId="0" fontId="0" fillId="0" borderId="1" xfId="0" applyBorder="1" applyAlignment="1">
      <alignment horizontal="center" vertical="center" wrapText="1"/>
    </xf>
    <xf numFmtId="167" fontId="0" fillId="13" borderId="0" xfId="0" applyNumberFormat="1" applyFill="1" applyAlignment="1">
      <alignment horizontal="center"/>
    </xf>
    <xf numFmtId="0" fontId="0" fillId="13" borderId="0" xfId="0" applyFill="1" applyAlignment="1">
      <alignment horizontal="center"/>
    </xf>
    <xf numFmtId="167" fontId="0" fillId="0" borderId="0" xfId="0" applyNumberFormat="1" applyAlignment="1">
      <alignment horizontal="center"/>
    </xf>
    <xf numFmtId="0" fontId="0" fillId="13" borderId="1" xfId="0" applyFill="1" applyBorder="1"/>
    <xf numFmtId="167" fontId="0" fillId="13" borderId="1" xfId="0" applyNumberFormat="1" applyFill="1" applyBorder="1" applyAlignment="1">
      <alignment horizontal="center"/>
    </xf>
    <xf numFmtId="0" fontId="0" fillId="13" borderId="1" xfId="0" applyFill="1" applyBorder="1" applyAlignment="1">
      <alignment horizontal="center"/>
    </xf>
    <xf numFmtId="167" fontId="0" fillId="0" borderId="1" xfId="0" applyNumberFormat="1" applyBorder="1" applyAlignment="1">
      <alignment horizontal="center"/>
    </xf>
    <xf numFmtId="0" fontId="0" fillId="0" borderId="0" xfId="0" applyAlignment="1">
      <alignment horizontal="left" vertical="top" wrapText="1"/>
    </xf>
    <xf numFmtId="0" fontId="0" fillId="13" borderId="31" xfId="0" applyFill="1" applyBorder="1" applyAlignment="1">
      <alignment horizontal="left" vertical="center"/>
    </xf>
    <xf numFmtId="3" fontId="0" fillId="0" borderId="4" xfId="0" applyNumberFormat="1" applyBorder="1" applyAlignment="1">
      <alignment horizontal="center"/>
    </xf>
    <xf numFmtId="3" fontId="2" fillId="0" borderId="30" xfId="0" applyNumberFormat="1" applyFont="1" applyBorder="1" applyAlignment="1">
      <alignment horizontal="center"/>
    </xf>
    <xf numFmtId="3" fontId="2" fillId="0" borderId="28" xfId="0" applyNumberFormat="1" applyFont="1" applyBorder="1" applyAlignment="1">
      <alignment horizontal="center"/>
    </xf>
    <xf numFmtId="0" fontId="0" fillId="14" borderId="0" xfId="0" applyFill="1"/>
    <xf numFmtId="0" fontId="2" fillId="14" borderId="39" xfId="0" applyFont="1" applyFill="1" applyBorder="1"/>
    <xf numFmtId="0" fontId="2" fillId="14" borderId="38" xfId="0" applyFont="1" applyFill="1" applyBorder="1"/>
    <xf numFmtId="3" fontId="2" fillId="14" borderId="45" xfId="0" applyNumberFormat="1" applyFont="1" applyFill="1" applyBorder="1" applyAlignment="1">
      <alignment horizontal="center"/>
    </xf>
    <xf numFmtId="0" fontId="2" fillId="14" borderId="29" xfId="0" applyFont="1" applyFill="1" applyBorder="1"/>
    <xf numFmtId="0" fontId="2" fillId="14" borderId="1" xfId="0" applyFont="1" applyFill="1" applyBorder="1"/>
    <xf numFmtId="0" fontId="0" fillId="14" borderId="2" xfId="0" applyFill="1" applyBorder="1" applyAlignment="1">
      <alignment horizontal="center"/>
    </xf>
    <xf numFmtId="0" fontId="0" fillId="14" borderId="1" xfId="0" applyFill="1" applyBorder="1" applyAlignment="1">
      <alignment horizontal="center"/>
    </xf>
    <xf numFmtId="0" fontId="0" fillId="14" borderId="6" xfId="0" applyFill="1" applyBorder="1" applyAlignment="1">
      <alignment horizontal="center"/>
    </xf>
    <xf numFmtId="3" fontId="2" fillId="14" borderId="11" xfId="0" applyNumberFormat="1" applyFont="1" applyFill="1" applyBorder="1" applyAlignment="1">
      <alignment horizontal="center"/>
    </xf>
    <xf numFmtId="9" fontId="7" fillId="14" borderId="7" xfId="1" applyFill="1" applyBorder="1" applyAlignment="1">
      <alignment horizontal="center"/>
    </xf>
    <xf numFmtId="9" fontId="7" fillId="14" borderId="0" xfId="1" applyFill="1" applyAlignment="1">
      <alignment horizontal="center"/>
    </xf>
    <xf numFmtId="9" fontId="7" fillId="14" borderId="8" xfId="1" applyFill="1" applyBorder="1" applyAlignment="1">
      <alignment horizontal="center"/>
    </xf>
    <xf numFmtId="9" fontId="2" fillId="14" borderId="0" xfId="1" applyFont="1" applyFill="1" applyAlignment="1">
      <alignment horizontal="center"/>
    </xf>
    <xf numFmtId="9" fontId="7" fillId="14" borderId="10" xfId="1" applyFill="1" applyBorder="1" applyAlignment="1">
      <alignment horizontal="center"/>
    </xf>
    <xf numFmtId="9" fontId="0" fillId="14" borderId="30" xfId="0" applyNumberFormat="1" applyFill="1" applyBorder="1"/>
    <xf numFmtId="9" fontId="2" fillId="14" borderId="10" xfId="1" applyFont="1" applyFill="1" applyBorder="1" applyAlignment="1">
      <alignment horizontal="center"/>
    </xf>
    <xf numFmtId="9" fontId="2" fillId="14" borderId="8" xfId="1" applyFont="1" applyFill="1" applyBorder="1" applyAlignment="1">
      <alignment horizontal="center"/>
    </xf>
    <xf numFmtId="0" fontId="0" fillId="14" borderId="29" xfId="0" applyFill="1" applyBorder="1"/>
    <xf numFmtId="3" fontId="0" fillId="14" borderId="1" xfId="0" applyNumberFormat="1" applyFill="1" applyBorder="1"/>
    <xf numFmtId="9" fontId="7" fillId="14" borderId="2" xfId="1" applyFill="1" applyBorder="1" applyAlignment="1">
      <alignment horizontal="center"/>
    </xf>
    <xf numFmtId="9" fontId="7" fillId="14" borderId="1" xfId="1" applyFill="1" applyBorder="1" applyAlignment="1">
      <alignment horizontal="center"/>
    </xf>
    <xf numFmtId="9" fontId="7" fillId="14" borderId="6" xfId="1" applyFill="1" applyBorder="1" applyAlignment="1">
      <alignment horizontal="center"/>
    </xf>
    <xf numFmtId="9" fontId="2" fillId="14" borderId="1" xfId="1" applyFont="1" applyFill="1" applyBorder="1" applyAlignment="1">
      <alignment horizontal="center"/>
    </xf>
    <xf numFmtId="9" fontId="7" fillId="14" borderId="11" xfId="1" applyFill="1" applyBorder="1" applyAlignment="1">
      <alignment horizontal="center"/>
    </xf>
    <xf numFmtId="9" fontId="0" fillId="14" borderId="28" xfId="0" applyNumberFormat="1" applyFill="1" applyBorder="1"/>
    <xf numFmtId="0" fontId="2" fillId="14" borderId="27" xfId="0" applyFont="1" applyFill="1" applyBorder="1"/>
    <xf numFmtId="3" fontId="2" fillId="14" borderId="41" xfId="0" applyNumberFormat="1" applyFont="1" applyFill="1" applyBorder="1"/>
    <xf numFmtId="9" fontId="7" fillId="14" borderId="26" xfId="1" applyFill="1" applyBorder="1" applyAlignment="1">
      <alignment horizontal="center"/>
    </xf>
    <xf numFmtId="9" fontId="7" fillId="14" borderId="41" xfId="1" applyFill="1" applyBorder="1" applyAlignment="1">
      <alignment horizontal="center"/>
    </xf>
    <xf numFmtId="9" fontId="0" fillId="14" borderId="25" xfId="0" applyNumberFormat="1" applyFill="1" applyBorder="1"/>
    <xf numFmtId="9" fontId="7" fillId="0" borderId="0" xfId="1"/>
    <xf numFmtId="0" fontId="2" fillId="14" borderId="44" xfId="0" applyFont="1" applyFill="1" applyBorder="1"/>
    <xf numFmtId="3" fontId="2" fillId="14" borderId="44" xfId="0" applyNumberFormat="1" applyFont="1" applyFill="1" applyBorder="1" applyAlignment="1">
      <alignment horizontal="center"/>
    </xf>
    <xf numFmtId="0" fontId="2" fillId="14" borderId="6" xfId="0" applyFont="1" applyFill="1" applyBorder="1"/>
    <xf numFmtId="3" fontId="2" fillId="14" borderId="6" xfId="0" applyNumberFormat="1" applyFont="1" applyFill="1" applyBorder="1" applyAlignment="1">
      <alignment horizontal="center"/>
    </xf>
    <xf numFmtId="3" fontId="0" fillId="14" borderId="8" xfId="0" applyNumberFormat="1" applyFill="1" applyBorder="1"/>
    <xf numFmtId="3" fontId="7" fillId="14" borderId="0" xfId="1" applyNumberFormat="1" applyFill="1" applyAlignment="1">
      <alignment horizontal="center"/>
    </xf>
    <xf numFmtId="3" fontId="7" fillId="14" borderId="8" xfId="1" applyNumberFormat="1" applyFill="1" applyBorder="1" applyAlignment="1">
      <alignment horizontal="center"/>
    </xf>
    <xf numFmtId="3" fontId="0" fillId="14" borderId="30" xfId="0" applyNumberFormat="1" applyFill="1" applyBorder="1"/>
    <xf numFmtId="3" fontId="0" fillId="14" borderId="6" xfId="0" applyNumberFormat="1" applyFill="1" applyBorder="1"/>
    <xf numFmtId="3" fontId="7" fillId="14" borderId="1" xfId="1" applyNumberFormat="1" applyFill="1" applyBorder="1" applyAlignment="1">
      <alignment horizontal="center"/>
    </xf>
    <xf numFmtId="3" fontId="7" fillId="14" borderId="6" xfId="1" applyNumberFormat="1" applyFill="1" applyBorder="1" applyAlignment="1">
      <alignment horizontal="center"/>
    </xf>
    <xf numFmtId="3" fontId="0" fillId="14" borderId="28" xfId="0" applyNumberFormat="1" applyFill="1" applyBorder="1"/>
    <xf numFmtId="3" fontId="7" fillId="14" borderId="26" xfId="1" applyNumberFormat="1" applyFill="1" applyBorder="1" applyAlignment="1">
      <alignment horizontal="center"/>
    </xf>
    <xf numFmtId="3" fontId="7" fillId="14" borderId="41" xfId="1" applyNumberFormat="1" applyFill="1" applyBorder="1" applyAlignment="1">
      <alignment horizontal="center"/>
    </xf>
    <xf numFmtId="3" fontId="0" fillId="14" borderId="25" xfId="0" applyNumberFormat="1" applyFill="1" applyBorder="1"/>
    <xf numFmtId="0" fontId="2" fillId="13" borderId="36" xfId="0" applyFont="1" applyFill="1" applyBorder="1"/>
    <xf numFmtId="0" fontId="2" fillId="13" borderId="34" xfId="0" applyFont="1" applyFill="1" applyBorder="1"/>
    <xf numFmtId="4" fontId="0" fillId="14" borderId="1" xfId="0" applyNumberFormat="1" applyFill="1" applyBorder="1"/>
    <xf numFmtId="0" fontId="0" fillId="14" borderId="33" xfId="0" applyFill="1" applyBorder="1"/>
    <xf numFmtId="3" fontId="0" fillId="13" borderId="14" xfId="0" applyNumberFormat="1" applyFill="1" applyBorder="1"/>
    <xf numFmtId="3" fontId="2" fillId="0" borderId="35" xfId="0" applyNumberFormat="1" applyFont="1" applyBorder="1" applyAlignment="1">
      <alignment horizontal="center"/>
    </xf>
    <xf numFmtId="3" fontId="2" fillId="0" borderId="34" xfId="0" applyNumberFormat="1" applyFont="1" applyBorder="1" applyAlignment="1">
      <alignment horizontal="center"/>
    </xf>
    <xf numFmtId="9" fontId="0" fillId="0" borderId="31" xfId="0" applyNumberFormat="1" applyBorder="1" applyAlignment="1">
      <alignment horizontal="left"/>
    </xf>
    <xf numFmtId="37" fontId="0" fillId="13" borderId="0" xfId="3" applyNumberFormat="1" applyFont="1" applyFill="1" applyAlignment="1">
      <alignment horizontal="center"/>
    </xf>
    <xf numFmtId="37" fontId="0" fillId="0" borderId="30" xfId="3" applyNumberFormat="1" applyFont="1" applyBorder="1" applyAlignment="1">
      <alignment horizontal="center"/>
    </xf>
    <xf numFmtId="9" fontId="0" fillId="0" borderId="27" xfId="0" applyNumberFormat="1" applyBorder="1" applyAlignment="1">
      <alignment horizontal="left"/>
    </xf>
    <xf numFmtId="37" fontId="0" fillId="13" borderId="26" xfId="3" applyNumberFormat="1" applyFont="1" applyFill="1" applyBorder="1" applyAlignment="1">
      <alignment horizontal="center"/>
    </xf>
    <xf numFmtId="37" fontId="0" fillId="0" borderId="26" xfId="3" applyNumberFormat="1" applyFont="1" applyBorder="1" applyAlignment="1">
      <alignment horizontal="center"/>
    </xf>
    <xf numFmtId="37" fontId="0" fillId="0" borderId="25" xfId="3" applyNumberFormat="1" applyFont="1" applyBorder="1" applyAlignment="1">
      <alignment horizontal="center"/>
    </xf>
    <xf numFmtId="3" fontId="11" fillId="9" borderId="0" xfId="0" applyNumberFormat="1" applyFont="1" applyFill="1"/>
    <xf numFmtId="3" fontId="36" fillId="0" borderId="0" xfId="0" applyNumberFormat="1" applyFont="1" applyAlignment="1">
      <alignment horizontal="right" vertical="center" wrapText="1"/>
    </xf>
    <xf numFmtId="0" fontId="36" fillId="0" borderId="0" xfId="0" applyFont="1" applyAlignment="1">
      <alignment horizontal="right" vertical="center" wrapText="1"/>
    </xf>
    <xf numFmtId="0" fontId="36" fillId="0" borderId="0" xfId="0" applyFont="1" applyAlignment="1">
      <alignment vertical="center" wrapText="1"/>
    </xf>
    <xf numFmtId="3" fontId="37" fillId="0" borderId="0" xfId="0" applyNumberFormat="1" applyFont="1" applyAlignment="1">
      <alignment horizontal="right" vertical="top" wrapText="1" indent="1"/>
    </xf>
    <xf numFmtId="1" fontId="37" fillId="0" borderId="0" xfId="0" applyNumberFormat="1" applyFont="1" applyAlignment="1">
      <alignment horizontal="right" vertical="top" wrapText="1" indent="1"/>
    </xf>
    <xf numFmtId="0" fontId="14" fillId="0" borderId="0" xfId="0" applyFont="1" applyAlignment="1">
      <alignment horizontal="left" vertical="top" wrapText="1"/>
    </xf>
    <xf numFmtId="3" fontId="0" fillId="0" borderId="3" xfId="0" applyNumberFormat="1" applyBorder="1" applyAlignment="1">
      <alignment horizontal="center"/>
    </xf>
    <xf numFmtId="3" fontId="0" fillId="0" borderId="5" xfId="0" applyNumberFormat="1" applyBorder="1" applyAlignment="1">
      <alignment horizontal="center"/>
    </xf>
    <xf numFmtId="3" fontId="0" fillId="0" borderId="7" xfId="0" applyNumberFormat="1" applyBorder="1" applyAlignment="1">
      <alignment horizontal="center"/>
    </xf>
    <xf numFmtId="3" fontId="0" fillId="0" borderId="2" xfId="3" applyNumberFormat="1" applyFont="1" applyBorder="1" applyAlignment="1">
      <alignment horizontal="center"/>
    </xf>
    <xf numFmtId="3" fontId="0" fillId="0" borderId="6" xfId="3" applyNumberFormat="1" applyFont="1" applyBorder="1" applyAlignment="1">
      <alignment horizontal="center"/>
    </xf>
    <xf numFmtId="3" fontId="13" fillId="0" borderId="0" xfId="0" applyNumberFormat="1" applyFont="1" applyAlignment="1">
      <alignment horizontal="right"/>
    </xf>
    <xf numFmtId="0" fontId="2" fillId="0" borderId="0" xfId="0" applyFont="1" applyAlignment="1">
      <alignment horizontal="center" vertical="center" textRotation="90" wrapText="1"/>
    </xf>
    <xf numFmtId="0" fontId="38" fillId="0" borderId="0" xfId="0" applyFont="1"/>
    <xf numFmtId="0" fontId="38" fillId="9" borderId="0" xfId="0" applyFont="1" applyFill="1"/>
    <xf numFmtId="0" fontId="39" fillId="0" borderId="0" xfId="0" applyFont="1"/>
    <xf numFmtId="0" fontId="39" fillId="9" borderId="0" xfId="0" applyFont="1" applyFill="1"/>
    <xf numFmtId="0" fontId="40" fillId="0" borderId="0" xfId="0" applyFont="1" applyAlignment="1">
      <alignment horizontal="center" vertical="center"/>
    </xf>
    <xf numFmtId="9" fontId="39" fillId="0" borderId="0" xfId="0" applyNumberFormat="1" applyFont="1"/>
    <xf numFmtId="9" fontId="39" fillId="0" borderId="0" xfId="1" applyFont="1"/>
    <xf numFmtId="0" fontId="39" fillId="0" borderId="7" xfId="0" applyFont="1" applyBorder="1"/>
    <xf numFmtId="3" fontId="39" fillId="0" borderId="7" xfId="0" applyNumberFormat="1" applyFont="1" applyBorder="1" applyAlignment="1">
      <alignment horizontal="right"/>
    </xf>
    <xf numFmtId="3" fontId="39" fillId="0" borderId="8" xfId="0" applyNumberFormat="1" applyFont="1" applyBorder="1" applyAlignment="1">
      <alignment horizontal="right"/>
    </xf>
    <xf numFmtId="3" fontId="39" fillId="0" borderId="4" xfId="0" applyNumberFormat="1" applyFont="1" applyBorder="1" applyAlignment="1">
      <alignment horizontal="right"/>
    </xf>
    <xf numFmtId="3" fontId="39" fillId="0" borderId="2" xfId="0" applyNumberFormat="1" applyFont="1" applyBorder="1" applyAlignment="1">
      <alignment horizontal="right"/>
    </xf>
    <xf numFmtId="3" fontId="39" fillId="0" borderId="6" xfId="0" applyNumberFormat="1" applyFont="1" applyBorder="1" applyAlignment="1">
      <alignment horizontal="right"/>
    </xf>
    <xf numFmtId="3" fontId="39" fillId="0" borderId="1" xfId="0" applyNumberFormat="1" applyFont="1" applyBorder="1" applyAlignment="1">
      <alignment horizontal="right"/>
    </xf>
    <xf numFmtId="0" fontId="39" fillId="0" borderId="5" xfId="0" applyFont="1" applyBorder="1"/>
    <xf numFmtId="3" fontId="39" fillId="0" borderId="3" xfId="0" applyNumberFormat="1" applyFont="1" applyBorder="1" applyAlignment="1">
      <alignment horizontal="right"/>
    </xf>
    <xf numFmtId="3" fontId="39" fillId="0" borderId="5" xfId="0" applyNumberFormat="1" applyFont="1" applyBorder="1" applyAlignment="1">
      <alignment horizontal="right"/>
    </xf>
    <xf numFmtId="0" fontId="39" fillId="0" borderId="10" xfId="0" applyFont="1" applyBorder="1"/>
    <xf numFmtId="3" fontId="39" fillId="0" borderId="0" xfId="0" applyNumberFormat="1" applyFont="1" applyAlignment="1">
      <alignment horizontal="right"/>
    </xf>
    <xf numFmtId="0" fontId="39" fillId="0" borderId="2" xfId="0" applyFont="1" applyBorder="1"/>
    <xf numFmtId="3" fontId="39" fillId="0" borderId="0" xfId="0" applyNumberFormat="1" applyFont="1"/>
    <xf numFmtId="0" fontId="40" fillId="11" borderId="0" xfId="0" applyFont="1" applyFill="1" applyAlignment="1">
      <alignment horizontal="center"/>
    </xf>
    <xf numFmtId="0" fontId="40" fillId="0" borderId="0" xfId="0" applyFont="1" applyAlignment="1">
      <alignment horizontal="center"/>
    </xf>
    <xf numFmtId="0" fontId="39" fillId="0" borderId="0" xfId="0" applyFont="1" applyAlignment="1">
      <alignment horizontal="right"/>
    </xf>
    <xf numFmtId="10" fontId="39" fillId="0" borderId="0" xfId="0" applyNumberFormat="1" applyFont="1" applyAlignment="1">
      <alignment horizontal="left"/>
    </xf>
    <xf numFmtId="164" fontId="39" fillId="0" borderId="0" xfId="0" applyNumberFormat="1" applyFont="1" applyAlignment="1">
      <alignment horizontal="left"/>
    </xf>
    <xf numFmtId="0" fontId="2" fillId="17" borderId="0" xfId="0" applyFont="1" applyFill="1"/>
    <xf numFmtId="0" fontId="2" fillId="17" borderId="0" xfId="0" applyFont="1" applyFill="1" applyAlignment="1">
      <alignment horizontal="center"/>
    </xf>
    <xf numFmtId="1" fontId="0" fillId="0" borderId="0" xfId="0" applyNumberFormat="1"/>
    <xf numFmtId="0" fontId="42" fillId="0" borderId="0" xfId="4"/>
    <xf numFmtId="9" fontId="0" fillId="0" borderId="1" xfId="1" applyFont="1" applyBorder="1" applyAlignment="1">
      <alignment horizontal="center"/>
    </xf>
    <xf numFmtId="3" fontId="0" fillId="0" borderId="42" xfId="0" applyNumberFormat="1" applyBorder="1"/>
    <xf numFmtId="2" fontId="0" fillId="0" borderId="0" xfId="0" applyNumberFormat="1"/>
    <xf numFmtId="168" fontId="0" fillId="0" borderId="0" xfId="0" applyNumberFormat="1"/>
    <xf numFmtId="0" fontId="0" fillId="0" borderId="0" xfId="0" quotePrefix="1"/>
    <xf numFmtId="168" fontId="11" fillId="0" borderId="0" xfId="0" applyNumberFormat="1" applyFont="1"/>
    <xf numFmtId="9" fontId="0" fillId="0" borderId="0" xfId="1" applyFont="1" applyAlignment="1">
      <alignment horizontal="right"/>
    </xf>
    <xf numFmtId="167" fontId="32" fillId="0" borderId="0" xfId="0" applyNumberFormat="1" applyFont="1"/>
    <xf numFmtId="3" fontId="11" fillId="0" borderId="0" xfId="0" applyNumberFormat="1" applyFont="1"/>
    <xf numFmtId="168" fontId="0" fillId="18" borderId="0" xfId="0" applyNumberFormat="1" applyFill="1"/>
    <xf numFmtId="168" fontId="0" fillId="0" borderId="0" xfId="0" applyNumberFormat="1" applyAlignment="1">
      <alignment horizontal="left"/>
    </xf>
    <xf numFmtId="168" fontId="0" fillId="0" borderId="0" xfId="0" applyNumberFormat="1" applyAlignment="1">
      <alignment horizontal="center"/>
    </xf>
    <xf numFmtId="164" fontId="36" fillId="0" borderId="0" xfId="1" applyNumberFormat="1" applyFont="1" applyAlignment="1">
      <alignment vertical="center" wrapText="1"/>
    </xf>
    <xf numFmtId="164" fontId="32" fillId="0" borderId="0" xfId="1" applyNumberFormat="1" applyFont="1"/>
    <xf numFmtId="164" fontId="32" fillId="0" borderId="0" xfId="1" applyNumberFormat="1" applyFont="1" applyAlignment="1">
      <alignment horizontal="center"/>
    </xf>
    <xf numFmtId="3" fontId="0" fillId="0" borderId="0" xfId="0" quotePrefix="1" applyNumberFormat="1"/>
    <xf numFmtId="0" fontId="0" fillId="11" borderId="4" xfId="0" applyFill="1" applyBorder="1"/>
    <xf numFmtId="0" fontId="0" fillId="11" borderId="1" xfId="0" applyFill="1" applyBorder="1"/>
    <xf numFmtId="9" fontId="0" fillId="0" borderId="4" xfId="0" applyNumberFormat="1" applyBorder="1" applyAlignment="1">
      <alignment horizontal="center"/>
    </xf>
    <xf numFmtId="0" fontId="14" fillId="11" borderId="14" xfId="0" applyFont="1" applyFill="1" applyBorder="1" applyAlignment="1">
      <alignment horizontal="center"/>
    </xf>
    <xf numFmtId="0" fontId="12" fillId="11" borderId="12" xfId="0" applyFont="1" applyFill="1" applyBorder="1"/>
    <xf numFmtId="164" fontId="12" fillId="11" borderId="14" xfId="0" applyNumberFormat="1" applyFont="1" applyFill="1" applyBorder="1" applyAlignment="1">
      <alignment horizontal="center"/>
    </xf>
    <xf numFmtId="0" fontId="12" fillId="11" borderId="14" xfId="0" applyFont="1" applyFill="1" applyBorder="1" applyAlignment="1">
      <alignment horizontal="center"/>
    </xf>
    <xf numFmtId="3" fontId="12" fillId="11" borderId="14" xfId="0" applyNumberFormat="1" applyFont="1" applyFill="1" applyBorder="1" applyAlignment="1">
      <alignment horizontal="center"/>
    </xf>
    <xf numFmtId="0" fontId="26" fillId="0" borderId="18" xfId="0" applyFont="1" applyBorder="1" applyAlignment="1">
      <alignment horizontal="center" vertical="top" wrapText="1"/>
    </xf>
    <xf numFmtId="165" fontId="37" fillId="0" borderId="0" xfId="0" applyNumberFormat="1" applyFont="1" applyAlignment="1">
      <alignment horizontal="center" vertical="top" wrapText="1"/>
    </xf>
    <xf numFmtId="0" fontId="36" fillId="0" borderId="0" xfId="0" applyFont="1" applyAlignment="1">
      <alignment horizontal="center" vertical="center" wrapText="1"/>
    </xf>
    <xf numFmtId="0" fontId="14" fillId="0" borderId="0" xfId="0" applyFont="1" applyAlignment="1">
      <alignment horizontal="center" vertical="top" wrapText="1"/>
    </xf>
    <xf numFmtId="3" fontId="32" fillId="0" borderId="0" xfId="0" applyNumberFormat="1" applyFont="1" applyAlignment="1">
      <alignment horizontal="center"/>
    </xf>
    <xf numFmtId="0" fontId="32" fillId="0" borderId="0" xfId="0" applyFont="1" applyAlignment="1">
      <alignment horizontal="center"/>
    </xf>
    <xf numFmtId="0" fontId="23" fillId="0" borderId="0" xfId="0" applyFont="1" applyAlignment="1">
      <alignment horizontal="center" vertical="top" wrapText="1"/>
    </xf>
    <xf numFmtId="0" fontId="0" fillId="3" borderId="0" xfId="0" applyFill="1"/>
    <xf numFmtId="164" fontId="0" fillId="0" borderId="0" xfId="1" applyNumberFormat="1" applyFont="1" applyAlignment="1">
      <alignment horizontal="right"/>
    </xf>
    <xf numFmtId="164" fontId="0" fillId="0" borderId="0" xfId="0" applyNumberFormat="1"/>
    <xf numFmtId="168" fontId="0" fillId="16" borderId="0" xfId="0" applyNumberFormat="1" applyFill="1"/>
    <xf numFmtId="9" fontId="11" fillId="0" borderId="0" xfId="1" applyFont="1" applyAlignment="1">
      <alignment horizontal="right"/>
    </xf>
    <xf numFmtId="3" fontId="12" fillId="11" borderId="13" xfId="0" applyNumberFormat="1" applyFont="1" applyFill="1" applyBorder="1" applyAlignment="1">
      <alignment horizontal="center"/>
    </xf>
    <xf numFmtId="0" fontId="0" fillId="0" borderId="4" xfId="0" quotePrefix="1" applyBorder="1" applyAlignment="1">
      <alignment horizontal="center"/>
    </xf>
    <xf numFmtId="0" fontId="0" fillId="0" borderId="5" xfId="0" quotePrefix="1" applyBorder="1" applyAlignment="1">
      <alignment horizontal="center"/>
    </xf>
    <xf numFmtId="9" fontId="0" fillId="0" borderId="0" xfId="0" applyNumberFormat="1" applyAlignment="1">
      <alignment horizontal="center"/>
    </xf>
    <xf numFmtId="0" fontId="0" fillId="0" borderId="1" xfId="0" quotePrefix="1" applyBorder="1" applyAlignment="1">
      <alignment horizontal="center"/>
    </xf>
    <xf numFmtId="0" fontId="0" fillId="0" borderId="4" xfId="0" applyBorder="1" applyAlignment="1">
      <alignment horizontal="center"/>
    </xf>
    <xf numFmtId="164" fontId="0" fillId="0" borderId="0" xfId="0" quotePrefix="1" applyNumberFormat="1" applyAlignment="1">
      <alignment horizontal="center"/>
    </xf>
    <xf numFmtId="9" fontId="0" fillId="0" borderId="1" xfId="1" quotePrefix="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9" fontId="0" fillId="0" borderId="6" xfId="1" applyFont="1" applyBorder="1" applyAlignment="1">
      <alignment horizontal="center"/>
    </xf>
    <xf numFmtId="37" fontId="0" fillId="0" borderId="8" xfId="3" applyNumberFormat="1" applyFont="1" applyBorder="1" applyAlignment="1">
      <alignment horizontal="center"/>
    </xf>
    <xf numFmtId="0" fontId="2" fillId="4" borderId="14" xfId="0" applyFont="1" applyFill="1" applyBorder="1" applyAlignment="1">
      <alignment horizontal="center"/>
    </xf>
    <xf numFmtId="0" fontId="5" fillId="19" borderId="0" xfId="0" applyFont="1" applyFill="1" applyAlignment="1">
      <alignment vertical="center"/>
    </xf>
    <xf numFmtId="0" fontId="8" fillId="19" borderId="0" xfId="0" applyFont="1" applyFill="1" applyAlignment="1">
      <alignment vertical="center"/>
    </xf>
    <xf numFmtId="0" fontId="1" fillId="19" borderId="0" xfId="0" applyFont="1" applyFill="1" applyAlignment="1">
      <alignment vertical="center"/>
    </xf>
    <xf numFmtId="0" fontId="1" fillId="19" borderId="0" xfId="0" applyFont="1" applyFill="1" applyAlignment="1">
      <alignment horizontal="right" vertical="center"/>
    </xf>
    <xf numFmtId="0" fontId="43" fillId="19" borderId="0" xfId="0" applyFont="1" applyFill="1"/>
    <xf numFmtId="0" fontId="8" fillId="19" borderId="0" xfId="0" applyFont="1" applyFill="1"/>
    <xf numFmtId="0" fontId="2" fillId="9" borderId="0" xfId="0" applyFont="1" applyFill="1" applyAlignment="1">
      <alignment horizontal="center"/>
    </xf>
    <xf numFmtId="0" fontId="2" fillId="20" borderId="12" xfId="0" applyFont="1" applyFill="1" applyBorder="1"/>
    <xf numFmtId="0" fontId="0" fillId="20" borderId="13" xfId="0" applyFill="1" applyBorder="1"/>
    <xf numFmtId="0" fontId="4" fillId="21" borderId="3" xfId="0" applyFont="1" applyFill="1" applyBorder="1" applyAlignment="1">
      <alignment horizontal="centerContinuous"/>
    </xf>
    <xf numFmtId="0" fontId="0" fillId="21" borderId="5" xfId="0" applyFill="1" applyBorder="1" applyAlignment="1">
      <alignment horizontal="centerContinuous"/>
    </xf>
    <xf numFmtId="0" fontId="4" fillId="21" borderId="4" xfId="0" applyFont="1" applyFill="1" applyBorder="1" applyAlignment="1">
      <alignment horizontal="centerContinuous"/>
    </xf>
    <xf numFmtId="0" fontId="2" fillId="21" borderId="4" xfId="0" applyFont="1" applyFill="1" applyBorder="1" applyAlignment="1">
      <alignment horizontal="centerContinuous"/>
    </xf>
    <xf numFmtId="0" fontId="2" fillId="21" borderId="5" xfId="0" applyFont="1" applyFill="1" applyBorder="1" applyAlignment="1">
      <alignment horizontal="centerContinuous"/>
    </xf>
    <xf numFmtId="0" fontId="2" fillId="21" borderId="7" xfId="0" applyFont="1" applyFill="1" applyBorder="1" applyAlignment="1">
      <alignment horizontal="center" vertical="center"/>
    </xf>
    <xf numFmtId="0" fontId="2" fillId="21" borderId="8" xfId="0" applyFont="1" applyFill="1" applyBorder="1" applyAlignment="1">
      <alignment horizontal="center" vertical="center"/>
    </xf>
    <xf numFmtId="0" fontId="2" fillId="21" borderId="0" xfId="0" applyFont="1" applyFill="1" applyAlignment="1">
      <alignment horizontal="center" vertical="center"/>
    </xf>
    <xf numFmtId="0" fontId="2" fillId="21" borderId="3" xfId="0" applyFont="1" applyFill="1" applyBorder="1" applyAlignment="1">
      <alignment horizontal="center" vertical="center"/>
    </xf>
    <xf numFmtId="0" fontId="2" fillId="21" borderId="5" xfId="0" applyFont="1" applyFill="1" applyBorder="1" applyAlignment="1">
      <alignment horizontal="center" vertical="center"/>
    </xf>
    <xf numFmtId="0" fontId="2" fillId="21" borderId="12" xfId="0" applyFont="1" applyFill="1" applyBorder="1" applyAlignment="1">
      <alignment horizontal="centerContinuous"/>
    </xf>
    <xf numFmtId="0" fontId="0" fillId="21" borderId="14" xfId="0" applyFill="1" applyBorder="1" applyAlignment="1">
      <alignment horizontal="centerContinuous"/>
    </xf>
    <xf numFmtId="0" fontId="2" fillId="8" borderId="14" xfId="0" quotePrefix="1" applyFont="1" applyFill="1" applyBorder="1" applyAlignment="1">
      <alignment horizontal="centerContinuous"/>
    </xf>
    <xf numFmtId="0" fontId="2" fillId="8" borderId="14" xfId="0" applyFont="1" applyFill="1" applyBorder="1" applyAlignment="1">
      <alignment horizontal="centerContinuous"/>
    </xf>
    <xf numFmtId="0" fontId="2" fillId="8" borderId="13" xfId="0" applyFont="1" applyFill="1" applyBorder="1" applyAlignment="1">
      <alignment horizontal="centerContinuous"/>
    </xf>
    <xf numFmtId="3" fontId="14" fillId="0" borderId="4" xfId="0" applyNumberFormat="1" applyFont="1" applyBorder="1" applyAlignment="1">
      <alignment horizontal="center"/>
    </xf>
    <xf numFmtId="3" fontId="14" fillId="0" borderId="0" xfId="0" applyNumberFormat="1" applyFont="1" applyAlignment="1">
      <alignment horizontal="center"/>
    </xf>
    <xf numFmtId="3" fontId="2" fillId="21" borderId="12" xfId="0" applyNumberFormat="1" applyFont="1" applyFill="1" applyBorder="1" applyAlignment="1">
      <alignment horizontal="center"/>
    </xf>
    <xf numFmtId="3" fontId="2" fillId="21" borderId="13" xfId="0" applyNumberFormat="1" applyFont="1" applyFill="1" applyBorder="1" applyAlignment="1">
      <alignment horizontal="center"/>
    </xf>
    <xf numFmtId="3" fontId="2" fillId="21" borderId="14" xfId="0" applyNumberFormat="1" applyFont="1" applyFill="1" applyBorder="1" applyAlignment="1">
      <alignment horizontal="center"/>
    </xf>
    <xf numFmtId="3" fontId="14" fillId="0" borderId="1" xfId="0" applyNumberFormat="1" applyFont="1" applyBorder="1" applyAlignment="1">
      <alignment horizontal="center"/>
    </xf>
    <xf numFmtId="3" fontId="2" fillId="4" borderId="14" xfId="0" applyNumberFormat="1" applyFont="1" applyFill="1" applyBorder="1" applyAlignment="1">
      <alignment horizontal="center"/>
    </xf>
    <xf numFmtId="164" fontId="0" fillId="9" borderId="0" xfId="0" applyNumberFormat="1" applyFill="1"/>
    <xf numFmtId="0" fontId="0" fillId="9" borderId="0" xfId="0" quotePrefix="1" applyFill="1" applyAlignment="1">
      <alignment horizontal="center"/>
    </xf>
    <xf numFmtId="3" fontId="0" fillId="9" borderId="0" xfId="0" applyNumberFormat="1" applyFill="1" applyAlignment="1">
      <alignment horizontal="center" vertical="center"/>
    </xf>
    <xf numFmtId="0" fontId="0" fillId="9" borderId="0" xfId="0" applyFill="1" applyAlignment="1">
      <alignment horizontal="center" vertical="center"/>
    </xf>
    <xf numFmtId="3" fontId="12" fillId="9" borderId="0" xfId="0" applyNumberFormat="1" applyFont="1" applyFill="1" applyAlignment="1">
      <alignment horizontal="center"/>
    </xf>
    <xf numFmtId="0" fontId="44" fillId="9" borderId="0" xfId="0" applyFont="1" applyFill="1"/>
    <xf numFmtId="0" fontId="45" fillId="9" borderId="12" xfId="0" applyFont="1" applyFill="1" applyBorder="1" applyAlignment="1">
      <alignment horizontal="center"/>
    </xf>
    <xf numFmtId="164" fontId="45" fillId="9" borderId="13" xfId="0" applyNumberFormat="1" applyFont="1" applyFill="1" applyBorder="1" applyAlignment="1">
      <alignment horizontal="center"/>
    </xf>
    <xf numFmtId="0" fontId="46" fillId="9" borderId="0" xfId="0" applyFont="1" applyFill="1"/>
    <xf numFmtId="0" fontId="46" fillId="0" borderId="0" xfId="0" applyFont="1"/>
    <xf numFmtId="167" fontId="45" fillId="9" borderId="14" xfId="0" applyNumberFormat="1" applyFont="1" applyFill="1" applyBorder="1" applyAlignment="1">
      <alignment horizontal="center"/>
    </xf>
    <xf numFmtId="0" fontId="45" fillId="9" borderId="13" xfId="0" applyFont="1" applyFill="1" applyBorder="1" applyAlignment="1">
      <alignment horizontal="center"/>
    </xf>
    <xf numFmtId="0" fontId="47" fillId="0" borderId="0" xfId="0" applyFont="1"/>
    <xf numFmtId="0" fontId="48" fillId="0" borderId="0" xfId="0" applyFont="1"/>
    <xf numFmtId="0" fontId="0" fillId="0" borderId="0" xfId="0"/>
    <xf numFmtId="1" fontId="11" fillId="0" borderId="0" xfId="0" applyNumberFormat="1" applyFont="1"/>
    <xf numFmtId="3"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9" fontId="2" fillId="0" borderId="1" xfId="1" applyFont="1" applyBorder="1" applyAlignment="1">
      <alignment horizontal="center"/>
    </xf>
    <xf numFmtId="9" fontId="0" fillId="0" borderId="1" xfId="1" applyFont="1" applyBorder="1" applyAlignment="1">
      <alignment horizontal="center"/>
    </xf>
    <xf numFmtId="3" fontId="2" fillId="0" borderId="4" xfId="0" applyNumberFormat="1" applyFont="1" applyBorder="1" applyAlignment="1">
      <alignment horizontal="center"/>
    </xf>
    <xf numFmtId="0" fontId="0" fillId="0" borderId="4" xfId="0" applyBorder="1" applyAlignment="1">
      <alignment horizontal="center"/>
    </xf>
    <xf numFmtId="0" fontId="2" fillId="8" borderId="2" xfId="0" applyFont="1" applyFill="1" applyBorder="1" applyAlignment="1">
      <alignment horizontal="center" vertical="center"/>
    </xf>
    <xf numFmtId="0" fontId="0" fillId="8" borderId="1" xfId="0" applyFill="1" applyBorder="1"/>
    <xf numFmtId="9" fontId="7" fillId="0" borderId="1" xfId="1" applyBorder="1" applyAlignment="1">
      <alignment horizontal="center"/>
    </xf>
    <xf numFmtId="0" fontId="2" fillId="0" borderId="9" xfId="0" applyFont="1" applyBorder="1" applyAlignment="1">
      <alignment horizontal="center" vertical="center" textRotation="90" wrapText="1"/>
    </xf>
    <xf numFmtId="0" fontId="2" fillId="0" borderId="7" xfId="0" applyFont="1" applyBorder="1" applyAlignment="1">
      <alignment horizontal="center" vertical="center" textRotation="90" wrapText="1"/>
    </xf>
    <xf numFmtId="0" fontId="2" fillId="0" borderId="10" xfId="0" applyFont="1" applyBorder="1" applyAlignment="1">
      <alignment horizontal="center" vertical="center" textRotation="90" wrapText="1"/>
    </xf>
    <xf numFmtId="0" fontId="2" fillId="0" borderId="7" xfId="0" applyFont="1" applyBorder="1" applyAlignment="1">
      <alignment horizontal="center" vertical="center" textRotation="90"/>
    </xf>
    <xf numFmtId="0" fontId="2" fillId="0" borderId="10" xfId="0" applyFont="1" applyBorder="1" applyAlignment="1">
      <alignment horizontal="center" vertical="center" textRotation="90"/>
    </xf>
    <xf numFmtId="0" fontId="0" fillId="0" borderId="10" xfId="0" applyBorder="1" applyAlignment="1">
      <alignment horizontal="center" vertical="center" textRotation="90" wrapText="1"/>
    </xf>
    <xf numFmtId="0" fontId="0" fillId="0" borderId="11" xfId="0" applyBorder="1" applyAlignment="1">
      <alignment horizontal="center" vertical="center" textRotation="90" wrapText="1"/>
    </xf>
    <xf numFmtId="0" fontId="2" fillId="18" borderId="3" xfId="0" applyFont="1" applyFill="1" applyBorder="1" applyAlignment="1">
      <alignment horizontal="center" vertical="center"/>
    </xf>
    <xf numFmtId="0" fontId="0" fillId="18" borderId="5" xfId="0" applyFill="1" applyBorder="1" applyAlignment="1">
      <alignment horizontal="center" vertical="center"/>
    </xf>
    <xf numFmtId="0" fontId="0" fillId="18" borderId="2" xfId="0" applyFill="1" applyBorder="1" applyAlignment="1">
      <alignment horizontal="center" vertical="center"/>
    </xf>
    <xf numFmtId="0" fontId="0" fillId="18" borderId="6" xfId="0" applyFill="1" applyBorder="1" applyAlignment="1">
      <alignment horizontal="center" vertical="center"/>
    </xf>
    <xf numFmtId="0" fontId="2" fillId="8" borderId="3" xfId="0" applyFont="1" applyFill="1" applyBorder="1" applyAlignment="1">
      <alignment horizontal="center"/>
    </xf>
    <xf numFmtId="0" fontId="0" fillId="8" borderId="4" xfId="0" applyFill="1" applyBorder="1"/>
    <xf numFmtId="0" fontId="32" fillId="0" borderId="0" xfId="0" quotePrefix="1" applyFont="1" applyAlignment="1">
      <alignment horizontal="center" vertical="center"/>
    </xf>
    <xf numFmtId="0" fontId="0" fillId="0" borderId="0" xfId="0"/>
    <xf numFmtId="0" fontId="0" fillId="0" borderId="1" xfId="0" applyBorder="1"/>
    <xf numFmtId="3"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2" fillId="4" borderId="4" xfId="0" applyFont="1" applyFill="1" applyBorder="1" applyAlignment="1">
      <alignment horizontal="center"/>
    </xf>
    <xf numFmtId="0" fontId="2" fillId="4" borderId="5" xfId="0" applyFont="1" applyFill="1" applyBorder="1" applyAlignment="1">
      <alignment horizontal="center"/>
    </xf>
    <xf numFmtId="0" fontId="2" fillId="4" borderId="1" xfId="0" applyFont="1" applyFill="1" applyBorder="1" applyAlignment="1">
      <alignment horizontal="center"/>
    </xf>
    <xf numFmtId="0" fontId="2" fillId="4" borderId="6" xfId="0" applyFont="1" applyFill="1" applyBorder="1" applyAlignment="1">
      <alignment horizontal="center"/>
    </xf>
    <xf numFmtId="3" fontId="0" fillId="0" borderId="4" xfId="0" applyNumberFormat="1"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4" borderId="14" xfId="0" applyFont="1" applyFill="1" applyBorder="1" applyAlignment="1">
      <alignment horizontal="center"/>
    </xf>
    <xf numFmtId="0" fontId="2" fillId="4" borderId="13" xfId="0" applyFont="1" applyFill="1" applyBorder="1" applyAlignment="1">
      <alignment horizontal="center"/>
    </xf>
    <xf numFmtId="0" fontId="26" fillId="0" borderId="22" xfId="0" applyFont="1" applyBorder="1" applyAlignment="1">
      <alignment horizontal="left" vertical="top" wrapText="1" indent="2"/>
    </xf>
    <xf numFmtId="0" fontId="28" fillId="0" borderId="22" xfId="0" applyFont="1" applyBorder="1" applyAlignment="1">
      <alignment horizontal="left" vertical="top" wrapText="1" indent="1"/>
    </xf>
    <xf numFmtId="0" fontId="28" fillId="0" borderId="24" xfId="0" applyFont="1" applyBorder="1" applyAlignment="1">
      <alignment horizontal="left" vertical="top" wrapText="1" indent="1"/>
    </xf>
    <xf numFmtId="0" fontId="25" fillId="7" borderId="16" xfId="0" applyFont="1" applyFill="1" applyBorder="1" applyAlignment="1">
      <alignment horizontal="left" vertical="top" wrapText="1"/>
    </xf>
    <xf numFmtId="0" fontId="25" fillId="7" borderId="18" xfId="0" applyFont="1" applyFill="1" applyBorder="1" applyAlignment="1">
      <alignment horizontal="left" vertical="top" wrapText="1"/>
    </xf>
    <xf numFmtId="0" fontId="25" fillId="7" borderId="17" xfId="0" applyFont="1" applyFill="1" applyBorder="1" applyAlignment="1">
      <alignment horizontal="left" vertical="top" wrapText="1"/>
    </xf>
    <xf numFmtId="0" fontId="26" fillId="0" borderId="20" xfId="0" applyFont="1" applyBorder="1" applyAlignment="1">
      <alignment horizontal="left" wrapText="1" indent="1"/>
    </xf>
    <xf numFmtId="0" fontId="26" fillId="0" borderId="15" xfId="0" applyFont="1" applyBorder="1" applyAlignment="1">
      <alignment horizontal="left" wrapText="1" indent="1"/>
    </xf>
    <xf numFmtId="0" fontId="26" fillId="0" borderId="21" xfId="0" applyFont="1" applyBorder="1" applyAlignment="1">
      <alignment horizontal="left" wrapText="1" indent="1"/>
    </xf>
    <xf numFmtId="0" fontId="26" fillId="0" borderId="19" xfId="0" applyFont="1" applyBorder="1" applyAlignment="1">
      <alignment horizontal="left" vertical="top" wrapText="1" indent="1"/>
    </xf>
    <xf numFmtId="0" fontId="26" fillId="0" borderId="22" xfId="0" applyFont="1" applyBorder="1" applyAlignment="1">
      <alignment horizontal="left" vertical="top" wrapText="1" indent="1"/>
    </xf>
    <xf numFmtId="0" fontId="26" fillId="0" borderId="19" xfId="0" applyFont="1" applyBorder="1" applyAlignment="1">
      <alignment horizontal="left" vertical="top" wrapText="1" indent="2"/>
    </xf>
    <xf numFmtId="0" fontId="26" fillId="0" borderId="19" xfId="0" applyFont="1" applyBorder="1" applyAlignment="1">
      <alignment horizontal="center" vertical="top" wrapText="1"/>
    </xf>
    <xf numFmtId="0" fontId="26" fillId="0" borderId="23" xfId="0" applyFont="1" applyBorder="1" applyAlignment="1">
      <alignment horizontal="center" vertical="top" wrapText="1"/>
    </xf>
    <xf numFmtId="0" fontId="19" fillId="0" borderId="0" xfId="0" applyFont="1" applyAlignment="1">
      <alignment horizontal="center" vertical="center" textRotation="90"/>
    </xf>
    <xf numFmtId="0" fontId="0" fillId="13" borderId="31" xfId="0" applyFill="1" applyBorder="1" applyAlignment="1">
      <alignment horizontal="left" vertical="center"/>
    </xf>
    <xf numFmtId="0" fontId="0" fillId="14" borderId="0" xfId="0" applyFill="1" applyAlignment="1">
      <alignment horizontal="left"/>
    </xf>
    <xf numFmtId="0" fontId="0" fillId="14" borderId="43" xfId="0" applyFill="1" applyBorder="1" applyAlignment="1">
      <alignment horizontal="center"/>
    </xf>
    <xf numFmtId="0" fontId="0" fillId="14" borderId="38" xfId="0" applyFill="1" applyBorder="1" applyAlignment="1">
      <alignment horizontal="center"/>
    </xf>
    <xf numFmtId="0" fontId="0" fillId="14" borderId="44" xfId="0" applyFill="1" applyBorder="1" applyAlignment="1">
      <alignment horizontal="center"/>
    </xf>
    <xf numFmtId="3" fontId="2" fillId="14" borderId="38" xfId="0" applyNumberFormat="1" applyFont="1" applyFill="1" applyBorder="1" applyAlignment="1">
      <alignment horizontal="center"/>
    </xf>
    <xf numFmtId="0" fontId="0" fillId="14" borderId="46" xfId="0" applyFill="1" applyBorder="1" applyAlignment="1">
      <alignment horizontal="center"/>
    </xf>
    <xf numFmtId="0" fontId="0" fillId="14" borderId="47" xfId="0" applyFill="1" applyBorder="1" applyAlignment="1">
      <alignment horizontal="center"/>
    </xf>
    <xf numFmtId="3" fontId="2" fillId="14" borderId="44" xfId="0" applyNumberFormat="1" applyFont="1" applyFill="1" applyBorder="1" applyAlignment="1">
      <alignment horizontal="center"/>
    </xf>
    <xf numFmtId="0" fontId="0" fillId="14" borderId="37" xfId="0" applyFill="1" applyBorder="1" applyAlignment="1">
      <alignment horizontal="center"/>
    </xf>
    <xf numFmtId="0" fontId="0" fillId="14" borderId="28" xfId="0" applyFill="1" applyBorder="1" applyAlignment="1">
      <alignment horizontal="center"/>
    </xf>
    <xf numFmtId="0" fontId="0" fillId="0" borderId="0" xfId="0" applyAlignment="1">
      <alignment horizontal="left" vertical="top" wrapText="1"/>
    </xf>
    <xf numFmtId="0" fontId="2" fillId="0" borderId="38" xfId="0" applyFont="1" applyBorder="1" applyAlignment="1">
      <alignment horizontal="center"/>
    </xf>
    <xf numFmtId="0" fontId="2" fillId="0" borderId="37" xfId="0" applyFont="1" applyBorder="1" applyAlignment="1">
      <alignment horizontal="center" vertical="center"/>
    </xf>
    <xf numFmtId="0" fontId="2" fillId="0" borderId="28" xfId="0" applyFont="1" applyBorder="1" applyAlignment="1">
      <alignment horizontal="center" vertical="center"/>
    </xf>
    <xf numFmtId="0" fontId="2" fillId="13" borderId="0" xfId="0" applyFont="1" applyFill="1" applyAlignment="1">
      <alignment horizontal="center" vertical="center" textRotation="90" wrapText="1"/>
    </xf>
    <xf numFmtId="0" fontId="2" fillId="13" borderId="1" xfId="0" applyFont="1" applyFill="1" applyBorder="1" applyAlignment="1">
      <alignment horizontal="center" vertical="center" textRotation="90" wrapText="1"/>
    </xf>
    <xf numFmtId="0" fontId="2" fillId="0" borderId="0" xfId="0" applyFont="1" applyAlignment="1">
      <alignment horizontal="center" vertical="center" textRotation="90" wrapText="1"/>
    </xf>
    <xf numFmtId="0" fontId="2" fillId="0" borderId="1" xfId="0" applyFont="1" applyBorder="1" applyAlignment="1">
      <alignment horizontal="center" vertical="center" textRotation="90" wrapText="1"/>
    </xf>
    <xf numFmtId="0" fontId="17" fillId="13" borderId="0" xfId="0" applyFont="1" applyFill="1" applyAlignment="1">
      <alignment horizontal="center" textRotation="45"/>
    </xf>
    <xf numFmtId="0" fontId="17" fillId="0" borderId="0" xfId="0" applyFont="1" applyAlignment="1">
      <alignment horizontal="center" textRotation="45"/>
    </xf>
    <xf numFmtId="0" fontId="0" fillId="0" borderId="0" xfId="0" applyAlignment="1">
      <alignment horizontal="center" wrapText="1"/>
    </xf>
    <xf numFmtId="0" fontId="2" fillId="13" borderId="0" xfId="0" applyFont="1" applyFill="1" applyAlignment="1">
      <alignment horizontal="center"/>
    </xf>
    <xf numFmtId="0" fontId="2" fillId="13" borderId="1" xfId="0" applyFont="1" applyFill="1" applyBorder="1" applyAlignment="1">
      <alignment horizontal="center"/>
    </xf>
    <xf numFmtId="0" fontId="2" fillId="13" borderId="0" xfId="0" applyFont="1" applyFill="1" applyAlignment="1">
      <alignment horizontal="center" vertical="center" wrapText="1"/>
    </xf>
    <xf numFmtId="0" fontId="2" fillId="13" borderId="1" xfId="0" applyFont="1" applyFill="1" applyBorder="1" applyAlignment="1">
      <alignment horizontal="center" vertical="center" wrapText="1"/>
    </xf>
    <xf numFmtId="0" fontId="2" fillId="13" borderId="0" xfId="0" applyFont="1" applyFill="1" applyAlignment="1">
      <alignment horizontal="center" wrapText="1"/>
    </xf>
    <xf numFmtId="0" fontId="2" fillId="13" borderId="1" xfId="0" applyFont="1" applyFill="1" applyBorder="1" applyAlignment="1">
      <alignment horizontal="center" wrapText="1"/>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wrapText="1"/>
    </xf>
    <xf numFmtId="0" fontId="2" fillId="0" borderId="1" xfId="0" applyFont="1" applyBorder="1" applyAlignment="1">
      <alignment horizontal="center" wrapText="1"/>
    </xf>
    <xf numFmtId="0" fontId="0" fillId="0" borderId="0" xfId="0" applyAlignment="1">
      <alignment horizontal="center" vertical="center" wrapText="1"/>
    </xf>
    <xf numFmtId="0" fontId="0" fillId="0" borderId="1" xfId="0" applyBorder="1" applyAlignment="1">
      <alignment horizontal="center" vertical="center" wrapText="1"/>
    </xf>
    <xf numFmtId="43" fontId="0" fillId="0" borderId="0" xfId="3" applyFont="1" applyAlignment="1">
      <alignment horizontal="center" vertical="center" wrapText="1"/>
    </xf>
    <xf numFmtId="43" fontId="7" fillId="0" borderId="0" xfId="3" applyAlignment="1">
      <alignment horizontal="center" vertical="center" wrapText="1"/>
    </xf>
    <xf numFmtId="166" fontId="2" fillId="0" borderId="0" xfId="3" applyNumberFormat="1" applyFont="1" applyAlignment="1">
      <alignment horizontal="center" wrapText="1"/>
    </xf>
    <xf numFmtId="166" fontId="2" fillId="0" borderId="1" xfId="3" applyNumberFormat="1" applyFont="1" applyBorder="1" applyAlignment="1">
      <alignment horizontal="center" wrapText="1"/>
    </xf>
    <xf numFmtId="0" fontId="2" fillId="0" borderId="0" xfId="0" applyFont="1" applyAlignment="1">
      <alignment horizontal="left" wrapText="1"/>
    </xf>
    <xf numFmtId="0" fontId="2" fillId="0" borderId="26" xfId="0" applyFont="1" applyBorder="1" applyAlignment="1">
      <alignment horizontal="left" wrapText="1"/>
    </xf>
    <xf numFmtId="3" fontId="0" fillId="14" borderId="14" xfId="0" applyNumberFormat="1" applyFill="1" applyBorder="1" applyAlignment="1">
      <alignment horizontal="center"/>
    </xf>
    <xf numFmtId="0" fontId="2" fillId="15" borderId="12" xfId="0" applyFont="1" applyFill="1" applyBorder="1" applyAlignment="1">
      <alignment horizontal="center"/>
    </xf>
    <xf numFmtId="0" fontId="2" fillId="15" borderId="14" xfId="0" applyFont="1" applyFill="1" applyBorder="1" applyAlignment="1">
      <alignment horizontal="center"/>
    </xf>
    <xf numFmtId="0" fontId="2" fillId="15" borderId="13" xfId="0" applyFont="1" applyFill="1" applyBorder="1" applyAlignment="1">
      <alignment horizontal="center"/>
    </xf>
  </cellXfs>
  <cellStyles count="5">
    <cellStyle name="Comma" xfId="3" builtinId="3"/>
    <cellStyle name="Hyperlink" xfId="4" builtinId="8"/>
    <cellStyle name="Normal" xfId="0" builtinId="0"/>
    <cellStyle name="Normal 3" xfId="2" xr:uid="{00000000-0005-0000-0000-000002000000}"/>
    <cellStyle name="Percent" xfId="1" builtinId="5"/>
  </cellStyles>
  <dxfs count="1">
    <dxf>
      <numFmt numFmtId="3" formatCode="#,##0"/>
    </dxf>
  </dxfs>
  <tableStyles count="0" defaultTableStyle="TableStyleMedium2" defaultPivotStyle="PivotStyleLight16"/>
  <colors>
    <mruColors>
      <color rgb="FF00D6CC"/>
      <color rgb="FF005854"/>
      <color rgb="FF008D85"/>
      <color rgb="FFBDFFFC"/>
      <color rgb="FF4BFFF6"/>
      <color rgb="FF679D97"/>
      <color rgb="FFC7DBD9"/>
      <color rgb="FF9FC1BD"/>
      <color rgb="FF00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3539598758947"/>
          <c:y val="5.0925925925925923E-2"/>
          <c:w val="0.84783544914028619"/>
          <c:h val="0.81132808107455068"/>
        </c:manualLayout>
      </c:layout>
      <c:barChart>
        <c:barDir val="col"/>
        <c:grouping val="stacked"/>
        <c:varyColors val="0"/>
        <c:ser>
          <c:idx val="0"/>
          <c:order val="0"/>
          <c:tx>
            <c:v>Wild</c:v>
          </c:tx>
          <c:spPr>
            <a:solidFill>
              <a:schemeClr val="accent6">
                <a:lumMod val="75000"/>
              </a:schemeClr>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Runs!$D$6:$D$41</c:f>
              <c:numCache>
                <c:formatCode>#,##0</c:formatCode>
                <c:ptCount val="36"/>
                <c:pt idx="0">
                  <c:v>7128</c:v>
                </c:pt>
                <c:pt idx="1">
                  <c:v>6044</c:v>
                </c:pt>
                <c:pt idx="2">
                  <c:v>6314</c:v>
                </c:pt>
                <c:pt idx="3">
                  <c:v>7292</c:v>
                </c:pt>
                <c:pt idx="4">
                  <c:v>6706</c:v>
                </c:pt>
                <c:pt idx="5">
                  <c:v>10290</c:v>
                </c:pt>
                <c:pt idx="6">
                  <c:v>7903</c:v>
                </c:pt>
                <c:pt idx="7">
                  <c:v>8777</c:v>
                </c:pt>
                <c:pt idx="8">
                  <c:v>7503</c:v>
                </c:pt>
                <c:pt idx="9">
                  <c:v>7455</c:v>
                </c:pt>
                <c:pt idx="10">
                  <c:v>4437</c:v>
                </c:pt>
                <c:pt idx="11">
                  <c:v>2437</c:v>
                </c:pt>
                <c:pt idx="12">
                  <c:v>4261</c:v>
                </c:pt>
                <c:pt idx="13">
                  <c:v>4050</c:v>
                </c:pt>
                <c:pt idx="14">
                  <c:v>1044</c:v>
                </c:pt>
                <c:pt idx="15" formatCode="General">
                  <c:v>223</c:v>
                </c:pt>
                <c:pt idx="16" formatCode="General">
                  <c:v>575</c:v>
                </c:pt>
                <c:pt idx="17">
                  <c:v>1222</c:v>
                </c:pt>
                <c:pt idx="18" formatCode="General">
                  <c:v>550</c:v>
                </c:pt>
                <c:pt idx="19" formatCode="General">
                  <c:v>420</c:v>
                </c:pt>
                <c:pt idx="20">
                  <c:v>1370</c:v>
                </c:pt>
                <c:pt idx="21">
                  <c:v>6287</c:v>
                </c:pt>
                <c:pt idx="22">
                  <c:v>3015</c:v>
                </c:pt>
                <c:pt idx="23">
                  <c:v>2233</c:v>
                </c:pt>
                <c:pt idx="24">
                  <c:v>2353</c:v>
                </c:pt>
                <c:pt idx="25">
                  <c:v>2905</c:v>
                </c:pt>
                <c:pt idx="26">
                  <c:v>1463</c:v>
                </c:pt>
                <c:pt idx="27" formatCode="General">
                  <c:v>463</c:v>
                </c:pt>
                <c:pt idx="28" formatCode="General">
                  <c:v>833</c:v>
                </c:pt>
                <c:pt idx="29">
                  <c:v>1099</c:v>
                </c:pt>
                <c:pt idx="30">
                  <c:v>3110</c:v>
                </c:pt>
                <c:pt idx="31">
                  <c:v>2655</c:v>
                </c:pt>
                <c:pt idx="32">
                  <c:v>5686</c:v>
                </c:pt>
                <c:pt idx="33">
                  <c:v>3472</c:v>
                </c:pt>
                <c:pt idx="34">
                  <c:v>6276</c:v>
                </c:pt>
                <c:pt idx="35">
                  <c:v>7235</c:v>
                </c:pt>
              </c:numCache>
            </c:numRef>
          </c:val>
          <c:extLst>
            <c:ext xmlns:c16="http://schemas.microsoft.com/office/drawing/2014/chart" uri="{C3380CC4-5D6E-409C-BE32-E72D297353CC}">
              <c16:uniqueId val="{00000000-884E-4CC9-A14B-30600EB7A8BC}"/>
            </c:ext>
          </c:extLst>
        </c:ser>
        <c:ser>
          <c:idx val="1"/>
          <c:order val="1"/>
          <c:tx>
            <c:v>Hatchery</c:v>
          </c:tx>
          <c:spPr>
            <a:solidFill>
              <a:schemeClr val="accent1">
                <a:lumMod val="60000"/>
                <a:lumOff val="40000"/>
              </a:schemeClr>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Runs!$Q$6:$Q$41</c:f>
              <c:numCache>
                <c:formatCode>#,##0</c:formatCode>
                <c:ptCount val="36"/>
                <c:pt idx="0">
                  <c:v>9818</c:v>
                </c:pt>
                <c:pt idx="1">
                  <c:v>8096</c:v>
                </c:pt>
                <c:pt idx="2">
                  <c:v>9536</c:v>
                </c:pt>
                <c:pt idx="3">
                  <c:v>8868</c:v>
                </c:pt>
                <c:pt idx="4">
                  <c:v>10070</c:v>
                </c:pt>
                <c:pt idx="5">
                  <c:v>18658</c:v>
                </c:pt>
                <c:pt idx="6">
                  <c:v>21501</c:v>
                </c:pt>
                <c:pt idx="7">
                  <c:v>16708</c:v>
                </c:pt>
                <c:pt idx="8">
                  <c:v>13540</c:v>
                </c:pt>
                <c:pt idx="9">
                  <c:v>11226</c:v>
                </c:pt>
                <c:pt idx="10">
                  <c:v>7576</c:v>
                </c:pt>
                <c:pt idx="11">
                  <c:v>6228</c:v>
                </c:pt>
                <c:pt idx="12">
                  <c:v>16462</c:v>
                </c:pt>
                <c:pt idx="13">
                  <c:v>21947</c:v>
                </c:pt>
                <c:pt idx="14">
                  <c:v>2377</c:v>
                </c:pt>
                <c:pt idx="15">
                  <c:v>1417</c:v>
                </c:pt>
                <c:pt idx="16">
                  <c:v>2852</c:v>
                </c:pt>
                <c:pt idx="17">
                  <c:v>8451</c:v>
                </c:pt>
                <c:pt idx="18">
                  <c:v>3964</c:v>
                </c:pt>
                <c:pt idx="19">
                  <c:v>4470</c:v>
                </c:pt>
                <c:pt idx="20">
                  <c:v>21130</c:v>
                </c:pt>
                <c:pt idx="21">
                  <c:v>45648</c:v>
                </c:pt>
                <c:pt idx="22">
                  <c:v>34013</c:v>
                </c:pt>
                <c:pt idx="23">
                  <c:v>21612</c:v>
                </c:pt>
                <c:pt idx="24">
                  <c:v>13299</c:v>
                </c:pt>
                <c:pt idx="25">
                  <c:v>13726</c:v>
                </c:pt>
                <c:pt idx="26">
                  <c:v>13669</c:v>
                </c:pt>
                <c:pt idx="27">
                  <c:v>6026</c:v>
                </c:pt>
                <c:pt idx="28">
                  <c:v>14577</c:v>
                </c:pt>
                <c:pt idx="29">
                  <c:v>11533</c:v>
                </c:pt>
                <c:pt idx="30">
                  <c:v>34176</c:v>
                </c:pt>
                <c:pt idx="31">
                  <c:v>13381</c:v>
                </c:pt>
                <c:pt idx="32">
                  <c:v>19977</c:v>
                </c:pt>
                <c:pt idx="33">
                  <c:v>14934</c:v>
                </c:pt>
                <c:pt idx="34">
                  <c:v>26770</c:v>
                </c:pt>
                <c:pt idx="35">
                  <c:v>30478</c:v>
                </c:pt>
              </c:numCache>
            </c:numRef>
          </c:val>
          <c:extLst>
            <c:ext xmlns:c16="http://schemas.microsoft.com/office/drawing/2014/chart" uri="{C3380CC4-5D6E-409C-BE32-E72D297353CC}">
              <c16:uniqueId val="{00000001-884E-4CC9-A14B-30600EB7A8BC}"/>
            </c:ext>
          </c:extLst>
        </c:ser>
        <c:dLbls>
          <c:showLegendKey val="0"/>
          <c:showVal val="0"/>
          <c:showCatName val="0"/>
          <c:showSerName val="0"/>
          <c:showPercent val="0"/>
          <c:showBubbleSize val="0"/>
        </c:dLbls>
        <c:gapWidth val="0"/>
        <c:overlap val="100"/>
        <c:axId val="445037728"/>
        <c:axId val="445036160"/>
      </c:barChart>
      <c:catAx>
        <c:axId val="445037728"/>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45036160"/>
        <c:crosses val="autoZero"/>
        <c:auto val="1"/>
        <c:lblAlgn val="ctr"/>
        <c:lblOffset val="100"/>
        <c:noMultiLvlLbl val="0"/>
      </c:catAx>
      <c:valAx>
        <c:axId val="44503616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Columbia River return (adults)</a:t>
                </a:r>
              </a:p>
            </c:rich>
          </c:tx>
          <c:layout>
            <c:manualLayout>
              <c:xMode val="edge"/>
              <c:yMode val="edge"/>
              <c:x val="1.3815796325641247E-2"/>
              <c:y val="0.1909836881828809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45037728"/>
        <c:crosses val="autoZero"/>
        <c:crossBetween val="between"/>
      </c:valAx>
      <c:spPr>
        <a:noFill/>
        <a:ln>
          <a:solidFill>
            <a:schemeClr val="tx1"/>
          </a:solidFill>
        </a:ln>
        <a:effectLst/>
      </c:spPr>
    </c:plotArea>
    <c:legend>
      <c:legendPos val="r"/>
      <c:layout>
        <c:manualLayout>
          <c:xMode val="edge"/>
          <c:yMode val="edge"/>
          <c:x val="0.15198953681085725"/>
          <c:y val="9.8073388279198592E-2"/>
          <c:w val="0.19221544052555561"/>
          <c:h val="0.15625109361329836"/>
        </c:manualLayout>
      </c:layout>
      <c:overlay val="0"/>
      <c:spPr>
        <a:solidFill>
          <a:schemeClr val="bg1"/>
        </a:solidFill>
        <a:ln>
          <a:solidFill>
            <a:schemeClr val="tx1"/>
          </a:solid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tx1"/>
                </a:solidFill>
                <a:latin typeface="+mn-lt"/>
                <a:ea typeface="+mn-ea"/>
                <a:cs typeface="+mn-cs"/>
              </a:defRPr>
            </a:pPr>
            <a:r>
              <a:rPr lang="en-US"/>
              <a:t>Current Fishery Distribution </a:t>
            </a:r>
          </a:p>
          <a:p>
            <a:pPr algn="ctr">
              <a:defRPr/>
            </a:pPr>
            <a:r>
              <a:rPr lang="en-US"/>
              <a:t>of Wild/Natural Impacts (v Col R)</a:t>
            </a:r>
          </a:p>
        </c:rich>
      </c:tx>
      <c:layout>
        <c:manualLayout>
          <c:xMode val="edge"/>
          <c:yMode val="edge"/>
          <c:x val="0.24126941091084655"/>
          <c:y val="1.97043480934668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7601992871430941"/>
          <c:y val="0.18224310820748871"/>
          <c:w val="0.5183520339999842"/>
          <c:h val="0.83804887457993216"/>
        </c:manualLayout>
      </c:layout>
      <c:pieChart>
        <c:varyColors val="1"/>
        <c:ser>
          <c:idx val="0"/>
          <c:order val="0"/>
          <c:spPr>
            <a:solidFill>
              <a:srgbClr val="008D85"/>
            </a:solidFill>
            <a:ln w="3175"/>
          </c:spPr>
          <c:dPt>
            <c:idx val="0"/>
            <c:bubble3D val="0"/>
            <c:spPr>
              <a:solidFill>
                <a:srgbClr val="005854"/>
              </a:solidFill>
              <a:ln w="3175">
                <a:solidFill>
                  <a:schemeClr val="lt1"/>
                </a:solidFill>
              </a:ln>
              <a:effectLst/>
            </c:spPr>
            <c:extLst>
              <c:ext xmlns:c16="http://schemas.microsoft.com/office/drawing/2014/chart" uri="{C3380CC4-5D6E-409C-BE32-E72D297353CC}">
                <c16:uniqueId val="{00000001-87B2-482B-A269-20ED3BC5E850}"/>
              </c:ext>
            </c:extLst>
          </c:dPt>
          <c:dPt>
            <c:idx val="1"/>
            <c:bubble3D val="0"/>
            <c:spPr>
              <a:solidFill>
                <a:srgbClr val="008D85"/>
              </a:solidFill>
              <a:ln w="3175">
                <a:solidFill>
                  <a:schemeClr val="lt1"/>
                </a:solidFill>
              </a:ln>
              <a:effectLst/>
            </c:spPr>
            <c:extLst>
              <c:ext xmlns:c16="http://schemas.microsoft.com/office/drawing/2014/chart" uri="{C3380CC4-5D6E-409C-BE32-E72D297353CC}">
                <c16:uniqueId val="{00000003-87B2-482B-A269-20ED3BC5E850}"/>
              </c:ext>
            </c:extLst>
          </c:dPt>
          <c:dPt>
            <c:idx val="2"/>
            <c:bubble3D val="0"/>
            <c:spPr>
              <a:solidFill>
                <a:srgbClr val="00D6CC"/>
              </a:solidFill>
              <a:ln w="3175">
                <a:solidFill>
                  <a:schemeClr val="lt1"/>
                </a:solidFill>
              </a:ln>
              <a:effectLst/>
            </c:spPr>
            <c:extLst>
              <c:ext xmlns:c16="http://schemas.microsoft.com/office/drawing/2014/chart" uri="{C3380CC4-5D6E-409C-BE32-E72D297353CC}">
                <c16:uniqueId val="{00000005-87B2-482B-A269-20ED3BC5E850}"/>
              </c:ext>
            </c:extLst>
          </c:dPt>
          <c:dLbls>
            <c:dLbl>
              <c:idx val="0"/>
              <c:layout>
                <c:manualLayout>
                  <c:x val="-2.7069523568902531E-2"/>
                  <c:y val="9.84353824498919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2-482B-A269-20ED3BC5E850}"/>
                </c:ext>
              </c:extLst>
            </c:dLbl>
            <c:dLbl>
              <c:idx val="1"/>
              <c:layout>
                <c:manualLayout>
                  <c:x val="-1.3174997019333426E-2"/>
                  <c:y val="-0.147696416240410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2-482B-A269-20ED3BC5E850}"/>
                </c:ext>
              </c:extLst>
            </c:dLbl>
            <c:dLbl>
              <c:idx val="2"/>
              <c:layout>
                <c:manualLayout>
                  <c:x val="-1.7527446360961089E-2"/>
                  <c:y val="2.11750512996063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2-482B-A269-20ED3BC5E85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Summary!$T$24:$T$26</c:f>
              <c:strCache>
                <c:ptCount val="3"/>
                <c:pt idx="0">
                  <c:v>Mainstem Non-trty</c:v>
                </c:pt>
                <c:pt idx="1">
                  <c:v>Mainstem Trty</c:v>
                </c:pt>
                <c:pt idx="2">
                  <c:v>Terminal</c:v>
                </c:pt>
              </c:strCache>
            </c:strRef>
          </c:cat>
          <c:val>
            <c:numRef>
              <c:f>Summary!$F$55:$F$57</c:f>
              <c:numCache>
                <c:formatCode>0.0%</c:formatCode>
                <c:ptCount val="3"/>
                <c:pt idx="0">
                  <c:v>1.6616320402491502E-2</c:v>
                </c:pt>
                <c:pt idx="1">
                  <c:v>0.10084843002199247</c:v>
                </c:pt>
                <c:pt idx="2">
                  <c:v>3.0798845043310666E-2</c:v>
                </c:pt>
              </c:numCache>
            </c:numRef>
          </c:val>
          <c:extLst>
            <c:ext xmlns:c16="http://schemas.microsoft.com/office/drawing/2014/chart" uri="{C3380CC4-5D6E-409C-BE32-E72D297353CC}">
              <c16:uniqueId val="{00000000-F2FD-4027-8F19-8CE5E795C3BC}"/>
            </c:ext>
          </c:extLst>
        </c:ser>
        <c:dLbls>
          <c:showLegendKey val="0"/>
          <c:showVal val="1"/>
          <c:showCatName val="0"/>
          <c:showSerName val="0"/>
          <c:showPercent val="0"/>
          <c:showBubbleSize val="0"/>
          <c:showLeaderLines val="0"/>
        </c:dLbls>
        <c:firstSliceAng val="290"/>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Current Hatchery Production (smolts)</a:t>
            </a:r>
          </a:p>
        </c:rich>
      </c:tx>
      <c:layout>
        <c:manualLayout>
          <c:xMode val="edge"/>
          <c:yMode val="edge"/>
          <c:x val="0.17144565710628612"/>
          <c:y val="1.39236079418218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630692552077181"/>
          <c:y val="0.19344393048795769"/>
          <c:w val="0.56050346948592111"/>
          <c:h val="0.76204992411699091"/>
        </c:manualLayout>
      </c:layout>
      <c:pieChart>
        <c:varyColors val="1"/>
        <c:ser>
          <c:idx val="0"/>
          <c:order val="0"/>
          <c:spPr>
            <a:ln w="6350">
              <a:solidFill>
                <a:schemeClr val="bg1"/>
              </a:solidFill>
            </a:ln>
          </c:spPr>
          <c:dPt>
            <c:idx val="0"/>
            <c:bubble3D val="0"/>
            <c:spPr>
              <a:solidFill>
                <a:srgbClr val="00D6CC"/>
              </a:solidFill>
              <a:ln w="6350">
                <a:solidFill>
                  <a:schemeClr val="bg1"/>
                </a:solidFill>
              </a:ln>
              <a:effectLst/>
            </c:spPr>
            <c:extLst>
              <c:ext xmlns:c16="http://schemas.microsoft.com/office/drawing/2014/chart" uri="{C3380CC4-5D6E-409C-BE32-E72D297353CC}">
                <c16:uniqueId val="{00000003-79F6-4A7F-886C-1038CD37BE8F}"/>
              </c:ext>
            </c:extLst>
          </c:dPt>
          <c:dPt>
            <c:idx val="1"/>
            <c:bubble3D val="0"/>
            <c:spPr>
              <a:solidFill>
                <a:srgbClr val="4BFFF6"/>
              </a:solidFill>
              <a:ln w="6350">
                <a:solidFill>
                  <a:schemeClr val="bg1"/>
                </a:solidFill>
              </a:ln>
              <a:effectLst/>
            </c:spPr>
            <c:extLst>
              <c:ext xmlns:c16="http://schemas.microsoft.com/office/drawing/2014/chart" uri="{C3380CC4-5D6E-409C-BE32-E72D297353CC}">
                <c16:uniqueId val="{00000004-79F6-4A7F-886C-1038CD37BE8F}"/>
              </c:ext>
            </c:extLst>
          </c:dPt>
          <c:dPt>
            <c:idx val="2"/>
            <c:bubble3D val="0"/>
            <c:spPr>
              <a:solidFill>
                <a:srgbClr val="005854"/>
              </a:solidFill>
              <a:ln w="6350">
                <a:solidFill>
                  <a:schemeClr val="bg1"/>
                </a:solidFill>
              </a:ln>
              <a:effectLst/>
            </c:spPr>
            <c:extLst>
              <c:ext xmlns:c16="http://schemas.microsoft.com/office/drawing/2014/chart" uri="{C3380CC4-5D6E-409C-BE32-E72D297353CC}">
                <c16:uniqueId val="{00000002-79F6-4A7F-886C-1038CD37BE8F}"/>
              </c:ext>
            </c:extLst>
          </c:dPt>
          <c:dPt>
            <c:idx val="3"/>
            <c:bubble3D val="0"/>
            <c:spPr>
              <a:solidFill>
                <a:srgbClr val="008D85"/>
              </a:solidFill>
              <a:ln w="6350">
                <a:solidFill>
                  <a:schemeClr val="bg1"/>
                </a:solidFill>
              </a:ln>
              <a:effectLst/>
            </c:spPr>
            <c:extLst>
              <c:ext xmlns:c16="http://schemas.microsoft.com/office/drawing/2014/chart" uri="{C3380CC4-5D6E-409C-BE32-E72D297353CC}">
                <c16:uniqueId val="{00000001-79F6-4A7F-886C-1038CD37BE8F}"/>
              </c:ext>
            </c:extLst>
          </c:dPt>
          <c:dLbls>
            <c:dLbl>
              <c:idx val="0"/>
              <c:layout>
                <c:manualLayout>
                  <c:x val="1.033494609826308E-3"/>
                  <c:y val="3.49945152893058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F6-4A7F-886C-1038CD37BE8F}"/>
                </c:ext>
              </c:extLst>
            </c:dLbl>
            <c:dLbl>
              <c:idx val="1"/>
              <c:layout>
                <c:manualLayout>
                  <c:x val="-1.8624559441340217E-3"/>
                  <c:y val="1.138490499002348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F6-4A7F-886C-1038CD37BE8F}"/>
                </c:ext>
              </c:extLst>
            </c:dLbl>
            <c:dLbl>
              <c:idx val="2"/>
              <c:layout>
                <c:manualLayout>
                  <c:x val="-0.26715859726748359"/>
                  <c:y val="-1.6326542630089716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3668350015628745"/>
                      <c:h val="0.1705861165009476"/>
                    </c:manualLayout>
                  </c15:layout>
                </c:ext>
                <c:ext xmlns:c16="http://schemas.microsoft.com/office/drawing/2014/chart" uri="{C3380CC4-5D6E-409C-BE32-E72D297353CC}">
                  <c16:uniqueId val="{00000002-79F6-4A7F-886C-1038CD37BE8F}"/>
                </c:ext>
              </c:extLst>
            </c:dLbl>
            <c:dLbl>
              <c:idx val="3"/>
              <c:layout>
                <c:manualLayout>
                  <c:x val="-1.5267326194239718E-2"/>
                  <c:y val="8.271705992025985E-2"/>
                </c:manualLayout>
              </c:layout>
              <c:showLegendKey val="0"/>
              <c:showVal val="1"/>
              <c:showCatName val="1"/>
              <c:showSerName val="0"/>
              <c:showPercent val="0"/>
              <c:showBubbleSize val="0"/>
              <c:extLst>
                <c:ext xmlns:c15="http://schemas.microsoft.com/office/drawing/2012/chart" uri="{CE6537A1-D6FC-4f65-9D91-7224C49458BB}">
                  <c15:layout>
                    <c:manualLayout>
                      <c:w val="0.26840564867968958"/>
                      <c:h val="0.19506955097345841"/>
                    </c:manualLayout>
                  </c15:layout>
                </c:ext>
                <c:ext xmlns:c16="http://schemas.microsoft.com/office/drawing/2014/chart" uri="{C3380CC4-5D6E-409C-BE32-E72D297353CC}">
                  <c16:uniqueId val="{00000001-79F6-4A7F-886C-1038CD37BE8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Summary!$S$14:$S$17</c:f>
              <c:strCache>
                <c:ptCount val="4"/>
                <c:pt idx="0">
                  <c:v>Methow</c:v>
                </c:pt>
                <c:pt idx="1">
                  <c:v>Okanogan</c:v>
                </c:pt>
                <c:pt idx="2">
                  <c:v>Wenatchee</c:v>
                </c:pt>
                <c:pt idx="3">
                  <c:v>Col R (Wells pool)</c:v>
                </c:pt>
              </c:strCache>
            </c:strRef>
          </c:cat>
          <c:val>
            <c:numRef>
              <c:f>Summary!$V$14:$V$17</c:f>
              <c:numCache>
                <c:formatCode>#,##0</c:formatCode>
                <c:ptCount val="4"/>
                <c:pt idx="0">
                  <c:v>624000</c:v>
                </c:pt>
                <c:pt idx="1">
                  <c:v>200000</c:v>
                </c:pt>
                <c:pt idx="2">
                  <c:v>1570000</c:v>
                </c:pt>
                <c:pt idx="3">
                  <c:v>700000</c:v>
                </c:pt>
              </c:numCache>
            </c:numRef>
          </c:val>
          <c:extLst>
            <c:ext xmlns:c16="http://schemas.microsoft.com/office/drawing/2014/chart" uri="{C3380CC4-5D6E-409C-BE32-E72D297353CC}">
              <c16:uniqueId val="{00000000-79F6-4A7F-886C-1038CD37BE8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Natural Production</a:t>
            </a:r>
          </a:p>
        </c:rich>
      </c:tx>
      <c:layout>
        <c:manualLayout>
          <c:xMode val="edge"/>
          <c:yMode val="edge"/>
          <c:x val="0.52408034585318142"/>
          <c:y val="0.25778612193048828"/>
        </c:manualLayout>
      </c:layout>
      <c:overlay val="0"/>
      <c:spPr>
        <a:solidFill>
          <a:schemeClr val="bg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340460111297118"/>
          <c:y val="6.5466325531780126E-2"/>
          <c:w val="0.67628953530332669"/>
          <c:h val="0.7883348624856682"/>
        </c:manualLayout>
      </c:layout>
      <c:barChart>
        <c:barDir val="bar"/>
        <c:grouping val="clustered"/>
        <c:varyColors val="0"/>
        <c:ser>
          <c:idx val="0"/>
          <c:order val="0"/>
          <c:spPr>
            <a:solidFill>
              <a:srgbClr val="008D8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Summary!$C$20:$C$24</c:f>
              <c:strCache>
                <c:ptCount val="5"/>
                <c:pt idx="0">
                  <c:v>Current</c:v>
                </c:pt>
                <c:pt idx="1">
                  <c:v>Low goal</c:v>
                </c:pt>
                <c:pt idx="2">
                  <c:v>Med goal</c:v>
                </c:pt>
                <c:pt idx="3">
                  <c:v>High goal</c:v>
                </c:pt>
                <c:pt idx="4">
                  <c:v>Historical</c:v>
                </c:pt>
              </c:strCache>
            </c:strRef>
          </c:cat>
          <c:val>
            <c:numRef>
              <c:f>Summary!$D$20:$D$24</c:f>
              <c:numCache>
                <c:formatCode>#,##0</c:formatCode>
                <c:ptCount val="5"/>
                <c:pt idx="0">
                  <c:v>1430</c:v>
                </c:pt>
                <c:pt idx="1">
                  <c:v>11500</c:v>
                </c:pt>
                <c:pt idx="2">
                  <c:v>19840</c:v>
                </c:pt>
                <c:pt idx="3">
                  <c:v>30135</c:v>
                </c:pt>
                <c:pt idx="4">
                  <c:v>259450</c:v>
                </c:pt>
              </c:numCache>
            </c:numRef>
          </c:val>
          <c:extLst>
            <c:ext xmlns:c16="http://schemas.microsoft.com/office/drawing/2014/chart" uri="{C3380CC4-5D6E-409C-BE32-E72D297353CC}">
              <c16:uniqueId val="{00000000-B024-4DC3-AFF8-75C383417D32}"/>
            </c:ext>
          </c:extLst>
        </c:ser>
        <c:dLbls>
          <c:dLblPos val="outEnd"/>
          <c:showLegendKey val="0"/>
          <c:showVal val="1"/>
          <c:showCatName val="0"/>
          <c:showSerName val="0"/>
          <c:showPercent val="0"/>
          <c:showBubbleSize val="0"/>
        </c:dLbls>
        <c:gapWidth val="20"/>
        <c:axId val="469915744"/>
        <c:axId val="469916136"/>
      </c:barChart>
      <c:catAx>
        <c:axId val="4699157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469916136"/>
        <c:crosses val="autoZero"/>
        <c:auto val="1"/>
        <c:lblAlgn val="ctr"/>
        <c:lblOffset val="100"/>
        <c:noMultiLvlLbl val="0"/>
      </c:catAx>
      <c:valAx>
        <c:axId val="469916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469915744"/>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3937007874019"/>
          <c:y val="5.0925925925925923E-2"/>
          <c:w val="0.78033158355205601"/>
          <c:h val="0.79685914260717405"/>
        </c:manualLayout>
      </c:layout>
      <c:barChart>
        <c:barDir val="col"/>
        <c:grouping val="stacked"/>
        <c:varyColors val="0"/>
        <c:ser>
          <c:idx val="0"/>
          <c:order val="0"/>
          <c:tx>
            <c:v>Wild</c:v>
          </c:tx>
          <c:spPr>
            <a:solidFill>
              <a:schemeClr val="accent6">
                <a:lumMod val="75000"/>
              </a:schemeClr>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Runs!$D$6:$D$41</c:f>
              <c:numCache>
                <c:formatCode>#,##0</c:formatCode>
                <c:ptCount val="36"/>
                <c:pt idx="0">
                  <c:v>7128</c:v>
                </c:pt>
                <c:pt idx="1">
                  <c:v>6044</c:v>
                </c:pt>
                <c:pt idx="2">
                  <c:v>6314</c:v>
                </c:pt>
                <c:pt idx="3">
                  <c:v>7292</c:v>
                </c:pt>
                <c:pt idx="4">
                  <c:v>6706</c:v>
                </c:pt>
                <c:pt idx="5">
                  <c:v>10290</c:v>
                </c:pt>
                <c:pt idx="6">
                  <c:v>7903</c:v>
                </c:pt>
                <c:pt idx="7">
                  <c:v>8777</c:v>
                </c:pt>
                <c:pt idx="8">
                  <c:v>7503</c:v>
                </c:pt>
                <c:pt idx="9">
                  <c:v>7455</c:v>
                </c:pt>
                <c:pt idx="10">
                  <c:v>4437</c:v>
                </c:pt>
                <c:pt idx="11">
                  <c:v>2437</c:v>
                </c:pt>
                <c:pt idx="12">
                  <c:v>4261</c:v>
                </c:pt>
                <c:pt idx="13">
                  <c:v>4050</c:v>
                </c:pt>
                <c:pt idx="14">
                  <c:v>1044</c:v>
                </c:pt>
                <c:pt idx="15" formatCode="General">
                  <c:v>223</c:v>
                </c:pt>
                <c:pt idx="16" formatCode="General">
                  <c:v>575</c:v>
                </c:pt>
                <c:pt idx="17">
                  <c:v>1222</c:v>
                </c:pt>
                <c:pt idx="18" formatCode="General">
                  <c:v>550</c:v>
                </c:pt>
                <c:pt idx="19" formatCode="General">
                  <c:v>420</c:v>
                </c:pt>
                <c:pt idx="20">
                  <c:v>1370</c:v>
                </c:pt>
                <c:pt idx="21">
                  <c:v>6287</c:v>
                </c:pt>
                <c:pt idx="22">
                  <c:v>3015</c:v>
                </c:pt>
                <c:pt idx="23">
                  <c:v>2233</c:v>
                </c:pt>
                <c:pt idx="24">
                  <c:v>2353</c:v>
                </c:pt>
                <c:pt idx="25">
                  <c:v>2905</c:v>
                </c:pt>
                <c:pt idx="26">
                  <c:v>1463</c:v>
                </c:pt>
                <c:pt idx="27" formatCode="General">
                  <c:v>463</c:v>
                </c:pt>
                <c:pt idx="28" formatCode="General">
                  <c:v>833</c:v>
                </c:pt>
                <c:pt idx="29">
                  <c:v>1099</c:v>
                </c:pt>
                <c:pt idx="30">
                  <c:v>3110</c:v>
                </c:pt>
                <c:pt idx="31">
                  <c:v>2655</c:v>
                </c:pt>
                <c:pt idx="32">
                  <c:v>5686</c:v>
                </c:pt>
                <c:pt idx="33">
                  <c:v>3472</c:v>
                </c:pt>
                <c:pt idx="34">
                  <c:v>6276</c:v>
                </c:pt>
                <c:pt idx="35">
                  <c:v>7235</c:v>
                </c:pt>
              </c:numCache>
            </c:numRef>
          </c:val>
          <c:extLst>
            <c:ext xmlns:c16="http://schemas.microsoft.com/office/drawing/2014/chart" uri="{C3380CC4-5D6E-409C-BE32-E72D297353CC}">
              <c16:uniqueId val="{00000000-8AFE-4104-87D0-434A21A7EB6D}"/>
            </c:ext>
          </c:extLst>
        </c:ser>
        <c:ser>
          <c:idx val="1"/>
          <c:order val="1"/>
          <c:tx>
            <c:v>Hatchery</c:v>
          </c:tx>
          <c:spPr>
            <a:solidFill>
              <a:schemeClr val="accent1">
                <a:lumMod val="60000"/>
                <a:lumOff val="40000"/>
              </a:schemeClr>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Runs!$Q$6:$Q$41</c:f>
              <c:numCache>
                <c:formatCode>#,##0</c:formatCode>
                <c:ptCount val="36"/>
                <c:pt idx="0">
                  <c:v>9818</c:v>
                </c:pt>
                <c:pt idx="1">
                  <c:v>8096</c:v>
                </c:pt>
                <c:pt idx="2">
                  <c:v>9536</c:v>
                </c:pt>
                <c:pt idx="3">
                  <c:v>8868</c:v>
                </c:pt>
                <c:pt idx="4">
                  <c:v>10070</c:v>
                </c:pt>
                <c:pt idx="5">
                  <c:v>18658</c:v>
                </c:pt>
                <c:pt idx="6">
                  <c:v>21501</c:v>
                </c:pt>
                <c:pt idx="7">
                  <c:v>16708</c:v>
                </c:pt>
                <c:pt idx="8">
                  <c:v>13540</c:v>
                </c:pt>
                <c:pt idx="9">
                  <c:v>11226</c:v>
                </c:pt>
                <c:pt idx="10">
                  <c:v>7576</c:v>
                </c:pt>
                <c:pt idx="11">
                  <c:v>6228</c:v>
                </c:pt>
                <c:pt idx="12">
                  <c:v>16462</c:v>
                </c:pt>
                <c:pt idx="13">
                  <c:v>21947</c:v>
                </c:pt>
                <c:pt idx="14">
                  <c:v>2377</c:v>
                </c:pt>
                <c:pt idx="15">
                  <c:v>1417</c:v>
                </c:pt>
                <c:pt idx="16">
                  <c:v>2852</c:v>
                </c:pt>
                <c:pt idx="17">
                  <c:v>8451</c:v>
                </c:pt>
                <c:pt idx="18">
                  <c:v>3964</c:v>
                </c:pt>
                <c:pt idx="19">
                  <c:v>4470</c:v>
                </c:pt>
                <c:pt idx="20">
                  <c:v>21130</c:v>
                </c:pt>
                <c:pt idx="21">
                  <c:v>45648</c:v>
                </c:pt>
                <c:pt idx="22">
                  <c:v>34013</c:v>
                </c:pt>
                <c:pt idx="23">
                  <c:v>21612</c:v>
                </c:pt>
                <c:pt idx="24">
                  <c:v>13299</c:v>
                </c:pt>
                <c:pt idx="25">
                  <c:v>13726</c:v>
                </c:pt>
                <c:pt idx="26">
                  <c:v>13669</c:v>
                </c:pt>
                <c:pt idx="27">
                  <c:v>6026</c:v>
                </c:pt>
                <c:pt idx="28">
                  <c:v>14577</c:v>
                </c:pt>
                <c:pt idx="29">
                  <c:v>11533</c:v>
                </c:pt>
                <c:pt idx="30">
                  <c:v>34176</c:v>
                </c:pt>
                <c:pt idx="31">
                  <c:v>13381</c:v>
                </c:pt>
                <c:pt idx="32">
                  <c:v>19977</c:v>
                </c:pt>
                <c:pt idx="33">
                  <c:v>14934</c:v>
                </c:pt>
                <c:pt idx="34">
                  <c:v>26770</c:v>
                </c:pt>
                <c:pt idx="35">
                  <c:v>30478</c:v>
                </c:pt>
              </c:numCache>
            </c:numRef>
          </c:val>
          <c:extLst>
            <c:ext xmlns:c16="http://schemas.microsoft.com/office/drawing/2014/chart" uri="{C3380CC4-5D6E-409C-BE32-E72D297353CC}">
              <c16:uniqueId val="{00000001-8AFE-4104-87D0-434A21A7EB6D}"/>
            </c:ext>
          </c:extLst>
        </c:ser>
        <c:dLbls>
          <c:showLegendKey val="0"/>
          <c:showVal val="0"/>
          <c:showCatName val="0"/>
          <c:showSerName val="0"/>
          <c:showPercent val="0"/>
          <c:showBubbleSize val="0"/>
        </c:dLbls>
        <c:gapWidth val="0"/>
        <c:overlap val="100"/>
        <c:axId val="338258640"/>
        <c:axId val="338258248"/>
      </c:barChart>
      <c:catAx>
        <c:axId val="338258640"/>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38258248"/>
        <c:crosses val="autoZero"/>
        <c:auto val="1"/>
        <c:lblAlgn val="ctr"/>
        <c:lblOffset val="100"/>
        <c:noMultiLvlLbl val="0"/>
      </c:catAx>
      <c:valAx>
        <c:axId val="33825824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Columbia River return</a:t>
                </a:r>
              </a:p>
            </c:rich>
          </c:tx>
          <c:layout>
            <c:manualLayout>
              <c:xMode val="edge"/>
              <c:yMode val="edge"/>
              <c:x val="1.9444444444444445E-2"/>
              <c:y val="0.2233253135024788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38258640"/>
        <c:crosses val="autoZero"/>
        <c:crossBetween val="between"/>
      </c:valAx>
      <c:spPr>
        <a:noFill/>
        <a:ln>
          <a:solidFill>
            <a:schemeClr val="tx1"/>
          </a:solidFill>
        </a:ln>
        <a:effectLst/>
      </c:spPr>
    </c:plotArea>
    <c:legend>
      <c:legendPos val="r"/>
      <c:layout>
        <c:manualLayout>
          <c:xMode val="edge"/>
          <c:yMode val="edge"/>
          <c:x val="0.22299540682414706"/>
          <c:y val="0.12557815689705457"/>
          <c:w val="0.13811570428696412"/>
          <c:h val="0.15625109361329836"/>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03937007874019"/>
          <c:y val="5.0925925925925923E-2"/>
          <c:w val="0.78033158355205601"/>
          <c:h val="0.79685914260717405"/>
        </c:manualLayout>
      </c:layout>
      <c:barChart>
        <c:barDir val="col"/>
        <c:grouping val="stacked"/>
        <c:varyColors val="0"/>
        <c:ser>
          <c:idx val="0"/>
          <c:order val="0"/>
          <c:tx>
            <c:v>Wild</c:v>
          </c:tx>
          <c:spPr>
            <a:solidFill>
              <a:schemeClr val="accent6">
                <a:lumMod val="75000"/>
              </a:schemeClr>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Runs!$D$6:$D$41</c:f>
              <c:numCache>
                <c:formatCode>#,##0</c:formatCode>
                <c:ptCount val="36"/>
                <c:pt idx="0">
                  <c:v>7128</c:v>
                </c:pt>
                <c:pt idx="1">
                  <c:v>6044</c:v>
                </c:pt>
                <c:pt idx="2">
                  <c:v>6314</c:v>
                </c:pt>
                <c:pt idx="3">
                  <c:v>7292</c:v>
                </c:pt>
                <c:pt idx="4">
                  <c:v>6706</c:v>
                </c:pt>
                <c:pt idx="5">
                  <c:v>10290</c:v>
                </c:pt>
                <c:pt idx="6">
                  <c:v>7903</c:v>
                </c:pt>
                <c:pt idx="7">
                  <c:v>8777</c:v>
                </c:pt>
                <c:pt idx="8">
                  <c:v>7503</c:v>
                </c:pt>
                <c:pt idx="9">
                  <c:v>7455</c:v>
                </c:pt>
                <c:pt idx="10">
                  <c:v>4437</c:v>
                </c:pt>
                <c:pt idx="11">
                  <c:v>2437</c:v>
                </c:pt>
                <c:pt idx="12">
                  <c:v>4261</c:v>
                </c:pt>
                <c:pt idx="13">
                  <c:v>4050</c:v>
                </c:pt>
                <c:pt idx="14">
                  <c:v>1044</c:v>
                </c:pt>
                <c:pt idx="15" formatCode="General">
                  <c:v>223</c:v>
                </c:pt>
                <c:pt idx="16" formatCode="General">
                  <c:v>575</c:v>
                </c:pt>
                <c:pt idx="17">
                  <c:v>1222</c:v>
                </c:pt>
                <c:pt idx="18" formatCode="General">
                  <c:v>550</c:v>
                </c:pt>
                <c:pt idx="19" formatCode="General">
                  <c:v>420</c:v>
                </c:pt>
                <c:pt idx="20">
                  <c:v>1370</c:v>
                </c:pt>
                <c:pt idx="21">
                  <c:v>6287</c:v>
                </c:pt>
                <c:pt idx="22">
                  <c:v>3015</c:v>
                </c:pt>
                <c:pt idx="23">
                  <c:v>2233</c:v>
                </c:pt>
                <c:pt idx="24">
                  <c:v>2353</c:v>
                </c:pt>
                <c:pt idx="25">
                  <c:v>2905</c:v>
                </c:pt>
                <c:pt idx="26">
                  <c:v>1463</c:v>
                </c:pt>
                <c:pt idx="27" formatCode="General">
                  <c:v>463</c:v>
                </c:pt>
                <c:pt idx="28" formatCode="General">
                  <c:v>833</c:v>
                </c:pt>
                <c:pt idx="29">
                  <c:v>1099</c:v>
                </c:pt>
                <c:pt idx="30">
                  <c:v>3110</c:v>
                </c:pt>
                <c:pt idx="31">
                  <c:v>2655</c:v>
                </c:pt>
                <c:pt idx="32">
                  <c:v>5686</c:v>
                </c:pt>
                <c:pt idx="33">
                  <c:v>3472</c:v>
                </c:pt>
                <c:pt idx="34">
                  <c:v>6276</c:v>
                </c:pt>
                <c:pt idx="35">
                  <c:v>7235</c:v>
                </c:pt>
              </c:numCache>
            </c:numRef>
          </c:val>
          <c:extLst>
            <c:ext xmlns:c16="http://schemas.microsoft.com/office/drawing/2014/chart" uri="{C3380CC4-5D6E-409C-BE32-E72D297353CC}">
              <c16:uniqueId val="{00000000-613A-4F7C-9208-1DD75B79FB67}"/>
            </c:ext>
          </c:extLst>
        </c:ser>
        <c:dLbls>
          <c:showLegendKey val="0"/>
          <c:showVal val="0"/>
          <c:showCatName val="0"/>
          <c:showSerName val="0"/>
          <c:showPercent val="0"/>
          <c:showBubbleSize val="0"/>
        </c:dLbls>
        <c:gapWidth val="0"/>
        <c:overlap val="100"/>
        <c:axId val="480199800"/>
        <c:axId val="480201368"/>
      </c:barChart>
      <c:catAx>
        <c:axId val="480199800"/>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80201368"/>
        <c:crosses val="autoZero"/>
        <c:auto val="1"/>
        <c:lblAlgn val="ctr"/>
        <c:lblOffset val="100"/>
        <c:noMultiLvlLbl val="0"/>
      </c:catAx>
      <c:valAx>
        <c:axId val="48020136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Columbia River return</a:t>
                </a:r>
              </a:p>
            </c:rich>
          </c:tx>
          <c:layout>
            <c:manualLayout>
              <c:xMode val="edge"/>
              <c:yMode val="edge"/>
              <c:x val="1.9444444444444445E-2"/>
              <c:y val="0.2233253135024788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80199800"/>
        <c:crosses val="autoZero"/>
        <c:crossBetween val="between"/>
      </c:valAx>
      <c:spPr>
        <a:noFill/>
        <a:ln>
          <a:solidFill>
            <a:schemeClr val="tx1"/>
          </a:solidFill>
        </a:ln>
        <a:effectLst/>
      </c:spPr>
    </c:plotArea>
    <c:legend>
      <c:legendPos val="r"/>
      <c:layout>
        <c:manualLayout>
          <c:xMode val="edge"/>
          <c:yMode val="edge"/>
          <c:x val="0.80910651793525812"/>
          <c:y val="0.10166630892802675"/>
          <c:w val="0.13811570428696412"/>
          <c:h val="0.15625109361329836"/>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03937007874019"/>
          <c:y val="5.0925925925925923E-2"/>
          <c:w val="0.78033158355205601"/>
          <c:h val="0.79685914260717405"/>
        </c:manualLayout>
      </c:layout>
      <c:barChart>
        <c:barDir val="col"/>
        <c:grouping val="stacked"/>
        <c:varyColors val="0"/>
        <c:ser>
          <c:idx val="0"/>
          <c:order val="0"/>
          <c:tx>
            <c:v>Wild</c:v>
          </c:tx>
          <c:spPr>
            <a:solidFill>
              <a:schemeClr val="accent1"/>
            </a:solidFill>
            <a:ln>
              <a:solidFill>
                <a:schemeClr val="tx1"/>
              </a:solidFill>
            </a:ln>
            <a:effectLst/>
          </c:spPr>
          <c:invertIfNegative val="0"/>
          <c:cat>
            <c:numRef>
              <c:f>Runs!$B$6:$B$41</c:f>
              <c:numCache>
                <c:formatCode>0</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Runs!$M$6:$M$41</c:f>
              <c:numCache>
                <c:formatCode>#,##0</c:formatCode>
                <c:ptCount val="36"/>
                <c:pt idx="0">
                  <c:v>2772</c:v>
                </c:pt>
                <c:pt idx="1">
                  <c:v>3253</c:v>
                </c:pt>
                <c:pt idx="2">
                  <c:v>3015</c:v>
                </c:pt>
                <c:pt idx="3">
                  <c:v>4286</c:v>
                </c:pt>
                <c:pt idx="4">
                  <c:v>4608</c:v>
                </c:pt>
                <c:pt idx="5">
                  <c:v>8941</c:v>
                </c:pt>
                <c:pt idx="6">
                  <c:v>5519</c:v>
                </c:pt>
                <c:pt idx="7">
                  <c:v>6352</c:v>
                </c:pt>
                <c:pt idx="8">
                  <c:v>5658</c:v>
                </c:pt>
                <c:pt idx="9">
                  <c:v>4130</c:v>
                </c:pt>
                <c:pt idx="10">
                  <c:v>2808</c:v>
                </c:pt>
                <c:pt idx="11">
                  <c:v>1533</c:v>
                </c:pt>
                <c:pt idx="12">
                  <c:v>3163</c:v>
                </c:pt>
                <c:pt idx="13">
                  <c:v>3102</c:v>
                </c:pt>
                <c:pt idx="14" formatCode="General">
                  <c:v>611</c:v>
                </c:pt>
                <c:pt idx="15" formatCode="General">
                  <c:v>108</c:v>
                </c:pt>
                <c:pt idx="16" formatCode="General">
                  <c:v>317</c:v>
                </c:pt>
                <c:pt idx="17" formatCode="General">
                  <c:v>746</c:v>
                </c:pt>
                <c:pt idx="18" formatCode="General">
                  <c:v>367</c:v>
                </c:pt>
                <c:pt idx="19" formatCode="General">
                  <c:v>284</c:v>
                </c:pt>
                <c:pt idx="20" formatCode="General">
                  <c:v>904</c:v>
                </c:pt>
                <c:pt idx="21">
                  <c:v>4807</c:v>
                </c:pt>
                <c:pt idx="22">
                  <c:v>1957</c:v>
                </c:pt>
                <c:pt idx="23">
                  <c:v>1581</c:v>
                </c:pt>
                <c:pt idx="24">
                  <c:v>1641</c:v>
                </c:pt>
                <c:pt idx="25">
                  <c:v>2080</c:v>
                </c:pt>
                <c:pt idx="26" formatCode="General">
                  <c:v>933</c:v>
                </c:pt>
                <c:pt idx="27" formatCode="General">
                  <c:v>398</c:v>
                </c:pt>
                <c:pt idx="28" formatCode="General">
                  <c:v>675</c:v>
                </c:pt>
                <c:pt idx="29">
                  <c:v>1100</c:v>
                </c:pt>
                <c:pt idx="30">
                  <c:v>2476</c:v>
                </c:pt>
                <c:pt idx="31">
                  <c:v>2167</c:v>
                </c:pt>
                <c:pt idx="32">
                  <c:v>4238</c:v>
                </c:pt>
                <c:pt idx="33">
                  <c:v>2517</c:v>
                </c:pt>
                <c:pt idx="34">
                  <c:v>4415</c:v>
                </c:pt>
                <c:pt idx="35">
                  <c:v>6090</c:v>
                </c:pt>
              </c:numCache>
            </c:numRef>
          </c:val>
          <c:extLst>
            <c:ext xmlns:c16="http://schemas.microsoft.com/office/drawing/2014/chart" uri="{C3380CC4-5D6E-409C-BE32-E72D297353CC}">
              <c16:uniqueId val="{00000000-D9E8-481A-8807-41CFF49F3D3D}"/>
            </c:ext>
          </c:extLst>
        </c:ser>
        <c:dLbls>
          <c:showLegendKey val="0"/>
          <c:showVal val="0"/>
          <c:showCatName val="0"/>
          <c:showSerName val="0"/>
          <c:showPercent val="0"/>
          <c:showBubbleSize val="0"/>
        </c:dLbls>
        <c:gapWidth val="0"/>
        <c:overlap val="100"/>
        <c:axId val="336934992"/>
        <c:axId val="336934600"/>
      </c:barChart>
      <c:catAx>
        <c:axId val="33693499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36934600"/>
        <c:crosses val="autoZero"/>
        <c:auto val="1"/>
        <c:lblAlgn val="ctr"/>
        <c:lblOffset val="100"/>
        <c:noMultiLvlLbl val="0"/>
      </c:catAx>
      <c:valAx>
        <c:axId val="33693460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Wild</a:t>
                </a:r>
                <a:r>
                  <a:rPr lang="en-US" sz="1200" baseline="0"/>
                  <a:t> fish @ RID</a:t>
                </a:r>
                <a:endParaRPr lang="en-US" sz="1200"/>
              </a:p>
            </c:rich>
          </c:tx>
          <c:layout>
            <c:manualLayout>
              <c:xMode val="edge"/>
              <c:yMode val="edge"/>
              <c:x val="1.9444444444444445E-2"/>
              <c:y val="0.2233253135024788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36934992"/>
        <c:crosses val="autoZero"/>
        <c:crossBetween val="between"/>
      </c:valAx>
      <c:spPr>
        <a:noFill/>
        <a:ln>
          <a:solidFill>
            <a:schemeClr val="tx1"/>
          </a:solidFill>
        </a:ln>
        <a:effectLst/>
      </c:spPr>
    </c:plotArea>
    <c:legend>
      <c:legendPos val="r"/>
      <c:layout>
        <c:manualLayout>
          <c:xMode val="edge"/>
          <c:yMode val="edge"/>
          <c:x val="0.80910651793525812"/>
          <c:y val="0.10166630892802675"/>
          <c:w val="0.13811570428696412"/>
          <c:h val="0.15625109361329836"/>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Current Fishery Distribution</a:t>
            </a:r>
            <a:r>
              <a:rPr lang="en-US" b="1" baseline="0"/>
              <a:t> </a:t>
            </a:r>
          </a:p>
          <a:p>
            <a:pPr>
              <a:defRPr b="1"/>
            </a:pPr>
            <a:r>
              <a:rPr lang="en-US" b="1" baseline="0"/>
              <a:t>of Wild/Natural Impacts</a:t>
            </a:r>
            <a:endParaRPr lang="en-US" b="1"/>
          </a:p>
        </c:rich>
      </c:tx>
      <c:layout>
        <c:manualLayout>
          <c:xMode val="edge"/>
          <c:yMode val="edge"/>
          <c:x val="0.21070711749266635"/>
          <c:y val="3.70370370370370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29130549857739"/>
          <c:y val="0.24734981044036161"/>
          <c:w val="0.51611664350779674"/>
          <c:h val="0.68242089530475347"/>
        </c:manualLayout>
      </c:layout>
      <c:pieChart>
        <c:varyColors val="1"/>
        <c:ser>
          <c:idx val="0"/>
          <c:order val="0"/>
          <c:spPr>
            <a:ln w="6350">
              <a:solidFill>
                <a:schemeClr val="tx1"/>
              </a:solidFill>
            </a:ln>
          </c:spPr>
          <c:dPt>
            <c:idx val="0"/>
            <c:bubble3D val="0"/>
            <c:spPr>
              <a:solidFill>
                <a:schemeClr val="accent1"/>
              </a:solidFill>
              <a:ln w="6350">
                <a:solidFill>
                  <a:schemeClr val="tx1"/>
                </a:solidFill>
              </a:ln>
              <a:effectLst/>
            </c:spPr>
            <c:extLst>
              <c:ext xmlns:c16="http://schemas.microsoft.com/office/drawing/2014/chart" uri="{C3380CC4-5D6E-409C-BE32-E72D297353CC}">
                <c16:uniqueId val="{00000001-87B2-482B-A269-20ED3BC5E850}"/>
              </c:ext>
            </c:extLst>
          </c:dPt>
          <c:dPt>
            <c:idx val="1"/>
            <c:bubble3D val="0"/>
            <c:spPr>
              <a:solidFill>
                <a:schemeClr val="accent1">
                  <a:lumMod val="75000"/>
                </a:schemeClr>
              </a:solidFill>
              <a:ln w="6350">
                <a:solidFill>
                  <a:schemeClr val="tx1"/>
                </a:solidFill>
              </a:ln>
              <a:effectLst/>
            </c:spPr>
            <c:extLst>
              <c:ext xmlns:c16="http://schemas.microsoft.com/office/drawing/2014/chart" uri="{C3380CC4-5D6E-409C-BE32-E72D297353CC}">
                <c16:uniqueId val="{00000003-87B2-482B-A269-20ED3BC5E850}"/>
              </c:ext>
            </c:extLst>
          </c:dPt>
          <c:dPt>
            <c:idx val="2"/>
            <c:bubble3D val="0"/>
            <c:spPr>
              <a:solidFill>
                <a:schemeClr val="accent6">
                  <a:lumMod val="60000"/>
                  <a:lumOff val="40000"/>
                </a:schemeClr>
              </a:solidFill>
              <a:ln w="6350">
                <a:solidFill>
                  <a:schemeClr val="tx1"/>
                </a:solidFill>
              </a:ln>
              <a:effectLst/>
            </c:spPr>
            <c:extLst>
              <c:ext xmlns:c16="http://schemas.microsoft.com/office/drawing/2014/chart" uri="{C3380CC4-5D6E-409C-BE32-E72D297353CC}">
                <c16:uniqueId val="{00000005-87B2-482B-A269-20ED3BC5E850}"/>
              </c:ext>
            </c:extLst>
          </c:dPt>
          <c:dPt>
            <c:idx val="3"/>
            <c:bubble3D val="0"/>
            <c:spPr>
              <a:solidFill>
                <a:schemeClr val="accent4"/>
              </a:solidFill>
              <a:ln w="6350">
                <a:solidFill>
                  <a:schemeClr val="tx1"/>
                </a:solidFill>
              </a:ln>
              <a:effectLst/>
            </c:spPr>
            <c:extLst>
              <c:ext xmlns:c16="http://schemas.microsoft.com/office/drawing/2014/chart" uri="{C3380CC4-5D6E-409C-BE32-E72D297353CC}">
                <c16:uniqueId val="{00000007-87B2-482B-A269-20ED3BC5E850}"/>
              </c:ext>
            </c:extLst>
          </c:dPt>
          <c:dLbls>
            <c:dLbl>
              <c:idx val="0"/>
              <c:layout>
                <c:manualLayout>
                  <c:x val="6.6205110933954051E-2"/>
                  <c:y val="-8.9928258967629047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2-482B-A269-20ED3BC5E850}"/>
                </c:ext>
              </c:extLst>
            </c:dLbl>
            <c:dLbl>
              <c:idx val="1"/>
              <c:layout>
                <c:manualLayout>
                  <c:x val="-3.4264099340523629E-2"/>
                  <c:y val="-4.870771361913094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2-482B-A269-20ED3BC5E850}"/>
                </c:ext>
              </c:extLst>
            </c:dLbl>
            <c:dLbl>
              <c:idx val="2"/>
              <c:layout>
                <c:manualLayout>
                  <c:x val="1.5578475484682061E-2"/>
                  <c:y val="-3.4593175853018375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2-482B-A269-20ED3BC5E850}"/>
                </c:ext>
              </c:extLst>
            </c:dLbl>
            <c:dLbl>
              <c:idx val="3"/>
              <c:layout>
                <c:manualLayout>
                  <c:x val="3.3964135641680417E-2"/>
                  <c:y val="0.122900437445319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2-482B-A269-20ED3BC5E85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Fishery!$U$7:$U$10</c:f>
              <c:strCache>
                <c:ptCount val="4"/>
                <c:pt idx="0">
                  <c:v>Terminal</c:v>
                </c:pt>
                <c:pt idx="1">
                  <c:v>Zone 6 tribal</c:v>
                </c:pt>
                <c:pt idx="2">
                  <c:v>LCR comm. &amp; sport</c:v>
                </c:pt>
                <c:pt idx="3">
                  <c:v>Ocean</c:v>
                </c:pt>
              </c:strCache>
            </c:strRef>
          </c:cat>
          <c:val>
            <c:numRef>
              <c:f>Fishery!$V$7:$V$10</c:f>
              <c:numCache>
                <c:formatCode>General</c:formatCode>
                <c:ptCount val="4"/>
                <c:pt idx="0">
                  <c:v>0</c:v>
                </c:pt>
                <c:pt idx="1">
                  <c:v>9.5000000000000001E-2</c:v>
                </c:pt>
                <c:pt idx="2">
                  <c:v>1.4999999999999999E-2</c:v>
                </c:pt>
                <c:pt idx="3">
                  <c:v>0</c:v>
                </c:pt>
              </c:numCache>
            </c:numRef>
          </c:val>
          <c:extLst>
            <c:ext xmlns:c16="http://schemas.microsoft.com/office/drawing/2014/chart" uri="{C3380CC4-5D6E-409C-BE32-E72D297353CC}">
              <c16:uniqueId val="{00000000-F2FD-4027-8F19-8CE5E795C3BC}"/>
            </c:ext>
          </c:extLst>
        </c:ser>
        <c:dLbls>
          <c:showLegendKey val="0"/>
          <c:showVal val="0"/>
          <c:showCatName val="0"/>
          <c:showSerName val="0"/>
          <c:showPercent val="0"/>
          <c:showBubbleSize val="0"/>
          <c:showLeaderLines val="1"/>
        </c:dLbls>
        <c:firstSliceAng val="118"/>
      </c:pieChart>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image" Target="../media/image2.jp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87630</xdr:colOff>
      <xdr:row>2</xdr:row>
      <xdr:rowOff>1060</xdr:rowOff>
    </xdr:from>
    <xdr:to>
      <xdr:col>6</xdr:col>
      <xdr:colOff>484929</xdr:colOff>
      <xdr:row>17</xdr:row>
      <xdr:rowOff>169333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7630" y="350310"/>
          <a:ext cx="3582882" cy="2867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t>Currently inhabits large tributaries upstream from Priest Rapids Dam.</a:t>
          </a:r>
        </a:p>
        <a:p>
          <a:pPr marL="171450" indent="-171450">
            <a:spcAft>
              <a:spcPts val="300"/>
            </a:spcAft>
            <a:buFont typeface="Arial" panose="020B0604020202020204" pitchFamily="34" charset="0"/>
            <a:buChar char="•"/>
          </a:pPr>
          <a:r>
            <a:rPr lang="en-US" sz="1600" i="0" baseline="0"/>
            <a:t>Spawning occurs in mid to high elevation reaches</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A portion of the historical habitat upstream from Chief Joseph and Grand Coulee dams is not currently accessible under current management.</a:t>
          </a:r>
          <a:endParaRPr lang="en-US" sz="1600" i="0">
            <a:effectLst/>
          </a:endParaRPr>
        </a:p>
        <a:p>
          <a:pPr marL="171450" indent="-171450">
            <a:spcAft>
              <a:spcPts val="300"/>
            </a:spcAft>
            <a:buFont typeface="Arial" panose="020B0604020202020204" pitchFamily="34" charset="0"/>
            <a:buChar char="•"/>
          </a:pPr>
          <a:r>
            <a:rPr lang="en-US" sz="1600" i="0" baseline="0"/>
            <a:t>This stock ranges widely in the ocean along the Pacific Coast where it is not subject to fisheries.</a:t>
          </a:r>
          <a:endParaRPr lang="en-US" sz="1600" i="0">
            <a:effectLst/>
          </a:endParaRPr>
        </a:p>
      </xdr:txBody>
    </xdr:sp>
    <xdr:clientData/>
  </xdr:twoCellAnchor>
  <xdr:twoCellAnchor editAs="oneCell">
    <xdr:from>
      <xdr:col>7</xdr:col>
      <xdr:colOff>63500</xdr:colOff>
      <xdr:row>1</xdr:row>
      <xdr:rowOff>46610</xdr:rowOff>
    </xdr:from>
    <xdr:to>
      <xdr:col>15</xdr:col>
      <xdr:colOff>570320</xdr:colOff>
      <xdr:row>31</xdr:row>
      <xdr:rowOff>20408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4" t="6113" r="1307" b="13624"/>
        <a:stretch/>
      </xdr:blipFill>
      <xdr:spPr>
        <a:xfrm>
          <a:off x="3852333" y="311193"/>
          <a:ext cx="5332820" cy="5268428"/>
        </a:xfrm>
        <a:prstGeom prst="rect">
          <a:avLst/>
        </a:prstGeom>
        <a:ln>
          <a:solidFill>
            <a:schemeClr val="tx1"/>
          </a:solidFill>
        </a:ln>
      </xdr:spPr>
    </xdr:pic>
    <xdr:clientData/>
  </xdr:twoCellAnchor>
  <xdr:twoCellAnchor>
    <xdr:from>
      <xdr:col>37</xdr:col>
      <xdr:colOff>334645</xdr:colOff>
      <xdr:row>19</xdr:row>
      <xdr:rowOff>67718</xdr:rowOff>
    </xdr:from>
    <xdr:to>
      <xdr:col>49</xdr:col>
      <xdr:colOff>524623</xdr:colOff>
      <xdr:row>40</xdr:row>
      <xdr:rowOff>63274</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49560</xdr:colOff>
      <xdr:row>49</xdr:row>
      <xdr:rowOff>146746</xdr:rowOff>
    </xdr:from>
    <xdr:to>
      <xdr:col>8</xdr:col>
      <xdr:colOff>267547</xdr:colOff>
      <xdr:row>66</xdr:row>
      <xdr:rowOff>145203</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539417</xdr:colOff>
      <xdr:row>49</xdr:row>
      <xdr:rowOff>101752</xdr:rowOff>
    </xdr:from>
    <xdr:to>
      <xdr:col>15</xdr:col>
      <xdr:colOff>478185</xdr:colOff>
      <xdr:row>66</xdr:row>
      <xdr:rowOff>99847</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22421</xdr:colOff>
      <xdr:row>31</xdr:row>
      <xdr:rowOff>75777</xdr:rowOff>
    </xdr:from>
    <xdr:to>
      <xdr:col>17</xdr:col>
      <xdr:colOff>17356</xdr:colOff>
      <xdr:row>49</xdr:row>
      <xdr:rowOff>22225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765" t="9375" r="12133" b="63258"/>
        <a:stretch/>
      </xdr:blipFill>
      <xdr:spPr>
        <a:xfrm>
          <a:off x="22421" y="5642610"/>
          <a:ext cx="9318852" cy="3226223"/>
        </a:xfrm>
        <a:prstGeom prst="rect">
          <a:avLst/>
        </a:prstGeom>
      </xdr:spPr>
    </xdr:pic>
    <xdr:clientData/>
  </xdr:twoCellAnchor>
  <xdr:twoCellAnchor>
    <xdr:from>
      <xdr:col>0</xdr:col>
      <xdr:colOff>93467</xdr:colOff>
      <xdr:row>17</xdr:row>
      <xdr:rowOff>176107</xdr:rowOff>
    </xdr:from>
    <xdr:to>
      <xdr:col>6</xdr:col>
      <xdr:colOff>599229</xdr:colOff>
      <xdr:row>31</xdr:row>
      <xdr:rowOff>120227</xdr:rowOff>
    </xdr:to>
    <xdr:graphicFrame macro="">
      <xdr:nvGraphicFramePr>
        <xdr:cNvPr id="11" name="Chart 10">
          <a:extLst>
            <a:ext uri="{FF2B5EF4-FFF2-40B4-BE49-F238E27FC236}">
              <a16:creationId xmlns:a16="http://schemas.microsoft.com/office/drawing/2014/main" id="{148EA3EE-43E4-40C0-B4C5-7F7A0026F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6</xdr:col>
      <xdr:colOff>493608</xdr:colOff>
      <xdr:row>31</xdr:row>
      <xdr:rowOff>158750</xdr:rowOff>
    </xdr:from>
    <xdr:ext cx="2571410" cy="405432"/>
    <xdr:sp macro="" textlink="">
      <xdr:nvSpPr>
        <xdr:cNvPr id="4" name="TextBox 3">
          <a:extLst>
            <a:ext uri="{FF2B5EF4-FFF2-40B4-BE49-F238E27FC236}">
              <a16:creationId xmlns:a16="http://schemas.microsoft.com/office/drawing/2014/main" id="{805C9111-E96D-4B63-884A-DD8898A8B2E8}"/>
            </a:ext>
          </a:extLst>
        </xdr:cNvPr>
        <xdr:cNvSpPr txBox="1"/>
      </xdr:nvSpPr>
      <xdr:spPr>
        <a:xfrm>
          <a:off x="3679191" y="5725583"/>
          <a:ext cx="257141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000" b="1"/>
            <a:t>Spawning Escapement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22</xdr:col>
      <xdr:colOff>446722</xdr:colOff>
      <xdr:row>5</xdr:row>
      <xdr:rowOff>174307</xdr:rowOff>
    </xdr:from>
    <xdr:to>
      <xdr:col>30</xdr:col>
      <xdr:colOff>141922</xdr:colOff>
      <xdr:row>20</xdr:row>
      <xdr:rowOff>86677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30480</xdr:colOff>
      <xdr:row>21</xdr:row>
      <xdr:rowOff>38100</xdr:rowOff>
    </xdr:from>
    <xdr:to>
      <xdr:col>29</xdr:col>
      <xdr:colOff>335280</xdr:colOff>
      <xdr:row>35</xdr:row>
      <xdr:rowOff>133350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37</xdr:row>
      <xdr:rowOff>0</xdr:rowOff>
    </xdr:from>
    <xdr:to>
      <xdr:col>29</xdr:col>
      <xdr:colOff>304800</xdr:colOff>
      <xdr:row>51</xdr:row>
      <xdr:rowOff>95250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704849</xdr:colOff>
      <xdr:row>22</xdr:row>
      <xdr:rowOff>72390</xdr:rowOff>
    </xdr:from>
    <xdr:to>
      <xdr:col>20</xdr:col>
      <xdr:colOff>270509</xdr:colOff>
      <xdr:row>27</xdr:row>
      <xdr:rowOff>165439</xdr:rowOff>
    </xdr:to>
    <xdr:pic>
      <xdr:nvPicPr>
        <xdr:cNvPr id="2" name="Picture 1">
          <a:extLst>
            <a:ext uri="{FF2B5EF4-FFF2-40B4-BE49-F238E27FC236}">
              <a16:creationId xmlns:a16="http://schemas.microsoft.com/office/drawing/2014/main" id="{EFD68D22-F500-4A22-A835-27DA23715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9424" y="4101465"/>
          <a:ext cx="6518910" cy="997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86</xdr:row>
      <xdr:rowOff>0</xdr:rowOff>
    </xdr:from>
    <xdr:to>
      <xdr:col>9</xdr:col>
      <xdr:colOff>45720</xdr:colOff>
      <xdr:row>101</xdr:row>
      <xdr:rowOff>129540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8440" y="15742920"/>
          <a:ext cx="6149340"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240030</xdr:colOff>
      <xdr:row>4</xdr:row>
      <xdr:rowOff>66675</xdr:rowOff>
    </xdr:from>
    <xdr:to>
      <xdr:col>29</xdr:col>
      <xdr:colOff>215265</xdr:colOff>
      <xdr:row>19</xdr:row>
      <xdr:rowOff>66675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Conor%20Giorgi/AppData/Local/Microsoft/Windows/Temporary%20Internet%20Files/Content.Outlook/Z0A513RV/FPC%20Hatchery%20rel%20MCR%20CH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y Beamesderfer" refreshedDate="43117.728351388891" createdVersion="5" refreshedVersion="5" minRefreshableVersion="3" recordCount="44" xr:uid="{00000000-000A-0000-FFFF-FFFF02000000}">
  <cacheSource type="worksheet">
    <worksheetSource ref="A1:K45" sheet="HQ15a5ff80582961" r:id="rId2"/>
  </cacheSource>
  <cacheFields count="11">
    <cacheField name="MigrationYear" numFmtId="0">
      <sharedItems containsSemiMixedTypes="0" containsString="0" containsNumber="1" containsInteger="1" minValue="2013" maxValue="2017" count="5">
        <n v="2017"/>
        <n v="2016"/>
        <n v="2015"/>
        <n v="2014"/>
        <n v="2013"/>
      </sharedItems>
    </cacheField>
    <cacheField name="Species" numFmtId="0">
      <sharedItems/>
    </cacheField>
    <cacheField name="RaceCode" numFmtId="0">
      <sharedItems/>
    </cacheField>
    <cacheField name="Hatchery" numFmtId="0">
      <sharedItems/>
    </cacheField>
    <cacheField name="ReleaseSite" numFmtId="0">
      <sharedItems/>
    </cacheField>
    <cacheField name="AgencyCode" numFmtId="0">
      <sharedItems/>
    </cacheField>
    <cacheField name="ReleaseStartDate" numFmtId="14">
      <sharedItems containsSemiMixedTypes="0" containsNonDate="0" containsDate="1" containsString="0" minDate="2013-04-12T00:00:00" maxDate="2017-04-21T00:00:00"/>
    </cacheField>
    <cacheField name="NumReleased" numFmtId="0">
      <sharedItems containsSemiMixedTypes="0" containsString="0" containsNumber="1" containsInteger="1" minValue="15661" maxValue="1289293"/>
    </cacheField>
    <cacheField name="RelRiver" numFmtId="0">
      <sharedItems count="4">
        <s v="Methow River"/>
        <s v="Wells Pool"/>
        <s v="Okanogan River"/>
        <s v="Wenatchee River"/>
      </sharedItems>
    </cacheField>
    <cacheField name="ReleaseFinishDate" numFmtId="14">
      <sharedItems containsSemiMixedTypes="0" containsNonDate="0" containsDate="1" containsString="0" minDate="2013-04-16T00:00:00" maxDate="2017-04-22T00:00:00"/>
    </cacheField>
    <cacheField name="LifeStag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
  <r>
    <x v="0"/>
    <s v="Spring Chinook Yearling"/>
    <s v="SP"/>
    <s v="Winthrop NFH"/>
    <s v="Winthrop Hatchery"/>
    <s v="USFW"/>
    <d v="2017-04-20T00:00:00"/>
    <n v="424591"/>
    <x v="0"/>
    <d v="2017-04-20T00:00:00"/>
    <s v="Smolt"/>
  </r>
  <r>
    <x v="0"/>
    <s v="Spring Chinook Yearling"/>
    <s v="SP"/>
    <s v="Chief Joseph Hatchery"/>
    <s v="Chief Joseph Hatchery"/>
    <s v="COLV"/>
    <d v="2017-04-17T00:00:00"/>
    <n v="743996"/>
    <x v="1"/>
    <d v="2017-04-18T00:00:00"/>
    <s v="Smolt"/>
  </r>
  <r>
    <x v="0"/>
    <s v="Spring Chinook Yearling"/>
    <s v="SP"/>
    <s v="Chief Joseph Hatchery"/>
    <s v="Riverside Pond"/>
    <s v="COLV"/>
    <d v="2017-04-13T00:00:00"/>
    <n v="201821"/>
    <x v="2"/>
    <d v="2017-04-17T00:00:00"/>
    <s v="Smolt"/>
  </r>
  <r>
    <x v="0"/>
    <s v="Spring Chinook Yearling"/>
    <s v="SP"/>
    <s v="Leavenworth NFH"/>
    <s v="Leavenworth Hatchery"/>
    <s v="USFW"/>
    <d v="2017-04-14T00:00:00"/>
    <n v="1131913"/>
    <x v="3"/>
    <d v="2017-04-18T00:00:00"/>
    <s v="Smolt"/>
  </r>
  <r>
    <x v="0"/>
    <s v="Spring Chinook Yearling"/>
    <s v="SP"/>
    <s v="Methow Hatchery"/>
    <s v="Chewuch Acclim Pond"/>
    <s v="WDFW"/>
    <d v="2017-04-17T00:00:00"/>
    <n v="65621"/>
    <x v="0"/>
    <d v="2017-04-19T00:00:00"/>
    <s v="Smolt"/>
  </r>
  <r>
    <x v="0"/>
    <s v="Spring Chinook Yearling"/>
    <s v="SP"/>
    <s v="Chiwawa Hatchery"/>
    <s v="Chiwawa Hatchery"/>
    <s v="WDFW"/>
    <d v="2017-04-12T00:00:00"/>
    <n v="163411"/>
    <x v="3"/>
    <d v="2017-04-19T00:00:00"/>
    <s v="Smolt"/>
  </r>
  <r>
    <x v="0"/>
    <s v="Spring Chinook Yearling"/>
    <s v="SP"/>
    <s v="Methow Hatchery"/>
    <s v="Methow Hatchery"/>
    <s v="WDFW"/>
    <d v="2017-04-17T00:00:00"/>
    <n v="59260"/>
    <x v="0"/>
    <d v="2017-04-21T00:00:00"/>
    <s v="Smolt"/>
  </r>
  <r>
    <x v="0"/>
    <s v="Spring Chinook Yearling"/>
    <s v="SP"/>
    <s v="Chiwawa Hatchery"/>
    <s v="Nason Creek"/>
    <s v="WDFW"/>
    <d v="2017-04-17T00:00:00"/>
    <n v="243127"/>
    <x v="3"/>
    <d v="2017-04-18T00:00:00"/>
    <s v="Smolt"/>
  </r>
  <r>
    <x v="0"/>
    <s v="Spring Chinook Yearling"/>
    <s v="SP"/>
    <s v="Methow Hatchery"/>
    <s v="Twisp Acclim Pond"/>
    <s v="WDFW"/>
    <d v="2017-04-17T00:00:00"/>
    <n v="40351"/>
    <x v="0"/>
    <d v="2017-04-20T00:00:00"/>
    <s v="Smolt"/>
  </r>
  <r>
    <x v="1"/>
    <s v="Spring Chinook Yearling"/>
    <s v="SP"/>
    <s v="Leavenworth NFH"/>
    <s v="Icicle Creek"/>
    <s v="USFW"/>
    <d v="2016-04-21T00:00:00"/>
    <n v="945277"/>
    <x v="3"/>
    <d v="2016-04-21T00:00:00"/>
    <s v="Smolt"/>
  </r>
  <r>
    <x v="1"/>
    <s v="Spring Chinook Yearling"/>
    <s v="SP"/>
    <s v="Chief Joseph Hatchery"/>
    <s v="Chief Joseph Hatchery"/>
    <s v="COLV"/>
    <d v="2016-04-15T00:00:00"/>
    <n v="526136"/>
    <x v="1"/>
    <d v="2016-04-21T00:00:00"/>
    <s v="Smolt"/>
  </r>
  <r>
    <x v="1"/>
    <s v="Spring Chinook Yearling"/>
    <s v="SP"/>
    <s v="Chief Joseph Hatchery"/>
    <s v="Riverside Pond"/>
    <s v="COLV"/>
    <d v="2016-04-15T00:00:00"/>
    <n v="203311"/>
    <x v="2"/>
    <d v="2016-04-22T00:00:00"/>
    <s v="Smolt"/>
  </r>
  <r>
    <x v="1"/>
    <s v="Spring Chinook Yearling"/>
    <s v="SP"/>
    <s v="Winthrop NFH"/>
    <s v="Winthrop Hatchery"/>
    <s v="USFW"/>
    <d v="2016-04-11T00:00:00"/>
    <n v="415372"/>
    <x v="0"/>
    <d v="2016-04-21T00:00:00"/>
    <s v="Smolt"/>
  </r>
  <r>
    <x v="1"/>
    <s v="Spring Chinook Yearling"/>
    <s v="SP"/>
    <s v="Chiwawa Hatchery"/>
    <s v="Chiwawa Hatchery"/>
    <s v="WDFW"/>
    <d v="2016-04-15T00:00:00"/>
    <n v="341226"/>
    <x v="3"/>
    <d v="2016-04-20T00:00:00"/>
    <s v="Smolt"/>
  </r>
  <r>
    <x v="1"/>
    <s v="Spring Chinook Yearling"/>
    <s v="SP"/>
    <s v="Chiwawa Hatchery"/>
    <s v="Nason Creek"/>
    <s v="WDFW"/>
    <d v="2016-04-18T00:00:00"/>
    <n v="32215"/>
    <x v="3"/>
    <d v="2016-04-18T00:00:00"/>
    <s v="Smolt"/>
  </r>
  <r>
    <x v="1"/>
    <s v="Spring Chinook Yearling"/>
    <s v="SP"/>
    <s v="Methow Hatchery"/>
    <s v="Methow Hatchery"/>
    <s v="WDFW"/>
    <d v="2016-04-18T00:00:00"/>
    <n v="157206"/>
    <x v="0"/>
    <d v="2016-04-22T00:00:00"/>
    <s v="Smolt"/>
  </r>
  <r>
    <x v="1"/>
    <s v="Spring Chinook Yearling"/>
    <s v="SP"/>
    <s v="Methow Hatchery"/>
    <s v="Twisp Acclim Pond"/>
    <s v="WDFW"/>
    <d v="2016-04-15T00:00:00"/>
    <n v="36316"/>
    <x v="0"/>
    <d v="2016-04-21T00:00:00"/>
    <s v="Smolt"/>
  </r>
  <r>
    <x v="1"/>
    <s v="Spring Chinook Yearling"/>
    <s v="SP"/>
    <s v="Methow Hatchery"/>
    <s v="Chewuch Acclim Pond"/>
    <s v="WDFW"/>
    <d v="2016-04-21T00:00:00"/>
    <n v="71768"/>
    <x v="0"/>
    <d v="2016-04-28T00:00:00"/>
    <s v="Smolt"/>
  </r>
  <r>
    <x v="1"/>
    <s v="Spring Chinook Yearling"/>
    <s v="SP"/>
    <s v="Leavenworth NFH"/>
    <s v="Icicle Creek"/>
    <s v="USFW"/>
    <d v="2016-01-29T00:00:00"/>
    <n v="48890"/>
    <x v="3"/>
    <d v="2016-01-29T00:00:00"/>
    <s v="Smolt"/>
  </r>
  <r>
    <x v="2"/>
    <s v="Spring Chinook Yearling"/>
    <s v="SP"/>
    <s v="Leavenworth NFH"/>
    <s v="Icicle Creek"/>
    <s v="USFW"/>
    <d v="2015-04-14T00:00:00"/>
    <n v="1139567"/>
    <x v="3"/>
    <d v="2015-04-15T00:00:00"/>
    <s v="Smolt"/>
  </r>
  <r>
    <x v="2"/>
    <s v="Spring Chinook Yearling"/>
    <s v="SP"/>
    <s v="Winthrop NFH"/>
    <s v="Winthrop Hatchery"/>
    <s v="USFW"/>
    <d v="2015-04-14T00:00:00"/>
    <n v="403510"/>
    <x v="0"/>
    <d v="2015-04-15T00:00:00"/>
    <s v="Smolt"/>
  </r>
  <r>
    <x v="2"/>
    <s v="Spring Chinook Yearling"/>
    <s v="SP"/>
    <s v="Chiwawa Hatchery"/>
    <s v="Chiwawa Hatchery"/>
    <s v="WDFW"/>
    <d v="2015-04-13T00:00:00"/>
    <n v="147480"/>
    <x v="3"/>
    <d v="2015-04-20T00:00:00"/>
    <s v="Smolt"/>
  </r>
  <r>
    <x v="2"/>
    <s v="Spring Chinook Yearling"/>
    <s v="SP"/>
    <s v="Chiwawa Hatchery"/>
    <s v="Nason Creek"/>
    <s v="WDFW"/>
    <d v="2015-04-13T00:00:00"/>
    <n v="43082"/>
    <x v="3"/>
    <d v="2015-05-01T00:00:00"/>
    <s v="Smolt"/>
  </r>
  <r>
    <x v="2"/>
    <s v="Spring Chinook Yearling"/>
    <s v="SP"/>
    <s v="Methow Hatchery"/>
    <s v="Methow Hatchery"/>
    <s v="WDFW"/>
    <d v="2015-04-15T00:00:00"/>
    <n v="161145"/>
    <x v="0"/>
    <d v="2015-04-18T00:00:00"/>
    <s v="Smolt"/>
  </r>
  <r>
    <x v="2"/>
    <s v="Spring Chinook Yearling"/>
    <s v="SP"/>
    <s v="Methow Hatchery"/>
    <s v="Twisp Acclim Pond"/>
    <s v="WDFW"/>
    <d v="2015-04-15T00:00:00"/>
    <n v="31333"/>
    <x v="0"/>
    <d v="2015-04-18T00:00:00"/>
    <s v="Smolt"/>
  </r>
  <r>
    <x v="2"/>
    <s v="Spring Chinook Yearling"/>
    <s v="SP"/>
    <s v="Little White Salmon NFH"/>
    <s v="Chiwawa Hatchery"/>
    <s v="USFW"/>
    <d v="2015-05-04T00:00:00"/>
    <n v="45373"/>
    <x v="3"/>
    <d v="2015-05-05T00:00:00"/>
    <s v="Smolt"/>
  </r>
  <r>
    <x v="2"/>
    <s v="Spring Chinook Yearling"/>
    <s v="SP"/>
    <s v="Chief Joseph Hatchery"/>
    <s v="Riverside Pond"/>
    <s v="COLV"/>
    <d v="2015-04-15T00:00:00"/>
    <n v="196917"/>
    <x v="2"/>
    <d v="2015-04-21T00:00:00"/>
    <s v="Smolt"/>
  </r>
  <r>
    <x v="2"/>
    <s v="Spring Chinook Yearling"/>
    <s v="SP"/>
    <s v="Chief Joseph Hatchery"/>
    <s v="Chief Joseph Hatchery"/>
    <s v="COLV"/>
    <d v="2015-04-15T00:00:00"/>
    <n v="514596"/>
    <x v="1"/>
    <d v="2015-04-30T00:00:00"/>
    <s v="Smolt"/>
  </r>
  <r>
    <x v="2"/>
    <s v="Spring Chinook Yearling"/>
    <s v="SP"/>
    <s v="Methow Hatchery"/>
    <s v="Chewuch Acclim Pond"/>
    <s v="WDFW"/>
    <d v="2015-04-16T00:00:00"/>
    <n v="60860"/>
    <x v="0"/>
    <d v="2015-04-27T00:00:00"/>
    <s v="Smolt"/>
  </r>
  <r>
    <x v="3"/>
    <s v="Spring Chinook Yearling"/>
    <s v="SP"/>
    <s v="Leavenworth NFH"/>
    <s v="Icicle Creek"/>
    <s v="USFW"/>
    <d v="2014-04-22T00:00:00"/>
    <n v="1239025"/>
    <x v="3"/>
    <d v="2014-04-23T00:00:00"/>
    <s v="Smolt"/>
  </r>
  <r>
    <x v="3"/>
    <s v="Spring Chinook Yearling"/>
    <s v="SP"/>
    <s v="Winthrop NFH"/>
    <s v="Winthrop Hatchery"/>
    <s v="USFW"/>
    <d v="2014-04-16T00:00:00"/>
    <n v="560379"/>
    <x v="0"/>
    <d v="2014-04-16T00:00:00"/>
    <s v="Smolt"/>
  </r>
  <r>
    <x v="3"/>
    <s v="Spring Chinook Yearling"/>
    <s v="SP"/>
    <s v="Chiwawa Hatchery"/>
    <s v="Chiwawa Hatchery"/>
    <s v="WDFW"/>
    <d v="2014-04-14T00:00:00"/>
    <n v="222505"/>
    <x v="3"/>
    <d v="2014-04-21T00:00:00"/>
    <s v="Smolt"/>
  </r>
  <r>
    <x v="3"/>
    <s v="Spring Chinook Yearling"/>
    <s v="SP"/>
    <s v="Methow Hatchery"/>
    <s v="Methow Hatchery"/>
    <s v="WDFW"/>
    <d v="2014-04-15T00:00:00"/>
    <n v="181050"/>
    <x v="0"/>
    <d v="2014-04-22T00:00:00"/>
    <s v="Smolt"/>
  </r>
  <r>
    <x v="3"/>
    <s v="Spring Chinook Yearling"/>
    <s v="SP"/>
    <s v="Methow Hatchery"/>
    <s v="Twisp Acclim Pond"/>
    <s v="WDFW"/>
    <d v="2014-04-22T00:00:00"/>
    <n v="48924"/>
    <x v="0"/>
    <d v="2014-04-29T00:00:00"/>
    <s v="Smolt"/>
  </r>
  <r>
    <x v="3"/>
    <s v="Spring Chinook Yearling"/>
    <s v="SP"/>
    <s v="Little White Salmon NFH"/>
    <s v="White River"/>
    <s v="USFW"/>
    <d v="2014-05-06T00:00:00"/>
    <n v="97535"/>
    <x v="3"/>
    <d v="2014-05-06T00:00:00"/>
    <s v="Smolt"/>
  </r>
  <r>
    <x v="3"/>
    <s v="Spring Chinook Yearling"/>
    <s v="SP"/>
    <s v="Methow Hatchery"/>
    <s v="Mid-Valley Pond"/>
    <s v="WDFW"/>
    <d v="2014-04-21T00:00:00"/>
    <n v="15661"/>
    <x v="0"/>
    <d v="2014-04-28T00:00:00"/>
    <s v="Smolt"/>
  </r>
  <r>
    <x v="4"/>
    <s v="Spring Chinook Yearling"/>
    <s v="SP"/>
    <s v="Winthrop NFH"/>
    <s v="Winthrop Hatchery"/>
    <s v="USFW"/>
    <d v="2013-04-15T00:00:00"/>
    <n v="417558"/>
    <x v="0"/>
    <d v="2013-04-16T00:00:00"/>
    <s v="Smolt"/>
  </r>
  <r>
    <x v="4"/>
    <s v="Spring Chinook Yearling"/>
    <s v="SP"/>
    <s v="Leavenworth NFH"/>
    <s v="Leavenworth Hatchery"/>
    <s v="USFW"/>
    <d v="2013-04-23T00:00:00"/>
    <n v="1289293"/>
    <x v="3"/>
    <d v="2013-04-24T00:00:00"/>
    <s v="Smolt"/>
  </r>
  <r>
    <x v="4"/>
    <s v="Spring Chinook Yearling"/>
    <s v="SP"/>
    <s v="Chiwawa Hatchery"/>
    <s v="Chiwawa Hatchery"/>
    <s v="WDFW"/>
    <d v="2013-04-16T00:00:00"/>
    <n v="281793"/>
    <x v="3"/>
    <d v="2013-04-24T00:00:00"/>
    <s v="Smolt"/>
  </r>
  <r>
    <x v="4"/>
    <s v="Spring Chinook Yearling"/>
    <s v="SP"/>
    <s v="Methow Hatchery"/>
    <s v="Methow Hatchery"/>
    <s v="WDFW"/>
    <d v="2013-04-15T00:00:00"/>
    <n v="341399"/>
    <x v="0"/>
    <d v="2013-04-21T00:00:00"/>
    <s v="Smolt"/>
  </r>
  <r>
    <x v="4"/>
    <s v="Spring Chinook Yearling"/>
    <s v="SP"/>
    <s v="Methow Hatchery"/>
    <s v="Twisp Acclim Pond"/>
    <s v="WDFW"/>
    <d v="2013-04-18T00:00:00"/>
    <n v="18190"/>
    <x v="0"/>
    <d v="2013-04-30T00:00:00"/>
    <s v="Smolt"/>
  </r>
  <r>
    <x v="4"/>
    <s v="Spring Chinook Yearling"/>
    <s v="SP"/>
    <s v="Methow Hatchery"/>
    <s v="Chewuch Acclim Pond"/>
    <s v="WDFW"/>
    <d v="2013-04-18T00:00:00"/>
    <n v="93372"/>
    <x v="0"/>
    <d v="2013-04-20T00:00:00"/>
    <s v="Smolt"/>
  </r>
  <r>
    <x v="4"/>
    <s v="Spring Chinook Yearling"/>
    <s v="SP"/>
    <s v="Little White Salmon NFH"/>
    <s v="Wenatchee River"/>
    <s v="USFW"/>
    <d v="2013-05-06T00:00:00"/>
    <n v="137955"/>
    <x v="3"/>
    <d v="2013-05-13T00:00:00"/>
    <s v="Smolt"/>
  </r>
  <r>
    <x v="4"/>
    <s v="Spring Chinook Yearling"/>
    <s v="SP"/>
    <s v="Methow Hatchery"/>
    <s v="Mid-Valley Pond"/>
    <s v="WDFW"/>
    <d v="2013-04-12T00:00:00"/>
    <n v="47470"/>
    <x v="0"/>
    <d v="2013-05-02T00:00:00"/>
    <s v="Smol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22:H28" firstHeaderRow="1" firstDataRow="2" firstDataCol="1"/>
  <pivotFields count="11">
    <pivotField axis="axisCol" showAll="0">
      <items count="6">
        <item x="4"/>
        <item x="3"/>
        <item x="2"/>
        <item x="1"/>
        <item x="0"/>
        <item t="default"/>
      </items>
    </pivotField>
    <pivotField showAll="0"/>
    <pivotField showAll="0"/>
    <pivotField showAll="0"/>
    <pivotField showAll="0"/>
    <pivotField showAll="0"/>
    <pivotField numFmtId="14" showAll="0"/>
    <pivotField dataField="1" showAll="0"/>
    <pivotField axis="axisRow" showAll="0">
      <items count="5">
        <item x="0"/>
        <item x="2"/>
        <item x="1"/>
        <item x="3"/>
        <item t="default"/>
      </items>
    </pivotField>
    <pivotField numFmtId="14" showAll="0"/>
    <pivotField showAll="0"/>
  </pivotFields>
  <rowFields count="1">
    <field x="8"/>
  </rowFields>
  <rowItems count="5">
    <i>
      <x/>
    </i>
    <i>
      <x v="1"/>
    </i>
    <i>
      <x v="2"/>
    </i>
    <i>
      <x v="3"/>
    </i>
    <i t="grand">
      <x/>
    </i>
  </rowItems>
  <colFields count="1">
    <field x="0"/>
  </colFields>
  <colItems count="6">
    <i>
      <x/>
    </i>
    <i>
      <x v="1"/>
    </i>
    <i>
      <x v="2"/>
    </i>
    <i>
      <x v="3"/>
    </i>
    <i>
      <x v="4"/>
    </i>
    <i t="grand">
      <x/>
    </i>
  </colItems>
  <dataFields count="1">
    <dataField name="Sum of NumReleased" fld="7" baseField="0" baseItem="0"/>
  </dataFields>
  <formats count="1">
    <format dxfId="0">
      <pivotArea collapsedLevelsAreSubtotals="1" fieldPosition="0">
        <references count="1">
          <reference field="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westcoast.fisheries.noaa.gov/protected_species/salmon_steelhead/recovery_planning_and_implementation/upper_columbia/upper_columbia_spring_chinook_steelhead_recovery_plan.html" TargetMode="External"/><Relationship Id="rId3" Type="http://schemas.openxmlformats.org/officeDocument/2006/relationships/hyperlink" Target="https://www.streamnet.org/ca-priority-data/" TargetMode="External"/><Relationship Id="rId7" Type="http://schemas.openxmlformats.org/officeDocument/2006/relationships/hyperlink" Target="https://www.westcoast.fisheries.noaa.gov/protected_species/salmon_steelhead/recovery_planning_and_implementation/upper_columbia/upper_columbia_spring_chinook_steelhead_recovery_plan.html" TargetMode="External"/><Relationship Id="rId12" Type="http://schemas.openxmlformats.org/officeDocument/2006/relationships/comments" Target="../comments2.xml"/><Relationship Id="rId2" Type="http://schemas.openxmlformats.org/officeDocument/2006/relationships/hyperlink" Target="https://www.streamnet.org/ca-priority-data/" TargetMode="External"/><Relationship Id="rId1" Type="http://schemas.openxmlformats.org/officeDocument/2006/relationships/hyperlink" Target="https://www.streamnet.org/ca-priority-data/" TargetMode="External"/><Relationship Id="rId6" Type="http://schemas.openxmlformats.org/officeDocument/2006/relationships/hyperlink" Target="https://www.westcoast.fisheries.noaa.gov/protected_species/salmon_steelhead/recovery_planning_and_implementation/upper_columbia/upper_columbia_spring_chinook_steelhead_recovery_plan.html" TargetMode="External"/><Relationship Id="rId11" Type="http://schemas.openxmlformats.org/officeDocument/2006/relationships/vmlDrawing" Target="../drawings/vmlDrawing2.vml"/><Relationship Id="rId5" Type="http://schemas.openxmlformats.org/officeDocument/2006/relationships/hyperlink" Target="https://www.westcoast.fisheries.noaa.gov/protected_species/salmon_steelhead/recovery_planning_and_implementation/upper_columbia/upper_columbia_spring_chinook_steelhead_recovery_plan.html" TargetMode="External"/><Relationship Id="rId10" Type="http://schemas.openxmlformats.org/officeDocument/2006/relationships/hyperlink" Target="https://www.westcoast.fisheries.noaa.gov/publications/recovery_planning/salmon_steelhead/domains/interior_columbia/upper_columbia/uc-plan-appf1.pdf" TargetMode="External"/><Relationship Id="rId4" Type="http://schemas.openxmlformats.org/officeDocument/2006/relationships/hyperlink" Target="https://www.nwcouncil.org/subbasin-plans/okanogan-subbasin-plan" TargetMode="External"/><Relationship Id="rId9" Type="http://schemas.openxmlformats.org/officeDocument/2006/relationships/hyperlink" Target="https://www.westcoast.fisheries.noaa.gov/publications/recovery_planning/salmon_steelhead/domains/interior_columbia/upper_columbia/uc-plan-appf1.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O124"/>
  <sheetViews>
    <sheetView tabSelected="1" zoomScale="90" zoomScaleNormal="90" workbookViewId="0">
      <selection activeCell="S3" sqref="S3:AA58"/>
    </sheetView>
  </sheetViews>
  <sheetFormatPr defaultRowHeight="14.4" x14ac:dyDescent="0.3"/>
  <cols>
    <col min="1" max="1" width="2.5546875" style="75" customWidth="1"/>
    <col min="2" max="12" width="8.77734375" style="75" customWidth="1"/>
    <col min="13" max="16" width="8.77734375" customWidth="1"/>
    <col min="17" max="17" width="1.5546875" customWidth="1"/>
    <col min="18" max="18" width="8.88671875" style="54"/>
    <col min="19" max="19" width="6.6640625" customWidth="1"/>
    <col min="20" max="20" width="17.5546875" customWidth="1"/>
    <col min="21" max="21" width="9.88671875" customWidth="1"/>
    <col min="22" max="22" width="11.109375" customWidth="1"/>
    <col min="23" max="23" width="10.88671875" customWidth="1"/>
    <col min="24" max="24" width="10" customWidth="1"/>
    <col min="25" max="25" width="10.33203125" customWidth="1"/>
    <col min="26" max="26" width="10.6640625" style="54" customWidth="1"/>
    <col min="27" max="27" width="1.44140625" style="54" customWidth="1"/>
    <col min="28" max="28" width="13.6640625" style="329" customWidth="1"/>
    <col min="29" max="29" width="12.88671875" style="329" customWidth="1"/>
    <col min="30" max="30" width="10.77734375" bestFit="1" customWidth="1"/>
    <col min="31" max="31" width="9.109375" style="327"/>
    <col min="32" max="41" width="9.109375" style="329"/>
  </cols>
  <sheetData>
    <row r="1" spans="1:41" ht="21" customHeight="1" x14ac:dyDescent="0.35">
      <c r="A1" s="406" t="s">
        <v>115</v>
      </c>
      <c r="B1" s="407"/>
      <c r="C1" s="407"/>
      <c r="D1" s="408"/>
      <c r="E1" s="409"/>
      <c r="F1" s="410"/>
      <c r="G1" s="409"/>
      <c r="H1" s="409" t="s">
        <v>104</v>
      </c>
      <c r="I1" s="411"/>
      <c r="J1" s="411"/>
      <c r="K1" s="408" t="s">
        <v>116</v>
      </c>
      <c r="L1" s="408"/>
      <c r="M1" s="408"/>
      <c r="N1" s="411"/>
      <c r="O1" s="411"/>
      <c r="P1" s="411"/>
      <c r="Q1" s="411"/>
    </row>
    <row r="2" spans="1:41" s="54" customFormat="1" ht="6.6" customHeight="1" x14ac:dyDescent="0.3">
      <c r="A2" s="80"/>
      <c r="B2" s="81"/>
      <c r="C2" s="81"/>
      <c r="D2" s="82"/>
      <c r="E2" s="83"/>
      <c r="F2" s="83"/>
      <c r="G2" s="83"/>
      <c r="H2" s="83"/>
      <c r="I2" s="83"/>
      <c r="J2" s="83"/>
      <c r="AB2" s="330"/>
      <c r="AC2" s="330"/>
      <c r="AE2" s="328"/>
      <c r="AF2" s="330"/>
      <c r="AG2" s="330"/>
      <c r="AH2" s="330"/>
      <c r="AI2" s="330"/>
      <c r="AJ2" s="330"/>
      <c r="AK2" s="330"/>
      <c r="AL2" s="330"/>
      <c r="AM2" s="330"/>
      <c r="AN2" s="330"/>
      <c r="AO2" s="330"/>
    </row>
    <row r="3" spans="1:41" x14ac:dyDescent="0.3">
      <c r="A3" s="83"/>
      <c r="B3" s="83"/>
      <c r="C3" s="83"/>
      <c r="D3" s="83"/>
      <c r="E3" s="83"/>
      <c r="F3" s="83"/>
      <c r="G3" s="83"/>
      <c r="H3" s="83"/>
      <c r="I3" s="83"/>
      <c r="J3" s="83"/>
      <c r="K3" s="54"/>
      <c r="L3" s="54"/>
      <c r="M3" s="54"/>
      <c r="N3" s="54"/>
      <c r="O3" s="54"/>
      <c r="P3" s="54"/>
      <c r="Q3" s="54"/>
      <c r="S3" s="413" t="s">
        <v>69</v>
      </c>
      <c r="T3" s="414"/>
      <c r="U3" s="415" t="s">
        <v>5</v>
      </c>
      <c r="V3" s="416"/>
      <c r="W3" s="417" t="s">
        <v>59</v>
      </c>
      <c r="X3" s="418"/>
      <c r="Y3" s="419"/>
    </row>
    <row r="4" spans="1:41" x14ac:dyDescent="0.3">
      <c r="A4" s="83"/>
      <c r="B4" s="83"/>
      <c r="C4" s="83"/>
      <c r="D4" s="83"/>
      <c r="E4" s="83"/>
      <c r="F4" s="83"/>
      <c r="G4" s="83"/>
      <c r="H4" s="83"/>
      <c r="I4" s="83"/>
      <c r="J4" s="83"/>
      <c r="K4" s="54"/>
      <c r="L4" s="54"/>
      <c r="M4" s="54"/>
      <c r="N4" s="54"/>
      <c r="O4" s="54"/>
      <c r="P4" s="54"/>
      <c r="Q4" s="54"/>
      <c r="S4" s="423" t="s">
        <v>58</v>
      </c>
      <c r="T4" s="424" t="s">
        <v>1</v>
      </c>
      <c r="U4" s="420" t="s">
        <v>81</v>
      </c>
      <c r="V4" s="421" t="s">
        <v>4</v>
      </c>
      <c r="W4" s="422" t="s">
        <v>16</v>
      </c>
      <c r="X4" s="422" t="s">
        <v>17</v>
      </c>
      <c r="Y4" s="421" t="s">
        <v>18</v>
      </c>
      <c r="AM4" s="331"/>
      <c r="AN4" s="332"/>
    </row>
    <row r="5" spans="1:41" x14ac:dyDescent="0.3">
      <c r="A5" s="83"/>
      <c r="B5" s="83"/>
      <c r="C5" s="83"/>
      <c r="D5" s="83"/>
      <c r="E5" s="83"/>
      <c r="F5" s="83"/>
      <c r="G5" s="83"/>
      <c r="H5" s="83"/>
      <c r="I5" s="83"/>
      <c r="J5" s="83"/>
      <c r="K5" s="54"/>
      <c r="L5" s="54"/>
      <c r="M5" s="54"/>
      <c r="N5" s="54"/>
      <c r="O5" s="54"/>
      <c r="P5" s="54"/>
      <c r="Q5" s="54"/>
      <c r="S5" s="463" t="s">
        <v>103</v>
      </c>
      <c r="T5" s="177" t="s">
        <v>82</v>
      </c>
      <c r="U5" s="320">
        <f>ROUND(Runs!AI41,-1)</f>
        <v>430</v>
      </c>
      <c r="V5" s="430">
        <f>'Natl Spnr'!H7</f>
        <v>24000</v>
      </c>
      <c r="W5" s="320">
        <f>'Natl Spnr'!W7</f>
        <v>2000</v>
      </c>
      <c r="X5" s="249">
        <f>ROUND('Natl Spnr'!F7,-1)</f>
        <v>2700</v>
      </c>
      <c r="Y5" s="321">
        <f>1.5*X5</f>
        <v>4050</v>
      </c>
      <c r="AM5" s="333"/>
    </row>
    <row r="6" spans="1:41" x14ac:dyDescent="0.3">
      <c r="A6" s="83"/>
      <c r="B6" s="83"/>
      <c r="C6" s="83"/>
      <c r="D6" s="83"/>
      <c r="E6" s="83"/>
      <c r="F6" s="83"/>
      <c r="G6" s="83"/>
      <c r="H6" s="83"/>
      <c r="I6" s="83"/>
      <c r="J6" s="83"/>
      <c r="K6" s="54"/>
      <c r="L6" s="54"/>
      <c r="M6" s="54"/>
      <c r="N6" s="54"/>
      <c r="O6" s="54"/>
      <c r="P6" s="54"/>
      <c r="Q6" s="54"/>
      <c r="S6" s="464"/>
      <c r="T6" s="175" t="s">
        <v>83</v>
      </c>
      <c r="U6" s="121">
        <f>ROUND(Runs!AJ41,-1)</f>
        <v>680</v>
      </c>
      <c r="V6" s="431">
        <f>'Natl Spnr'!H9</f>
        <v>20650</v>
      </c>
      <c r="W6" s="322">
        <f>'Natl Spnr'!W9</f>
        <v>2000</v>
      </c>
      <c r="X6" s="121">
        <f>ROUND('Natl Spnr'!F9,-1)</f>
        <v>2710</v>
      </c>
      <c r="Y6" s="200">
        <f t="shared" ref="Y6:Y7" si="0">1.5*X6</f>
        <v>4065</v>
      </c>
      <c r="AM6" s="333"/>
    </row>
    <row r="7" spans="1:41" ht="14.4" customHeight="1" x14ac:dyDescent="0.3">
      <c r="A7" s="83"/>
      <c r="B7" s="83"/>
      <c r="C7" s="83"/>
      <c r="D7" s="83"/>
      <c r="E7" s="83"/>
      <c r="F7" s="83"/>
      <c r="G7" s="83"/>
      <c r="H7" s="83"/>
      <c r="I7" s="83"/>
      <c r="J7" s="83"/>
      <c r="K7" s="54"/>
      <c r="L7" s="54"/>
      <c r="M7" s="54"/>
      <c r="N7" s="54"/>
      <c r="O7" s="54"/>
      <c r="P7" s="54"/>
      <c r="Q7" s="54"/>
      <c r="S7" s="465"/>
      <c r="T7" s="176" t="s">
        <v>84</v>
      </c>
      <c r="U7" s="322">
        <f>ROUND(Runs!AH41,-1)</f>
        <v>220</v>
      </c>
      <c r="V7" s="431">
        <f>'Natl Spnr'!H6</f>
        <v>3400</v>
      </c>
      <c r="W7" s="322">
        <f>'Natl Spnr'!W6</f>
        <v>500</v>
      </c>
      <c r="X7" s="121">
        <v>680</v>
      </c>
      <c r="Y7" s="200">
        <f t="shared" si="0"/>
        <v>1020</v>
      </c>
      <c r="AM7" s="333"/>
    </row>
    <row r="8" spans="1:41" x14ac:dyDescent="0.3">
      <c r="A8" s="83"/>
      <c r="B8" s="83"/>
      <c r="C8" s="83"/>
      <c r="D8" s="83"/>
      <c r="E8" s="83"/>
      <c r="F8" s="83"/>
      <c r="G8" s="83"/>
      <c r="H8" s="83"/>
      <c r="I8" s="83"/>
      <c r="J8" s="83"/>
      <c r="K8" s="54"/>
      <c r="L8" s="54"/>
      <c r="M8" s="54"/>
      <c r="N8" s="54"/>
      <c r="O8" s="54"/>
      <c r="P8" s="54"/>
      <c r="Q8" s="54"/>
      <c r="S8" s="465"/>
      <c r="T8" t="s">
        <v>328</v>
      </c>
      <c r="U8" s="322">
        <v>100</v>
      </c>
      <c r="V8" s="431">
        <f>ROUND('Natl Spnr'!H8,-2)</f>
        <v>14100</v>
      </c>
      <c r="W8" s="322">
        <v>500</v>
      </c>
      <c r="X8" s="121">
        <v>750</v>
      </c>
      <c r="Y8" s="200">
        <f>W8*3</f>
        <v>1500</v>
      </c>
      <c r="AM8" s="333"/>
    </row>
    <row r="9" spans="1:41" x14ac:dyDescent="0.3">
      <c r="A9" s="83"/>
      <c r="B9" s="83"/>
      <c r="C9" s="83"/>
      <c r="D9" s="83"/>
      <c r="E9" s="83"/>
      <c r="F9" s="83"/>
      <c r="G9" s="83"/>
      <c r="H9" s="83"/>
      <c r="I9" s="83"/>
      <c r="J9" s="83"/>
      <c r="K9" s="83"/>
      <c r="L9" s="83"/>
      <c r="M9" s="54"/>
      <c r="N9" s="54"/>
      <c r="O9" s="54"/>
      <c r="P9" s="54"/>
      <c r="Q9" s="54"/>
      <c r="S9" s="175" t="s">
        <v>248</v>
      </c>
      <c r="T9" s="75"/>
      <c r="U9" s="320">
        <f>SUM(AJ9:AJ15)</f>
        <v>0</v>
      </c>
      <c r="V9" s="321">
        <f>ROUND(SUM(AK9:AK15),-2)</f>
        <v>197300</v>
      </c>
      <c r="W9" s="320">
        <f t="shared" ref="W9:Y9" si="1">SUM(AL9:AL15)</f>
        <v>6500</v>
      </c>
      <c r="X9" s="249">
        <f t="shared" si="1"/>
        <v>13000</v>
      </c>
      <c r="Y9" s="321">
        <f t="shared" si="1"/>
        <v>19500</v>
      </c>
      <c r="AI9" s="334" t="s">
        <v>89</v>
      </c>
      <c r="AJ9" s="335">
        <f>'Natl Spnr'!D17</f>
        <v>0</v>
      </c>
      <c r="AK9" s="336">
        <f>'Natl Spnr'!H18</f>
        <v>40135.13513513514</v>
      </c>
      <c r="AL9" s="337">
        <v>1000</v>
      </c>
      <c r="AM9" s="337">
        <v>2000</v>
      </c>
      <c r="AN9" s="336">
        <f t="shared" ref="AN9:AN10" si="2">3*AL9</f>
        <v>3000</v>
      </c>
    </row>
    <row r="10" spans="1:41" x14ac:dyDescent="0.3">
      <c r="A10" s="83"/>
      <c r="B10" s="83"/>
      <c r="C10" s="83"/>
      <c r="D10" s="83"/>
      <c r="E10" s="83"/>
      <c r="F10" s="83"/>
      <c r="G10" s="83"/>
      <c r="H10" s="83"/>
      <c r="I10" s="83"/>
      <c r="J10" s="83"/>
      <c r="K10" s="83"/>
      <c r="L10" s="83"/>
      <c r="M10" s="54"/>
      <c r="N10" s="54"/>
      <c r="O10" s="54"/>
      <c r="P10" s="54"/>
      <c r="Q10" s="54"/>
      <c r="S10" s="425" t="s">
        <v>14</v>
      </c>
      <c r="T10" s="426"/>
      <c r="U10" s="432">
        <f>SUM(U5:U9)</f>
        <v>1430</v>
      </c>
      <c r="V10" s="433">
        <f>SUM(V5:V9)</f>
        <v>259450</v>
      </c>
      <c r="W10" s="432">
        <f>SUM(W5:W9)</f>
        <v>11500</v>
      </c>
      <c r="X10" s="434">
        <f>SUM(X5:X9)</f>
        <v>19840</v>
      </c>
      <c r="Y10" s="433">
        <f>SUM(Y5:Y9)</f>
        <v>30135</v>
      </c>
      <c r="AI10" s="334" t="s">
        <v>90</v>
      </c>
      <c r="AJ10" s="338">
        <f>'Natl Spnr'!D18</f>
        <v>0</v>
      </c>
      <c r="AK10" s="339">
        <f>'Natl Spnr'!H17</f>
        <v>22297.2972972973</v>
      </c>
      <c r="AL10" s="340">
        <v>1000</v>
      </c>
      <c r="AM10" s="340">
        <v>2000</v>
      </c>
      <c r="AN10" s="336">
        <f t="shared" si="2"/>
        <v>3000</v>
      </c>
    </row>
    <row r="11" spans="1:41" ht="14.4" customHeight="1" x14ac:dyDescent="0.3">
      <c r="A11" s="83"/>
      <c r="B11" s="83"/>
      <c r="C11" s="83"/>
      <c r="D11" s="83"/>
      <c r="E11" s="83"/>
      <c r="F11" s="83"/>
      <c r="G11" s="83"/>
      <c r="H11" s="83"/>
      <c r="I11" s="83"/>
      <c r="J11" s="83"/>
      <c r="K11" s="83"/>
      <c r="L11" s="83"/>
      <c r="M11" s="54"/>
      <c r="N11" s="54"/>
      <c r="O11" s="54"/>
      <c r="P11" s="54"/>
      <c r="Q11" s="54"/>
      <c r="S11" s="326"/>
      <c r="T11" s="75"/>
      <c r="U11" s="75"/>
      <c r="V11" s="75"/>
      <c r="W11" s="75"/>
      <c r="X11" s="75"/>
      <c r="Y11" s="75"/>
      <c r="AI11" s="341" t="s">
        <v>199</v>
      </c>
      <c r="AJ11" s="342">
        <v>0</v>
      </c>
      <c r="AK11" s="343">
        <f>'Natl Spnr'!H11</f>
        <v>0</v>
      </c>
      <c r="AL11" s="342">
        <v>0</v>
      </c>
      <c r="AM11" s="337">
        <f t="shared" ref="AM11" si="3">AL11*2</f>
        <v>0</v>
      </c>
      <c r="AN11" s="343">
        <f t="shared" ref="AN11" si="4">AL11*3</f>
        <v>0</v>
      </c>
    </row>
    <row r="12" spans="1:41" x14ac:dyDescent="0.3">
      <c r="A12" s="83"/>
      <c r="B12" s="83"/>
      <c r="C12" s="83"/>
      <c r="D12" s="83"/>
      <c r="E12" s="83"/>
      <c r="F12" s="83"/>
      <c r="G12" s="83"/>
      <c r="H12" s="83"/>
      <c r="I12" s="83"/>
      <c r="J12" s="83"/>
      <c r="K12" s="83"/>
      <c r="L12" s="83"/>
      <c r="M12" s="54"/>
      <c r="N12" s="54"/>
      <c r="O12" s="54"/>
      <c r="P12" s="54"/>
      <c r="Q12" s="54"/>
      <c r="S12" s="208" t="s">
        <v>244</v>
      </c>
      <c r="T12" s="209"/>
      <c r="U12" s="204" t="s">
        <v>245</v>
      </c>
      <c r="V12" s="210"/>
      <c r="W12" s="210" t="s">
        <v>45</v>
      </c>
      <c r="X12" s="483" t="s">
        <v>338</v>
      </c>
      <c r="Y12" s="484"/>
      <c r="AI12" s="344" t="s">
        <v>86</v>
      </c>
      <c r="AJ12" s="345">
        <f>'Natl Spnr'!D14</f>
        <v>0</v>
      </c>
      <c r="AK12" s="336">
        <f>'Natl Spnr'!H14</f>
        <v>12040.540540540542</v>
      </c>
      <c r="AL12" s="335">
        <v>1000</v>
      </c>
      <c r="AM12" s="345">
        <v>2000</v>
      </c>
      <c r="AN12" s="336">
        <f>3*AL12</f>
        <v>3000</v>
      </c>
    </row>
    <row r="13" spans="1:41" x14ac:dyDescent="0.3">
      <c r="A13" s="83"/>
      <c r="B13" s="83"/>
      <c r="C13" s="83"/>
      <c r="D13" s="83"/>
      <c r="E13" s="83"/>
      <c r="F13" s="83"/>
      <c r="G13" s="83"/>
      <c r="H13" s="83"/>
      <c r="I13" s="83"/>
      <c r="J13" s="83"/>
      <c r="K13" s="83"/>
      <c r="L13" s="83"/>
      <c r="M13" s="54"/>
      <c r="N13" s="54"/>
      <c r="O13" s="54"/>
      <c r="P13" s="54"/>
      <c r="Q13" s="54"/>
      <c r="S13" s="69" t="s">
        <v>67</v>
      </c>
      <c r="T13" s="70"/>
      <c r="U13" s="6" t="s">
        <v>68</v>
      </c>
      <c r="V13" s="6" t="s">
        <v>91</v>
      </c>
      <c r="W13" s="6" t="s">
        <v>337</v>
      </c>
      <c r="X13" s="485" t="s">
        <v>339</v>
      </c>
      <c r="Y13" s="486"/>
      <c r="AI13" s="334" t="s">
        <v>87</v>
      </c>
      <c r="AJ13" s="335">
        <f>'Natl Spnr'!D12</f>
        <v>0</v>
      </c>
      <c r="AK13" s="336">
        <f>'Natl Spnr'!H12</f>
        <v>8027.0270270270266</v>
      </c>
      <c r="AL13" s="335">
        <v>500</v>
      </c>
      <c r="AM13" s="345">
        <f>(AN13-AL13)/2+AL13</f>
        <v>1000</v>
      </c>
      <c r="AN13" s="336">
        <f>AL13*3</f>
        <v>1500</v>
      </c>
    </row>
    <row r="14" spans="1:41" x14ac:dyDescent="0.3">
      <c r="A14" s="83"/>
      <c r="B14" s="83"/>
      <c r="C14" s="83"/>
      <c r="D14" s="83"/>
      <c r="E14" s="83"/>
      <c r="F14" s="83"/>
      <c r="G14" s="83"/>
      <c r="H14" s="83"/>
      <c r="I14" s="83"/>
      <c r="J14" s="83"/>
      <c r="K14" s="83"/>
      <c r="L14" s="83"/>
      <c r="M14" s="54"/>
      <c r="N14" s="54"/>
      <c r="O14" s="54"/>
      <c r="P14" s="54"/>
      <c r="Q14" s="54"/>
      <c r="S14" s="102" t="s">
        <v>82</v>
      </c>
      <c r="T14" s="219"/>
      <c r="U14" s="430">
        <v>340</v>
      </c>
      <c r="V14" s="249">
        <v>624000</v>
      </c>
      <c r="W14" s="398"/>
      <c r="X14" s="487">
        <f t="shared" ref="X14:X17" si="5">V14</f>
        <v>624000</v>
      </c>
      <c r="Y14" s="488"/>
      <c r="AI14" s="334" t="s">
        <v>88</v>
      </c>
      <c r="AJ14" s="335">
        <f>'Natl Spnr'!D13</f>
        <v>0</v>
      </c>
      <c r="AK14" s="336">
        <f>'Natl Spnr'!H13</f>
        <v>49462.83783783784</v>
      </c>
      <c r="AL14" s="335">
        <v>1000</v>
      </c>
      <c r="AM14" s="345">
        <f t="shared" ref="AM14:AM15" si="6">(AN14-AL14)/2+AL14</f>
        <v>2000</v>
      </c>
      <c r="AN14" s="336">
        <f t="shared" ref="AN14:AN15" si="7">AL14*3</f>
        <v>3000</v>
      </c>
    </row>
    <row r="15" spans="1:41" x14ac:dyDescent="0.3">
      <c r="A15" s="83"/>
      <c r="B15" s="83"/>
      <c r="C15" s="83"/>
      <c r="D15" s="83"/>
      <c r="E15" s="83"/>
      <c r="F15" s="83"/>
      <c r="G15" s="83"/>
      <c r="H15" s="83"/>
      <c r="I15" s="83"/>
      <c r="J15" s="83"/>
      <c r="K15" s="83"/>
      <c r="L15" s="83"/>
      <c r="M15" s="54"/>
      <c r="N15" s="54"/>
      <c r="O15" s="54"/>
      <c r="P15" s="54"/>
      <c r="Q15" s="54"/>
      <c r="S15" s="86" t="s">
        <v>85</v>
      </c>
      <c r="T15" s="75"/>
      <c r="U15" s="431">
        <v>140</v>
      </c>
      <c r="V15" s="121">
        <v>200000</v>
      </c>
      <c r="W15" s="8"/>
      <c r="X15" s="453">
        <f t="shared" si="5"/>
        <v>200000</v>
      </c>
      <c r="Y15" s="489"/>
      <c r="AI15" s="346" t="s">
        <v>332</v>
      </c>
      <c r="AJ15" s="338">
        <v>0</v>
      </c>
      <c r="AK15" s="339">
        <f>'Natl Spnr'!H16</f>
        <v>65293.91891891892</v>
      </c>
      <c r="AL15" s="338">
        <v>2000</v>
      </c>
      <c r="AM15" s="345">
        <f t="shared" si="6"/>
        <v>4000</v>
      </c>
      <c r="AN15" s="336">
        <f t="shared" si="7"/>
        <v>6000</v>
      </c>
    </row>
    <row r="16" spans="1:41" x14ac:dyDescent="0.3">
      <c r="A16" s="83"/>
      <c r="B16" s="83"/>
      <c r="C16" s="83"/>
      <c r="D16" s="83"/>
      <c r="E16" s="83"/>
      <c r="F16" s="83"/>
      <c r="G16" s="83"/>
      <c r="H16" s="83"/>
      <c r="I16" s="83"/>
      <c r="J16" s="83"/>
      <c r="K16" s="83"/>
      <c r="L16" s="83"/>
      <c r="M16" s="54"/>
      <c r="N16" s="54"/>
      <c r="O16" s="54"/>
      <c r="P16" s="54"/>
      <c r="Q16" s="54"/>
      <c r="S16" s="86" t="s">
        <v>83</v>
      </c>
      <c r="T16" s="75"/>
      <c r="U16" s="431">
        <v>1087</v>
      </c>
      <c r="V16" s="121">
        <v>1570000</v>
      </c>
      <c r="W16" s="8"/>
      <c r="X16" s="453">
        <f t="shared" si="5"/>
        <v>1570000</v>
      </c>
      <c r="Y16" s="489"/>
      <c r="AK16" s="347">
        <f>SUM(AK9:AK15)</f>
        <v>197256.7567567568</v>
      </c>
      <c r="AL16" s="347">
        <f t="shared" ref="AL16:AN16" si="8">SUM(AL9:AL15)</f>
        <v>6500</v>
      </c>
      <c r="AM16" s="347">
        <f t="shared" si="8"/>
        <v>13000</v>
      </c>
      <c r="AN16" s="347">
        <f t="shared" si="8"/>
        <v>19500</v>
      </c>
    </row>
    <row r="17" spans="1:39" x14ac:dyDescent="0.3">
      <c r="A17" s="83"/>
      <c r="B17" s="83"/>
      <c r="C17" s="83"/>
      <c r="D17" s="83"/>
      <c r="E17" s="83"/>
      <c r="F17" s="83"/>
      <c r="G17" s="83"/>
      <c r="H17" s="83"/>
      <c r="I17" s="83"/>
      <c r="J17" s="83"/>
      <c r="K17" s="83"/>
      <c r="L17" s="83"/>
      <c r="M17" s="54"/>
      <c r="N17" s="54"/>
      <c r="O17" s="54"/>
      <c r="P17" s="54"/>
      <c r="Q17" s="54"/>
      <c r="S17" s="86" t="s">
        <v>120</v>
      </c>
      <c r="T17" s="75"/>
      <c r="U17" s="431">
        <v>486</v>
      </c>
      <c r="V17" s="121">
        <v>700000</v>
      </c>
      <c r="W17" s="8"/>
      <c r="X17" s="453">
        <f t="shared" si="5"/>
        <v>700000</v>
      </c>
      <c r="Y17" s="489"/>
      <c r="AM17" s="333"/>
    </row>
    <row r="18" spans="1:39" x14ac:dyDescent="0.3">
      <c r="A18" s="83"/>
      <c r="B18" s="83"/>
      <c r="C18" s="83"/>
      <c r="D18" s="83"/>
      <c r="E18" s="83"/>
      <c r="F18" s="83"/>
      <c r="G18" s="83"/>
      <c r="H18" s="83"/>
      <c r="I18" s="83"/>
      <c r="J18" s="83"/>
      <c r="K18" s="83"/>
      <c r="L18" s="83"/>
      <c r="M18" s="54"/>
      <c r="N18" s="54"/>
      <c r="O18" s="54"/>
      <c r="P18" s="54"/>
      <c r="Q18" s="54"/>
      <c r="S18" s="94" t="s">
        <v>450</v>
      </c>
      <c r="T18" s="220"/>
      <c r="U18" s="435">
        <v>0</v>
      </c>
      <c r="V18" s="149">
        <v>0</v>
      </c>
      <c r="W18" s="223"/>
      <c r="X18" s="490" t="s">
        <v>447</v>
      </c>
      <c r="Y18" s="491"/>
      <c r="AK18" s="329" t="s">
        <v>323</v>
      </c>
      <c r="AL18" s="332">
        <v>0.45</v>
      </c>
      <c r="AM18" s="333"/>
    </row>
    <row r="19" spans="1:39" x14ac:dyDescent="0.3">
      <c r="A19" s="83"/>
      <c r="B19" s="83"/>
      <c r="C19" s="83"/>
      <c r="D19" s="83"/>
      <c r="E19" s="83"/>
      <c r="F19" s="83"/>
      <c r="G19" s="83"/>
      <c r="H19" s="83"/>
      <c r="I19" s="83"/>
      <c r="J19" s="83"/>
      <c r="K19" s="83"/>
      <c r="L19" s="83"/>
      <c r="M19" s="54"/>
      <c r="N19" s="54"/>
      <c r="O19" s="54"/>
      <c r="P19" s="54"/>
      <c r="Q19" s="54"/>
      <c r="S19" s="69" t="s">
        <v>113</v>
      </c>
      <c r="T19" s="70"/>
      <c r="U19" s="436">
        <f>SUM(U14:U18)</f>
        <v>2053</v>
      </c>
      <c r="V19" s="436">
        <f>SUM(V14:V18)</f>
        <v>3094000</v>
      </c>
      <c r="W19" s="405"/>
      <c r="X19" s="492" t="s">
        <v>341</v>
      </c>
      <c r="Y19" s="493"/>
      <c r="AB19" s="347">
        <f>SUM(X14:Y17)+700000</f>
        <v>3794000</v>
      </c>
      <c r="AC19" s="347">
        <f>SUM(X14:Y17)+13500000</f>
        <v>16594000</v>
      </c>
      <c r="AD19" s="11">
        <f>AVERAGE(AB19:AC19)</f>
        <v>10194000</v>
      </c>
    </row>
    <row r="20" spans="1:39" x14ac:dyDescent="0.3">
      <c r="A20" s="83"/>
      <c r="B20" s="83"/>
      <c r="C20" s="83" t="s">
        <v>3</v>
      </c>
      <c r="D20" s="313">
        <f>U10</f>
        <v>1430</v>
      </c>
      <c r="E20" s="83"/>
      <c r="F20" s="83"/>
      <c r="G20" s="83"/>
      <c r="H20" s="83"/>
      <c r="I20" s="83"/>
      <c r="J20" s="83"/>
      <c r="K20" s="83"/>
      <c r="L20" s="83"/>
      <c r="M20" s="54"/>
      <c r="N20" s="54"/>
      <c r="O20" s="54"/>
      <c r="P20" s="54"/>
      <c r="Q20" s="54"/>
      <c r="S20" s="54"/>
      <c r="T20" s="54"/>
      <c r="U20" s="54"/>
      <c r="V20" s="54"/>
      <c r="W20" s="54"/>
      <c r="X20" s="54"/>
      <c r="Y20" s="54"/>
    </row>
    <row r="21" spans="1:39" x14ac:dyDescent="0.3">
      <c r="A21" s="83"/>
      <c r="B21" s="83"/>
      <c r="C21" s="83" t="s">
        <v>333</v>
      </c>
      <c r="D21" s="313">
        <f>W10</f>
        <v>11500</v>
      </c>
      <c r="E21" s="83"/>
      <c r="F21" s="83"/>
      <c r="G21" s="83"/>
      <c r="H21" s="83"/>
      <c r="I21" s="83"/>
      <c r="J21" s="83"/>
      <c r="K21" s="83"/>
      <c r="L21" s="83"/>
      <c r="M21" s="54"/>
      <c r="N21" s="54"/>
      <c r="O21" s="54"/>
      <c r="P21" s="54"/>
      <c r="Q21" s="54"/>
      <c r="S21" s="95" t="s">
        <v>80</v>
      </c>
      <c r="T21" s="96"/>
      <c r="U21" s="373"/>
      <c r="V21" s="97" t="s">
        <v>425</v>
      </c>
      <c r="W21" s="97"/>
      <c r="X21" s="98"/>
      <c r="Y21" s="97" t="s">
        <v>72</v>
      </c>
      <c r="Z21" s="211"/>
      <c r="AA21" s="330"/>
    </row>
    <row r="22" spans="1:39" x14ac:dyDescent="0.3">
      <c r="A22" s="83"/>
      <c r="B22" s="83"/>
      <c r="C22" s="83" t="s">
        <v>334</v>
      </c>
      <c r="D22" s="313">
        <f>X10</f>
        <v>19840</v>
      </c>
      <c r="E22" s="83"/>
      <c r="F22" s="83"/>
      <c r="G22" s="83"/>
      <c r="H22" s="83"/>
      <c r="I22" s="83"/>
      <c r="J22" s="83"/>
      <c r="K22" s="83"/>
      <c r="L22" s="83"/>
      <c r="M22" s="54"/>
      <c r="N22" s="54"/>
      <c r="O22" s="54"/>
      <c r="P22" s="54"/>
      <c r="Q22" s="54"/>
      <c r="S22" s="99"/>
      <c r="T22" s="212" t="s">
        <v>53</v>
      </c>
      <c r="U22" s="374"/>
      <c r="V22" s="213" t="s">
        <v>247</v>
      </c>
      <c r="W22" s="213" t="s">
        <v>340</v>
      </c>
      <c r="X22" s="213" t="s">
        <v>9</v>
      </c>
      <c r="Y22" s="213" t="s">
        <v>138</v>
      </c>
      <c r="Z22" s="214" t="s">
        <v>9</v>
      </c>
      <c r="AA22" s="412"/>
    </row>
    <row r="23" spans="1:39" x14ac:dyDescent="0.3">
      <c r="A23" s="83"/>
      <c r="B23" s="83"/>
      <c r="C23" s="83" t="s">
        <v>335</v>
      </c>
      <c r="D23" s="313">
        <f>Y10</f>
        <v>30135</v>
      </c>
      <c r="E23" s="83"/>
      <c r="F23" s="83"/>
      <c r="G23" s="83"/>
      <c r="H23" s="83"/>
      <c r="I23" s="83"/>
      <c r="J23" s="83"/>
      <c r="K23" s="83"/>
      <c r="L23" s="83"/>
      <c r="M23" s="54"/>
      <c r="N23" s="54"/>
      <c r="O23" s="54"/>
      <c r="P23" s="54"/>
      <c r="Q23" s="54"/>
      <c r="S23" s="466" t="s">
        <v>107</v>
      </c>
      <c r="T23" s="102" t="s">
        <v>112</v>
      </c>
      <c r="U23" s="394" t="s">
        <v>43</v>
      </c>
      <c r="V23" s="375">
        <v>0</v>
      </c>
      <c r="W23" s="394" t="s">
        <v>43</v>
      </c>
      <c r="X23" s="394" t="s">
        <v>43</v>
      </c>
      <c r="Y23" s="394" t="s">
        <v>43</v>
      </c>
      <c r="Z23" s="395" t="s">
        <v>43</v>
      </c>
      <c r="AA23" s="438"/>
    </row>
    <row r="24" spans="1:39" x14ac:dyDescent="0.3">
      <c r="A24" s="83"/>
      <c r="B24" s="83"/>
      <c r="C24" s="83" t="s">
        <v>4</v>
      </c>
      <c r="D24" s="313">
        <f>V10</f>
        <v>259450</v>
      </c>
      <c r="E24" s="83"/>
      <c r="F24" s="83"/>
      <c r="G24" s="83"/>
      <c r="H24" s="83"/>
      <c r="I24" s="83"/>
      <c r="J24" s="83"/>
      <c r="K24" s="83"/>
      <c r="L24" s="83"/>
      <c r="M24" s="54"/>
      <c r="N24" s="54"/>
      <c r="O24" s="54"/>
      <c r="P24" s="54"/>
      <c r="Q24" s="54"/>
      <c r="S24" s="466"/>
      <c r="T24" s="86" t="s">
        <v>423</v>
      </c>
      <c r="U24" s="8" t="s">
        <v>435</v>
      </c>
      <c r="V24" s="35">
        <f>Runs!F45</f>
        <v>1.6616320402491502E-2</v>
      </c>
      <c r="W24" s="455" t="s">
        <v>121</v>
      </c>
      <c r="X24" s="455" t="s">
        <v>438</v>
      </c>
      <c r="Y24" s="121">
        <f>ROUND(Runs!E45,-1)</f>
        <v>60</v>
      </c>
      <c r="Z24" s="479">
        <f>Y55</f>
        <v>46500</v>
      </c>
      <c r="AA24" s="439"/>
    </row>
    <row r="25" spans="1:39" x14ac:dyDescent="0.3">
      <c r="A25" s="83"/>
      <c r="B25" s="83"/>
      <c r="C25" s="83"/>
      <c r="D25" s="83"/>
      <c r="E25" s="83"/>
      <c r="F25" s="83"/>
      <c r="G25" s="83"/>
      <c r="H25" s="83"/>
      <c r="I25" s="83"/>
      <c r="J25" s="83"/>
      <c r="K25" s="83"/>
      <c r="L25" s="83"/>
      <c r="M25" s="54"/>
      <c r="N25" s="54"/>
      <c r="O25" s="54"/>
      <c r="P25" s="54"/>
      <c r="Q25" s="54"/>
      <c r="S25" s="466"/>
      <c r="T25" s="86" t="s">
        <v>424</v>
      </c>
      <c r="U25" s="8" t="s">
        <v>435</v>
      </c>
      <c r="V25" s="35">
        <f>Runs!H45</f>
        <v>0.10084843002199247</v>
      </c>
      <c r="W25" s="455"/>
      <c r="X25" s="455"/>
      <c r="Y25" s="121">
        <f>ROUND(Runs!G45,-1)</f>
        <v>390</v>
      </c>
      <c r="Z25" s="480"/>
      <c r="AA25" s="440"/>
    </row>
    <row r="26" spans="1:39" x14ac:dyDescent="0.3">
      <c r="A26" s="83"/>
      <c r="B26" s="83"/>
      <c r="C26" s="83"/>
      <c r="D26" s="83"/>
      <c r="E26" s="83"/>
      <c r="F26" s="83"/>
      <c r="G26" s="83"/>
      <c r="H26" s="83"/>
      <c r="I26" s="83"/>
      <c r="J26" s="83"/>
      <c r="K26" s="83"/>
      <c r="L26" s="83"/>
      <c r="M26" s="54"/>
      <c r="N26" s="54"/>
      <c r="O26" s="54"/>
      <c r="P26" s="54"/>
      <c r="Q26" s="54"/>
      <c r="S26" s="466"/>
      <c r="T26" s="86" t="s">
        <v>76</v>
      </c>
      <c r="U26" s="8" t="s">
        <v>436</v>
      </c>
      <c r="V26" s="35">
        <v>0.04</v>
      </c>
      <c r="W26" s="396" t="s">
        <v>207</v>
      </c>
      <c r="X26" s="455"/>
      <c r="Y26" s="8">
        <f>ROUND(V26*U47,-1)</f>
        <v>120</v>
      </c>
      <c r="Z26" s="480"/>
      <c r="AA26" s="440"/>
    </row>
    <row r="27" spans="1:39" x14ac:dyDescent="0.3">
      <c r="A27" s="83"/>
      <c r="B27" s="83"/>
      <c r="C27" s="83"/>
      <c r="D27" s="83"/>
      <c r="E27" s="83"/>
      <c r="F27" s="83"/>
      <c r="G27" s="83"/>
      <c r="H27" s="83"/>
      <c r="I27" s="83"/>
      <c r="J27" s="83"/>
      <c r="K27" s="83"/>
      <c r="L27" s="83"/>
      <c r="M27" s="54"/>
      <c r="N27" s="54"/>
      <c r="O27" s="54"/>
      <c r="P27" s="54"/>
      <c r="Q27" s="54"/>
      <c r="S27" s="466"/>
      <c r="T27" s="94" t="s">
        <v>248</v>
      </c>
      <c r="U27" s="223"/>
      <c r="V27" s="357">
        <v>0</v>
      </c>
      <c r="W27" s="397" t="s">
        <v>43</v>
      </c>
      <c r="X27" s="482"/>
      <c r="Y27" s="397" t="s">
        <v>43</v>
      </c>
      <c r="Z27" s="481"/>
      <c r="AA27" s="440"/>
    </row>
    <row r="28" spans="1:39" x14ac:dyDescent="0.3">
      <c r="A28" s="83"/>
      <c r="B28" s="83"/>
      <c r="C28" s="83"/>
      <c r="D28" s="83"/>
      <c r="E28" s="83"/>
      <c r="F28" s="83"/>
      <c r="G28" s="83"/>
      <c r="H28" s="83"/>
      <c r="I28" s="83"/>
      <c r="J28" s="83"/>
      <c r="K28" s="83"/>
      <c r="L28" s="83"/>
      <c r="M28" s="54"/>
      <c r="N28" s="54"/>
      <c r="O28" s="54"/>
      <c r="P28" s="54"/>
      <c r="Q28" s="54"/>
      <c r="S28" s="467"/>
      <c r="T28" s="377" t="s">
        <v>42</v>
      </c>
      <c r="U28" s="376" t="s">
        <v>435</v>
      </c>
      <c r="V28" s="378">
        <f>Conv!I17</f>
        <v>0.14826359546779463</v>
      </c>
      <c r="W28" s="379" t="s">
        <v>253</v>
      </c>
      <c r="X28" s="379" t="str">
        <f>X24</f>
        <v>20-60%</v>
      </c>
      <c r="Y28" s="380">
        <f>SUM(Y23:Y27)</f>
        <v>570</v>
      </c>
      <c r="Z28" s="393">
        <f>Z24</f>
        <v>46500</v>
      </c>
      <c r="AA28" s="441"/>
    </row>
    <row r="29" spans="1:39" x14ac:dyDescent="0.3">
      <c r="A29" s="83"/>
      <c r="B29" s="83"/>
      <c r="C29" s="83"/>
      <c r="D29" s="83"/>
      <c r="E29" s="83"/>
      <c r="F29" s="83"/>
      <c r="G29" s="83"/>
      <c r="H29" s="83"/>
      <c r="I29" s="83"/>
      <c r="J29" s="83"/>
      <c r="K29" s="83"/>
      <c r="L29" s="83"/>
      <c r="M29" s="54"/>
      <c r="N29" s="54"/>
      <c r="O29" s="54"/>
      <c r="P29" s="54"/>
      <c r="Q29" s="54"/>
      <c r="S29" s="463" t="s">
        <v>51</v>
      </c>
      <c r="T29" s="102" t="s">
        <v>112</v>
      </c>
      <c r="U29" s="394" t="s">
        <v>43</v>
      </c>
      <c r="V29" s="398">
        <v>0</v>
      </c>
      <c r="W29" s="394" t="s">
        <v>43</v>
      </c>
      <c r="X29" s="394" t="s">
        <v>43</v>
      </c>
      <c r="Y29" s="394" t="s">
        <v>43</v>
      </c>
      <c r="Z29" s="395" t="s">
        <v>43</v>
      </c>
      <c r="AA29" s="438"/>
    </row>
    <row r="30" spans="1:39" x14ac:dyDescent="0.3">
      <c r="A30" s="83"/>
      <c r="B30" s="83"/>
      <c r="C30" s="83"/>
      <c r="D30" s="83"/>
      <c r="E30" s="83"/>
      <c r="F30" s="83"/>
      <c r="G30" s="83"/>
      <c r="H30" s="83"/>
      <c r="I30" s="83"/>
      <c r="J30" s="83"/>
      <c r="K30" s="83"/>
      <c r="L30" s="83"/>
      <c r="M30" s="54"/>
      <c r="N30" s="54"/>
      <c r="O30" s="54"/>
      <c r="P30" s="54"/>
      <c r="Q30" s="54"/>
      <c r="S30" s="468"/>
      <c r="T30" s="86" t="s">
        <v>423</v>
      </c>
      <c r="U30" s="8" t="s">
        <v>435</v>
      </c>
      <c r="V30" s="399">
        <v>0.121</v>
      </c>
      <c r="W30" s="23" t="s">
        <v>43</v>
      </c>
      <c r="X30" s="476" t="s">
        <v>426</v>
      </c>
      <c r="Y30" s="121">
        <f>Conv!M35</f>
        <v>2350.0014999999985</v>
      </c>
      <c r="Z30" s="479">
        <f>Y56</f>
        <v>72900</v>
      </c>
      <c r="AA30" s="439"/>
    </row>
    <row r="31" spans="1:39" x14ac:dyDescent="0.3">
      <c r="A31" s="83"/>
      <c r="B31" s="83"/>
      <c r="C31" s="83"/>
      <c r="D31" s="83"/>
      <c r="E31" s="83"/>
      <c r="F31" s="83"/>
      <c r="G31" s="83"/>
      <c r="H31" s="83"/>
      <c r="I31" s="83"/>
      <c r="J31" s="83"/>
      <c r="K31" s="83"/>
      <c r="L31" s="83"/>
      <c r="M31" s="54"/>
      <c r="N31" s="54"/>
      <c r="O31" s="54"/>
      <c r="P31" s="54"/>
      <c r="Q31" s="54"/>
      <c r="S31" s="468"/>
      <c r="T31" s="86" t="s">
        <v>424</v>
      </c>
      <c r="U31" s="8" t="s">
        <v>435</v>
      </c>
      <c r="V31" s="35">
        <f>V25</f>
        <v>0.10084843002199247</v>
      </c>
      <c r="W31" s="23" t="s">
        <v>43</v>
      </c>
      <c r="X31" s="477"/>
      <c r="Y31" s="121">
        <f>ROUND(Conv!M32,-1)</f>
        <v>1750</v>
      </c>
      <c r="Z31" s="480"/>
      <c r="AA31" s="440"/>
    </row>
    <row r="32" spans="1:39" x14ac:dyDescent="0.3">
      <c r="A32" s="83"/>
      <c r="B32" s="83"/>
      <c r="C32" s="83"/>
      <c r="D32" s="83"/>
      <c r="E32" s="83"/>
      <c r="F32" s="83"/>
      <c r="G32" s="83"/>
      <c r="H32" s="83"/>
      <c r="I32" s="83"/>
      <c r="J32" s="83"/>
      <c r="K32" s="83"/>
      <c r="L32" s="83"/>
      <c r="M32" s="54"/>
      <c r="N32" s="54"/>
      <c r="O32" s="54"/>
      <c r="P32" s="54"/>
      <c r="Q32" s="54"/>
      <c r="S32" s="468"/>
      <c r="T32" s="86" t="s">
        <v>76</v>
      </c>
      <c r="U32" s="8" t="s">
        <v>436</v>
      </c>
      <c r="V32" s="35">
        <v>0.1</v>
      </c>
      <c r="W32" s="23" t="s">
        <v>43</v>
      </c>
      <c r="X32" s="477"/>
      <c r="Y32" s="121">
        <f>ROUND(Conv!M29,-1)</f>
        <v>1340</v>
      </c>
      <c r="Z32" s="480"/>
      <c r="AA32" s="440"/>
    </row>
    <row r="33" spans="1:40" x14ac:dyDescent="0.3">
      <c r="A33" s="83"/>
      <c r="B33" s="83"/>
      <c r="C33" s="83"/>
      <c r="D33" s="83"/>
      <c r="E33" s="83"/>
      <c r="F33" s="83"/>
      <c r="G33" s="83"/>
      <c r="H33" s="83"/>
      <c r="I33" s="83"/>
      <c r="J33" s="83"/>
      <c r="K33" s="83"/>
      <c r="L33" s="83"/>
      <c r="M33" s="54"/>
      <c r="N33" s="54"/>
      <c r="O33" s="54"/>
      <c r="P33" s="54"/>
      <c r="Q33" s="54"/>
      <c r="S33" s="468"/>
      <c r="T33" s="94" t="s">
        <v>248</v>
      </c>
      <c r="U33" s="223"/>
      <c r="V33" s="400">
        <v>0</v>
      </c>
      <c r="W33" s="397" t="s">
        <v>43</v>
      </c>
      <c r="X33" s="478"/>
      <c r="Y33" s="223">
        <v>0</v>
      </c>
      <c r="Z33" s="481"/>
      <c r="AA33" s="440"/>
    </row>
    <row r="34" spans="1:40" x14ac:dyDescent="0.3">
      <c r="A34" s="83"/>
      <c r="B34" s="83"/>
      <c r="C34" s="83"/>
      <c r="D34" s="83"/>
      <c r="E34" s="83"/>
      <c r="F34" s="83"/>
      <c r="G34" s="83"/>
      <c r="H34" s="83"/>
      <c r="I34" s="83"/>
      <c r="J34" s="83"/>
      <c r="K34" s="83"/>
      <c r="L34" s="83"/>
      <c r="M34" s="54"/>
      <c r="N34" s="54"/>
      <c r="O34" s="54"/>
      <c r="P34" s="54"/>
      <c r="Q34" s="54"/>
      <c r="S34" s="469"/>
      <c r="T34" s="377" t="s">
        <v>42</v>
      </c>
      <c r="U34" s="376" t="s">
        <v>435</v>
      </c>
      <c r="V34" s="378">
        <f>SUM(V30:V32)</f>
        <v>0.32184843002199248</v>
      </c>
      <c r="W34" s="379"/>
      <c r="X34" s="379" t="str">
        <f>X30</f>
        <v>≤70%</v>
      </c>
      <c r="Y34" s="380">
        <f>SUM(Y30:Y33)</f>
        <v>5440.0014999999985</v>
      </c>
      <c r="Z34" s="393">
        <f>Z30</f>
        <v>72900</v>
      </c>
      <c r="AA34" s="441"/>
    </row>
    <row r="35" spans="1:40" x14ac:dyDescent="0.3">
      <c r="A35" s="83"/>
      <c r="B35" s="83"/>
      <c r="C35" s="83"/>
      <c r="D35" s="83"/>
      <c r="E35" s="83"/>
      <c r="F35" s="83"/>
      <c r="G35" s="83"/>
      <c r="H35" s="83"/>
      <c r="I35" s="83"/>
      <c r="J35" s="83"/>
      <c r="K35" s="83"/>
      <c r="L35" s="83"/>
      <c r="M35" s="54"/>
      <c r="N35" s="54"/>
      <c r="O35" s="54"/>
      <c r="P35" s="54"/>
      <c r="Q35" s="54"/>
      <c r="S35" s="54"/>
      <c r="T35" s="54"/>
      <c r="U35" s="54"/>
      <c r="V35" s="54"/>
      <c r="W35" s="54"/>
      <c r="X35" s="54"/>
      <c r="Y35" s="54"/>
    </row>
    <row r="36" spans="1:40" x14ac:dyDescent="0.3">
      <c r="A36" s="83"/>
      <c r="B36" s="83"/>
      <c r="C36" s="83"/>
      <c r="D36" s="83"/>
      <c r="E36" s="83"/>
      <c r="F36" s="83"/>
      <c r="G36" s="83"/>
      <c r="H36" s="83"/>
      <c r="I36" s="83"/>
      <c r="J36" s="83"/>
      <c r="K36" s="83"/>
      <c r="L36" s="83"/>
      <c r="M36" s="54"/>
      <c r="N36" s="54"/>
      <c r="O36" s="54"/>
      <c r="P36" s="54"/>
      <c r="Q36" s="54"/>
      <c r="S36" s="470" t="s">
        <v>249</v>
      </c>
      <c r="T36" s="471"/>
      <c r="U36" s="474" t="s">
        <v>448</v>
      </c>
      <c r="V36" s="475"/>
      <c r="W36" s="427" t="s">
        <v>250</v>
      </c>
      <c r="X36" s="428"/>
      <c r="Y36" s="429"/>
    </row>
    <row r="37" spans="1:40" x14ac:dyDescent="0.3">
      <c r="A37" s="83"/>
      <c r="B37" s="83"/>
      <c r="C37" s="83"/>
      <c r="D37" s="83"/>
      <c r="E37" s="83"/>
      <c r="F37" s="83"/>
      <c r="G37" s="83"/>
      <c r="H37" s="83"/>
      <c r="I37" s="83"/>
      <c r="J37" s="83"/>
      <c r="K37" s="83"/>
      <c r="L37" s="83"/>
      <c r="M37" s="54"/>
      <c r="N37" s="54"/>
      <c r="O37" s="54"/>
      <c r="P37" s="54"/>
      <c r="Q37" s="54"/>
      <c r="S37" s="472"/>
      <c r="T37" s="473"/>
      <c r="U37" s="460" t="s">
        <v>449</v>
      </c>
      <c r="V37" s="461"/>
      <c r="W37" s="85" t="s">
        <v>16</v>
      </c>
      <c r="X37" s="85" t="s">
        <v>17</v>
      </c>
      <c r="Y37" s="84" t="s">
        <v>18</v>
      </c>
    </row>
    <row r="38" spans="1:40" x14ac:dyDescent="0.3">
      <c r="A38" s="83"/>
      <c r="B38" s="83"/>
      <c r="C38" s="83"/>
      <c r="D38" s="83"/>
      <c r="E38" s="83"/>
      <c r="F38" s="83"/>
      <c r="G38" s="83"/>
      <c r="H38" s="83"/>
      <c r="I38" s="83"/>
      <c r="J38" s="83"/>
      <c r="K38" s="83"/>
      <c r="L38" s="83"/>
      <c r="M38" s="54"/>
      <c r="N38" s="54"/>
      <c r="O38" s="54"/>
      <c r="P38" s="54"/>
      <c r="Q38" s="54"/>
      <c r="S38" s="217" t="s">
        <v>114</v>
      </c>
      <c r="T38" s="177"/>
      <c r="U38" s="458">
        <f>U39+U40</f>
        <v>23240</v>
      </c>
      <c r="V38" s="459"/>
      <c r="W38" s="401">
        <f>W39+W40</f>
        <v>50300</v>
      </c>
      <c r="X38" s="401">
        <f t="shared" ref="X38" si="9">X39+X40</f>
        <v>87300</v>
      </c>
      <c r="Y38" s="402">
        <f t="shared" ref="Y38" si="10">Y39+Y40</f>
        <v>220500</v>
      </c>
    </row>
    <row r="39" spans="1:40" x14ac:dyDescent="0.3">
      <c r="A39" s="83"/>
      <c r="B39" s="83"/>
      <c r="C39" s="83"/>
      <c r="D39" s="83"/>
      <c r="E39" s="83"/>
      <c r="F39" s="83"/>
      <c r="G39" s="83"/>
      <c r="H39" s="83"/>
      <c r="I39" s="83"/>
      <c r="J39" s="83"/>
      <c r="K39" s="83"/>
      <c r="L39" s="83"/>
      <c r="M39" s="54"/>
      <c r="N39" s="54"/>
      <c r="O39" s="54"/>
      <c r="P39" s="54"/>
      <c r="Q39" s="54"/>
      <c r="S39" s="86"/>
      <c r="T39" t="s">
        <v>107</v>
      </c>
      <c r="U39" s="453">
        <f>ROUND(Runs!D45,-1)</f>
        <v>3840</v>
      </c>
      <c r="V39" s="454"/>
      <c r="W39" s="121">
        <f>ROUND(Conv!P14,-2)</f>
        <v>30900</v>
      </c>
      <c r="X39" s="121">
        <f>ROUND(Conv!T14,-2)</f>
        <v>63400</v>
      </c>
      <c r="Y39" s="200">
        <f>ROUND(Conv!X14,-2)</f>
        <v>116300</v>
      </c>
    </row>
    <row r="40" spans="1:40" x14ac:dyDescent="0.3">
      <c r="A40" s="83"/>
      <c r="B40" s="83"/>
      <c r="C40" s="83"/>
      <c r="D40" s="83"/>
      <c r="E40" s="83"/>
      <c r="F40" s="83"/>
      <c r="G40" s="83"/>
      <c r="H40" s="83"/>
      <c r="I40" s="83"/>
      <c r="J40" s="83"/>
      <c r="K40" s="83"/>
      <c r="L40" s="83"/>
      <c r="M40" s="54"/>
      <c r="N40" s="54"/>
      <c r="O40" s="54"/>
      <c r="P40" s="54"/>
      <c r="Q40" s="54"/>
      <c r="S40" s="86"/>
      <c r="T40" t="s">
        <v>51</v>
      </c>
      <c r="U40" s="453">
        <f>ROUND(Runs!C45-Runs!D45,-2)</f>
        <v>19400</v>
      </c>
      <c r="V40" s="454"/>
      <c r="W40" s="121">
        <f>ROUND(Conv!P36,-2)</f>
        <v>19400</v>
      </c>
      <c r="X40" s="121">
        <f>ROUND(Conv!T36,-2)</f>
        <v>23900</v>
      </c>
      <c r="Y40" s="200">
        <f>ROUND(Conv!X36,-2)</f>
        <v>104200</v>
      </c>
    </row>
    <row r="41" spans="1:40" x14ac:dyDescent="0.3">
      <c r="A41" s="83"/>
      <c r="B41" s="83"/>
      <c r="C41" s="83"/>
      <c r="D41" s="83"/>
      <c r="E41" s="83"/>
      <c r="F41" s="83"/>
      <c r="G41" s="83"/>
      <c r="H41" s="83"/>
      <c r="I41" s="83"/>
      <c r="J41" s="83"/>
      <c r="K41" s="83"/>
      <c r="L41" s="83"/>
      <c r="M41" s="54"/>
      <c r="N41" s="54"/>
      <c r="O41" s="54"/>
      <c r="P41" s="54"/>
      <c r="Q41" s="54"/>
      <c r="S41" s="94"/>
      <c r="T41" s="215" t="s">
        <v>252</v>
      </c>
      <c r="U41" s="456">
        <f>U40/U38</f>
        <v>0.83476764199655762</v>
      </c>
      <c r="V41" s="457"/>
      <c r="W41" s="357">
        <f>W40/W38</f>
        <v>0.38568588469184889</v>
      </c>
      <c r="X41" s="357">
        <f t="shared" ref="X41" si="11">X40/X38</f>
        <v>0.27376861397479957</v>
      </c>
      <c r="Y41" s="403">
        <f t="shared" ref="Y41" si="12">Y40/Y38</f>
        <v>0.472562358276644</v>
      </c>
    </row>
    <row r="42" spans="1:40" x14ac:dyDescent="0.3">
      <c r="A42" s="83"/>
      <c r="B42" s="83"/>
      <c r="C42" s="83"/>
      <c r="D42" s="83"/>
      <c r="E42" s="83"/>
      <c r="F42" s="83"/>
      <c r="G42" s="83"/>
      <c r="H42" s="83"/>
      <c r="I42" s="83"/>
      <c r="J42" s="83"/>
      <c r="K42" s="83"/>
      <c r="L42" s="83"/>
      <c r="M42" s="54"/>
      <c r="N42" s="54"/>
      <c r="O42" s="54"/>
      <c r="P42" s="54"/>
      <c r="Q42" s="54"/>
      <c r="S42" s="218" t="s">
        <v>440</v>
      </c>
      <c r="T42" s="177"/>
      <c r="U42" s="458">
        <f>U43+U44</f>
        <v>20880</v>
      </c>
      <c r="V42" s="459"/>
      <c r="W42" s="401">
        <f>W43+W44</f>
        <v>47500</v>
      </c>
      <c r="X42" s="401">
        <f t="shared" ref="X42:Y42" si="13">X43+X44</f>
        <v>79600</v>
      </c>
      <c r="Y42" s="402">
        <f t="shared" si="13"/>
        <v>174800</v>
      </c>
    </row>
    <row r="43" spans="1:40" ht="15" customHeight="1" x14ac:dyDescent="0.3">
      <c r="A43" s="83"/>
      <c r="B43" s="83"/>
      <c r="C43" s="83"/>
      <c r="D43" s="83"/>
      <c r="E43" s="83"/>
      <c r="F43" s="83"/>
      <c r="G43" s="83"/>
      <c r="H43" s="83"/>
      <c r="I43" s="83"/>
      <c r="J43" s="83"/>
      <c r="K43" s="83"/>
      <c r="L43" s="83"/>
      <c r="M43" s="54"/>
      <c r="N43" s="54"/>
      <c r="O43" s="54"/>
      <c r="P43" s="54"/>
      <c r="Q43" s="54"/>
      <c r="S43" s="86"/>
      <c r="T43" t="s">
        <v>107</v>
      </c>
      <c r="U43" s="453">
        <f>ROUND(Runs!D45-Runs!E45,-1)</f>
        <v>3780</v>
      </c>
      <c r="V43" s="454"/>
      <c r="W43" s="121">
        <f>ROUND(Conv!P11,-2)</f>
        <v>30400</v>
      </c>
      <c r="X43" s="121">
        <f>ROUND(Conv!T11,-2)</f>
        <v>61400</v>
      </c>
      <c r="Y43" s="200">
        <f>ROUND(Conv!X11,-2)</f>
        <v>110700</v>
      </c>
      <c r="AL43" s="348" t="s">
        <v>206</v>
      </c>
      <c r="AM43" s="349"/>
      <c r="AN43" s="349"/>
    </row>
    <row r="44" spans="1:40" ht="15" customHeight="1" x14ac:dyDescent="0.3">
      <c r="A44" s="83"/>
      <c r="B44" s="83"/>
      <c r="C44" s="83"/>
      <c r="D44" s="83"/>
      <c r="E44" s="83"/>
      <c r="F44" s="83"/>
      <c r="G44" s="83"/>
      <c r="H44" s="83"/>
      <c r="I44" s="83"/>
      <c r="J44" s="83"/>
      <c r="K44" s="83"/>
      <c r="L44" s="83"/>
      <c r="M44" s="54"/>
      <c r="N44" s="54"/>
      <c r="O44" s="54"/>
      <c r="P44" s="54"/>
      <c r="Q44" s="54"/>
      <c r="S44" s="86"/>
      <c r="T44" t="s">
        <v>51</v>
      </c>
      <c r="U44" s="453">
        <f>ROUND(Conv!H33,-2)</f>
        <v>17100</v>
      </c>
      <c r="V44" s="454"/>
      <c r="W44" s="121">
        <f>ROUND(Conv!P33,-2)</f>
        <v>17100</v>
      </c>
      <c r="X44" s="121">
        <f>ROUND(Conv!T33,-2)</f>
        <v>18200</v>
      </c>
      <c r="Y44" s="200">
        <f>ROUND(Conv!X33,-2)</f>
        <v>64100</v>
      </c>
    </row>
    <row r="45" spans="1:40" x14ac:dyDescent="0.3">
      <c r="A45" s="83"/>
      <c r="B45" s="83"/>
      <c r="C45" s="83"/>
      <c r="D45" s="83"/>
      <c r="E45" s="83"/>
      <c r="F45" s="83"/>
      <c r="G45" s="83"/>
      <c r="H45" s="83"/>
      <c r="I45" s="83"/>
      <c r="J45" s="83"/>
      <c r="K45" s="83"/>
      <c r="L45" s="83"/>
      <c r="M45" s="54"/>
      <c r="N45" s="54"/>
      <c r="O45" s="54"/>
      <c r="P45" s="54"/>
      <c r="Q45" s="54"/>
      <c r="S45" s="94"/>
      <c r="T45" s="215" t="s">
        <v>252</v>
      </c>
      <c r="U45" s="456">
        <f>U44/U42</f>
        <v>0.81896551724137934</v>
      </c>
      <c r="V45" s="457"/>
      <c r="W45" s="357">
        <f>W44/W42</f>
        <v>0.36</v>
      </c>
      <c r="X45" s="357">
        <f t="shared" ref="X45:Y45" si="14">X44/X42</f>
        <v>0.228643216080402</v>
      </c>
      <c r="Y45" s="403">
        <f t="shared" si="14"/>
        <v>0.36670480549199086</v>
      </c>
      <c r="AL45" s="350" t="s">
        <v>209</v>
      </c>
      <c r="AM45" s="329" t="s">
        <v>223</v>
      </c>
    </row>
    <row r="46" spans="1:40" x14ac:dyDescent="0.3">
      <c r="A46" s="83"/>
      <c r="B46" s="83"/>
      <c r="C46" s="83"/>
      <c r="D46" s="83"/>
      <c r="E46" s="83"/>
      <c r="F46" s="83"/>
      <c r="G46" s="83"/>
      <c r="H46" s="83"/>
      <c r="I46" s="83"/>
      <c r="J46" s="83"/>
      <c r="K46" s="83"/>
      <c r="L46" s="83"/>
      <c r="M46" s="54"/>
      <c r="N46" s="54"/>
      <c r="O46" s="54"/>
      <c r="P46" s="54"/>
      <c r="Q46" s="54"/>
      <c r="S46" s="218" t="s">
        <v>439</v>
      </c>
      <c r="T46" s="177"/>
      <c r="U46" s="458">
        <f>U47+U48</f>
        <v>16360</v>
      </c>
      <c r="V46" s="459"/>
      <c r="W46" s="401">
        <f>W47+W48</f>
        <v>37200</v>
      </c>
      <c r="X46" s="401">
        <f t="shared" ref="X46" si="15">X47+X48</f>
        <v>55500</v>
      </c>
      <c r="Y46" s="402">
        <f t="shared" ref="Y46" si="16">Y47+Y48</f>
        <v>105500</v>
      </c>
      <c r="AL46" s="350" t="s">
        <v>207</v>
      </c>
    </row>
    <row r="47" spans="1:40" x14ac:dyDescent="0.3">
      <c r="A47" s="83"/>
      <c r="B47" s="83"/>
      <c r="C47" s="83"/>
      <c r="D47" s="83"/>
      <c r="E47" s="83"/>
      <c r="F47" s="83"/>
      <c r="G47" s="83"/>
      <c r="H47" s="83"/>
      <c r="I47" s="83"/>
      <c r="J47" s="83"/>
      <c r="K47" s="83"/>
      <c r="L47" s="83"/>
      <c r="M47" s="54"/>
      <c r="N47" s="54"/>
      <c r="O47" s="54"/>
      <c r="P47" s="54"/>
      <c r="Q47" s="54"/>
      <c r="S47" s="86"/>
      <c r="T47" t="s">
        <v>107</v>
      </c>
      <c r="U47" s="453">
        <f>ROUND(Runs!M45,-1)</f>
        <v>2960</v>
      </c>
      <c r="V47" s="454"/>
      <c r="W47" s="121">
        <f>ROUND(Conv!P8,-2)</f>
        <v>23800</v>
      </c>
      <c r="X47" s="121">
        <f>ROUND(Conv!T8,-2)</f>
        <v>42800</v>
      </c>
      <c r="Y47" s="200">
        <f>ROUND(Conv!X8,-2)</f>
        <v>67800</v>
      </c>
    </row>
    <row r="48" spans="1:40" ht="15" customHeight="1" x14ac:dyDescent="0.3">
      <c r="A48" s="83"/>
      <c r="B48" s="83"/>
      <c r="C48" s="83"/>
      <c r="D48" s="83"/>
      <c r="E48" s="83"/>
      <c r="F48" s="83"/>
      <c r="G48" s="83"/>
      <c r="H48" s="83"/>
      <c r="I48" s="83"/>
      <c r="J48" s="83"/>
      <c r="K48" s="83"/>
      <c r="L48" s="83"/>
      <c r="M48" s="54"/>
      <c r="N48" s="54"/>
      <c r="O48" s="54"/>
      <c r="P48" s="54"/>
      <c r="Q48" s="54"/>
      <c r="S48" s="86"/>
      <c r="T48" t="s">
        <v>51</v>
      </c>
      <c r="U48" s="453">
        <f>ROUND(Conv!H30,-2)</f>
        <v>13400</v>
      </c>
      <c r="V48" s="454"/>
      <c r="W48" s="216">
        <f>ROUND(Conv!P30,-2)</f>
        <v>13400</v>
      </c>
      <c r="X48" s="216">
        <f>ROUND(Conv!T30,-2)</f>
        <v>12700</v>
      </c>
      <c r="Y48" s="404">
        <f>ROUND(Conv!X30,-2)</f>
        <v>37700</v>
      </c>
      <c r="AF48" s="350" t="s">
        <v>322</v>
      </c>
      <c r="AG48" s="351">
        <v>0.01</v>
      </c>
    </row>
    <row r="49" spans="1:32" x14ac:dyDescent="0.3">
      <c r="A49" s="83"/>
      <c r="B49" s="83"/>
      <c r="C49" s="83"/>
      <c r="D49" s="83"/>
      <c r="E49" s="83"/>
      <c r="F49" s="83"/>
      <c r="G49" s="83"/>
      <c r="H49" s="83"/>
      <c r="I49" s="83"/>
      <c r="J49" s="83"/>
      <c r="K49" s="83"/>
      <c r="L49" s="83"/>
      <c r="M49" s="54"/>
      <c r="N49" s="54"/>
      <c r="O49" s="54"/>
      <c r="P49" s="54"/>
      <c r="Q49" s="54"/>
      <c r="S49" s="86"/>
      <c r="T49" t="s">
        <v>252</v>
      </c>
      <c r="U49" s="456">
        <f>U48/U46</f>
        <v>0.81907090464547683</v>
      </c>
      <c r="V49" s="457"/>
      <c r="W49" s="357">
        <f>W48/W46</f>
        <v>0.36021505376344087</v>
      </c>
      <c r="X49" s="357">
        <f t="shared" ref="X49" si="17">X48/X46</f>
        <v>0.22882882882882882</v>
      </c>
      <c r="Y49" s="403">
        <f t="shared" ref="Y49" si="18">Y48/Y46</f>
        <v>0.35734597156398107</v>
      </c>
    </row>
    <row r="50" spans="1:32" x14ac:dyDescent="0.3">
      <c r="A50" s="83"/>
      <c r="B50" s="83"/>
      <c r="C50" s="83"/>
      <c r="D50" s="83"/>
      <c r="E50" s="83"/>
      <c r="F50" s="83"/>
      <c r="G50" s="83"/>
      <c r="H50" s="83"/>
      <c r="I50" s="83"/>
      <c r="J50" s="83"/>
      <c r="K50" s="83"/>
      <c r="L50" s="83"/>
      <c r="M50" s="54"/>
      <c r="N50" s="54"/>
      <c r="O50" s="54"/>
      <c r="P50" s="54"/>
      <c r="Q50" s="54"/>
      <c r="S50" s="218" t="s">
        <v>442</v>
      </c>
      <c r="T50" s="177"/>
      <c r="U50" s="458">
        <f>U51+U52</f>
        <v>7530</v>
      </c>
      <c r="V50" s="459"/>
      <c r="W50" s="401">
        <f>W51+W52</f>
        <v>17600</v>
      </c>
      <c r="X50" s="401">
        <f t="shared" ref="X50" si="19">X51+X52</f>
        <v>24900</v>
      </c>
      <c r="Y50" s="402">
        <f t="shared" ref="Y50" si="20">Y51+Y52</f>
        <v>43100</v>
      </c>
      <c r="AF50" s="329" t="s">
        <v>224</v>
      </c>
    </row>
    <row r="51" spans="1:32" x14ac:dyDescent="0.3">
      <c r="A51" s="83"/>
      <c r="B51" s="83"/>
      <c r="C51" s="83"/>
      <c r="D51" s="83"/>
      <c r="E51" s="83"/>
      <c r="F51" s="83"/>
      <c r="G51" s="83"/>
      <c r="H51" s="83"/>
      <c r="I51" s="83"/>
      <c r="J51" s="83"/>
      <c r="K51" s="83"/>
      <c r="L51" s="83"/>
      <c r="M51" s="54"/>
      <c r="N51" s="54"/>
      <c r="O51" s="54"/>
      <c r="P51" s="54"/>
      <c r="Q51" s="54"/>
      <c r="S51" s="86"/>
      <c r="T51" t="s">
        <v>107</v>
      </c>
      <c r="U51" s="453">
        <f>U10</f>
        <v>1430</v>
      </c>
      <c r="V51" s="454"/>
      <c r="W51" s="121">
        <f>Conv!P5</f>
        <v>11500</v>
      </c>
      <c r="X51" s="121">
        <f>ROUND(Conv!T5,-2)</f>
        <v>19800</v>
      </c>
      <c r="Y51" s="200">
        <f>ROUND(Conv!X5,-2)</f>
        <v>30100</v>
      </c>
      <c r="AF51" s="352" t="s">
        <v>208</v>
      </c>
    </row>
    <row r="52" spans="1:32" x14ac:dyDescent="0.3">
      <c r="A52" s="83"/>
      <c r="B52" s="83"/>
      <c r="C52" s="83"/>
      <c r="D52" s="83"/>
      <c r="E52" s="83"/>
      <c r="F52" s="83"/>
      <c r="G52" s="83"/>
      <c r="H52" s="83"/>
      <c r="I52" s="83"/>
      <c r="J52" s="83"/>
      <c r="K52" s="83"/>
      <c r="L52" s="83"/>
      <c r="M52" s="54"/>
      <c r="N52" s="54"/>
      <c r="O52" s="54"/>
      <c r="P52" s="54"/>
      <c r="Q52" s="54"/>
      <c r="S52" s="86"/>
      <c r="T52" t="s">
        <v>51</v>
      </c>
      <c r="U52" s="453">
        <f>ROUND(Conv!H27,-2)</f>
        <v>6100</v>
      </c>
      <c r="V52" s="454"/>
      <c r="W52" s="121">
        <f>ROUND(Conv!P27,-2)</f>
        <v>6100</v>
      </c>
      <c r="X52" s="121">
        <f>ROUND(Conv!T27,-2)</f>
        <v>5100</v>
      </c>
      <c r="Y52" s="200">
        <f>ROUND(Conv!X27,-2)</f>
        <v>13000</v>
      </c>
    </row>
    <row r="53" spans="1:32" x14ac:dyDescent="0.3">
      <c r="A53" s="83"/>
      <c r="B53" s="83"/>
      <c r="C53" s="83"/>
      <c r="D53" s="83"/>
      <c r="E53" s="83"/>
      <c r="F53" s="83"/>
      <c r="G53" s="83"/>
      <c r="H53" s="83"/>
      <c r="I53" s="83"/>
      <c r="J53" s="83"/>
      <c r="K53" s="83"/>
      <c r="L53" s="83"/>
      <c r="M53" s="54"/>
      <c r="N53" s="54"/>
      <c r="O53" s="54"/>
      <c r="P53" s="54"/>
      <c r="Q53" s="54"/>
      <c r="S53" s="94"/>
      <c r="T53" s="215" t="s">
        <v>252</v>
      </c>
      <c r="U53" s="462">
        <f>U52/U50</f>
        <v>0.81009296148738374</v>
      </c>
      <c r="V53" s="462"/>
      <c r="W53" s="357">
        <f>W52/W50</f>
        <v>0.34659090909090912</v>
      </c>
      <c r="X53" s="357">
        <f t="shared" ref="X53" si="21">X52/X50</f>
        <v>0.20481927710843373</v>
      </c>
      <c r="Y53" s="403">
        <f t="shared" ref="Y53" si="22">Y52/Y50</f>
        <v>0.30162412993039445</v>
      </c>
    </row>
    <row r="54" spans="1:32" x14ac:dyDescent="0.3">
      <c r="A54" s="83"/>
      <c r="B54" s="83"/>
      <c r="C54" s="83"/>
      <c r="D54" s="83"/>
      <c r="E54" s="83"/>
      <c r="F54" s="83"/>
      <c r="G54" s="83"/>
      <c r="H54" s="83"/>
      <c r="I54" s="83"/>
      <c r="J54" s="83"/>
      <c r="K54" s="83"/>
      <c r="L54" s="83"/>
      <c r="M54" s="54"/>
      <c r="N54" s="54"/>
      <c r="O54" s="54"/>
      <c r="P54" s="54"/>
      <c r="Q54" s="54"/>
      <c r="S54" s="218" t="s">
        <v>251</v>
      </c>
      <c r="T54" s="177"/>
      <c r="U54" s="458">
        <f>U55+U56</f>
        <v>5969.969740056843</v>
      </c>
      <c r="V54" s="459"/>
      <c r="W54" s="401">
        <f>W55+W56</f>
        <v>10000</v>
      </c>
      <c r="X54" s="401">
        <f t="shared" ref="X54:Y54" si="23">X55+X56</f>
        <v>29600</v>
      </c>
      <c r="Y54" s="402">
        <f t="shared" si="23"/>
        <v>119400</v>
      </c>
    </row>
    <row r="55" spans="1:32" x14ac:dyDescent="0.3">
      <c r="A55" s="83"/>
      <c r="B55" s="83"/>
      <c r="C55" s="83"/>
      <c r="D55" s="83"/>
      <c r="E55" s="83"/>
      <c r="F55" s="437">
        <f>V24</f>
        <v>1.6616320402491502E-2</v>
      </c>
      <c r="G55" s="83"/>
      <c r="H55" s="83"/>
      <c r="I55" s="83"/>
      <c r="J55" s="83"/>
      <c r="K55" s="83"/>
      <c r="L55" s="83"/>
      <c r="M55" s="54"/>
      <c r="N55" s="54"/>
      <c r="O55" s="54"/>
      <c r="P55" s="54"/>
      <c r="Q55" s="54"/>
      <c r="S55" s="86"/>
      <c r="T55" t="s">
        <v>107</v>
      </c>
      <c r="U55" s="453">
        <f>Conv!I16</f>
        <v>569.96974005684297</v>
      </c>
      <c r="V55" s="454"/>
      <c r="W55" s="121">
        <f>ROUND(Conv!Q16,-2)</f>
        <v>4600</v>
      </c>
      <c r="X55" s="121">
        <f>ROUND(Conv!U16,-2)</f>
        <v>17800</v>
      </c>
      <c r="Y55" s="200">
        <f>ROUND(Conv!Y16,-2)</f>
        <v>46500</v>
      </c>
    </row>
    <row r="56" spans="1:32" x14ac:dyDescent="0.3">
      <c r="A56" s="83"/>
      <c r="B56" s="83"/>
      <c r="C56" s="83"/>
      <c r="D56" s="83"/>
      <c r="E56" s="83"/>
      <c r="F56" s="437">
        <f>V25</f>
        <v>0.10084843002199247</v>
      </c>
      <c r="G56" s="83"/>
      <c r="H56" s="83"/>
      <c r="I56" s="83"/>
      <c r="J56" s="83"/>
      <c r="K56" s="83"/>
      <c r="L56" s="83"/>
      <c r="M56" s="54"/>
      <c r="N56" s="54"/>
      <c r="O56" s="54"/>
      <c r="P56" s="54"/>
      <c r="Q56" s="54"/>
      <c r="S56" s="86"/>
      <c r="T56" t="s">
        <v>51</v>
      </c>
      <c r="U56" s="453">
        <f>ROUND(Conv!I40,-2)</f>
        <v>5400</v>
      </c>
      <c r="V56" s="454"/>
      <c r="W56" s="121">
        <f>ROUND(Conv!Q40,-2)</f>
        <v>5400</v>
      </c>
      <c r="X56" s="121">
        <f>ROUND(Conv!U40,-2)</f>
        <v>11800</v>
      </c>
      <c r="Y56" s="200">
        <f>ROUND(Conv!Y40,-2)</f>
        <v>72900</v>
      </c>
    </row>
    <row r="57" spans="1:32" x14ac:dyDescent="0.3">
      <c r="A57" s="83"/>
      <c r="B57" s="83"/>
      <c r="C57" s="83"/>
      <c r="D57" s="83"/>
      <c r="E57" s="83"/>
      <c r="F57" s="437">
        <f>V28-V25-V24</f>
        <v>3.0798845043310666E-2</v>
      </c>
      <c r="G57" s="83"/>
      <c r="H57" s="83"/>
      <c r="I57" s="83"/>
      <c r="J57" s="83"/>
      <c r="K57" s="83"/>
      <c r="L57" s="83"/>
      <c r="M57" s="54"/>
      <c r="N57" s="54"/>
      <c r="O57" s="54"/>
      <c r="P57" s="54"/>
      <c r="Q57" s="54"/>
      <c r="S57" s="94"/>
      <c r="T57" s="215" t="s">
        <v>252</v>
      </c>
      <c r="U57" s="462">
        <f>U56/U54</f>
        <v>0.90452719781266155</v>
      </c>
      <c r="V57" s="462"/>
      <c r="W57" s="357">
        <f>W56/W54</f>
        <v>0.54</v>
      </c>
      <c r="X57" s="357">
        <f t="shared" ref="X57:Y57" si="24">X56/X54</f>
        <v>0.39864864864864863</v>
      </c>
      <c r="Y57" s="403">
        <f t="shared" si="24"/>
        <v>0.61055276381909551</v>
      </c>
    </row>
    <row r="58" spans="1:32" x14ac:dyDescent="0.3">
      <c r="A58" s="83"/>
      <c r="B58" s="83"/>
      <c r="C58" s="83"/>
      <c r="D58" s="83"/>
      <c r="E58" s="83"/>
      <c r="F58" s="83"/>
      <c r="G58" s="83"/>
      <c r="H58" s="83"/>
      <c r="I58" s="83"/>
      <c r="J58" s="83"/>
      <c r="K58" s="83"/>
      <c r="L58" s="83"/>
      <c r="M58" s="54"/>
      <c r="N58" s="54"/>
      <c r="O58" s="54"/>
      <c r="P58" s="54"/>
      <c r="Q58" s="54"/>
      <c r="S58" s="54"/>
      <c r="T58" s="54"/>
      <c r="U58" s="54"/>
      <c r="V58" s="54"/>
      <c r="W58" s="54"/>
      <c r="X58" s="54"/>
      <c r="Y58" s="54"/>
    </row>
    <row r="59" spans="1:32" x14ac:dyDescent="0.3">
      <c r="A59" s="83"/>
      <c r="B59" s="83"/>
      <c r="C59" s="83"/>
      <c r="D59" s="83"/>
      <c r="E59" s="83"/>
      <c r="F59" s="83"/>
      <c r="G59" s="83"/>
      <c r="H59" s="83"/>
      <c r="I59" s="83"/>
      <c r="J59" s="83"/>
      <c r="K59" s="83"/>
      <c r="L59" s="83"/>
      <c r="M59" s="54"/>
      <c r="N59" s="54"/>
      <c r="O59" s="54"/>
      <c r="P59" s="54"/>
      <c r="Q59" s="54"/>
    </row>
    <row r="60" spans="1:32" x14ac:dyDescent="0.3">
      <c r="A60" s="83"/>
      <c r="B60" s="83"/>
      <c r="C60" s="83"/>
      <c r="D60" s="83"/>
      <c r="E60" s="83"/>
      <c r="F60" s="83"/>
      <c r="G60" s="83"/>
      <c r="H60" s="83"/>
      <c r="I60" s="83"/>
      <c r="J60" s="83"/>
      <c r="K60" s="83"/>
      <c r="L60" s="83"/>
      <c r="M60" s="54"/>
      <c r="N60" s="54"/>
      <c r="O60" s="54"/>
      <c r="P60" s="54"/>
      <c r="Q60" s="54"/>
    </row>
    <row r="61" spans="1:32" x14ac:dyDescent="0.3">
      <c r="A61" s="83"/>
      <c r="B61" s="83"/>
      <c r="C61" s="83"/>
      <c r="D61" s="83"/>
      <c r="E61" s="83"/>
      <c r="F61" s="83"/>
      <c r="G61" s="83"/>
      <c r="H61" s="83"/>
      <c r="I61" s="83"/>
      <c r="J61" s="83"/>
      <c r="K61" s="83"/>
      <c r="L61" s="83"/>
      <c r="M61" s="54"/>
      <c r="N61" s="54"/>
      <c r="O61" s="54"/>
      <c r="P61" s="54"/>
      <c r="Q61" s="54"/>
    </row>
    <row r="62" spans="1:32" x14ac:dyDescent="0.3">
      <c r="A62" s="83"/>
      <c r="B62" s="83"/>
      <c r="C62" s="83"/>
      <c r="D62" s="83"/>
      <c r="E62" s="83"/>
      <c r="F62" s="83"/>
      <c r="G62" s="83"/>
      <c r="H62" s="83"/>
      <c r="I62" s="83"/>
      <c r="J62" s="83"/>
      <c r="K62" s="83"/>
      <c r="L62" s="83"/>
      <c r="M62" s="54"/>
      <c r="N62" s="54"/>
      <c r="O62" s="54"/>
      <c r="P62" s="54"/>
      <c r="Q62" s="54"/>
    </row>
    <row r="63" spans="1:32" x14ac:dyDescent="0.3">
      <c r="A63" s="83"/>
      <c r="B63" s="83"/>
      <c r="C63" s="83"/>
      <c r="D63" s="83"/>
      <c r="E63" s="83"/>
      <c r="F63" s="83"/>
      <c r="G63" s="83"/>
      <c r="H63" s="83"/>
      <c r="I63" s="83"/>
      <c r="J63" s="83"/>
      <c r="K63" s="83"/>
      <c r="L63" s="83"/>
      <c r="M63" s="54"/>
      <c r="N63" s="54"/>
      <c r="O63" s="54"/>
      <c r="P63" s="54"/>
      <c r="Q63" s="54"/>
    </row>
    <row r="64" spans="1:32" x14ac:dyDescent="0.3">
      <c r="A64" s="83"/>
      <c r="B64" s="83"/>
      <c r="C64" s="83"/>
      <c r="D64" s="83"/>
      <c r="E64" s="83"/>
      <c r="F64" s="83"/>
      <c r="G64" s="83"/>
      <c r="H64" s="83"/>
      <c r="I64" s="83"/>
      <c r="J64" s="83"/>
      <c r="K64" s="83"/>
      <c r="L64" s="83"/>
      <c r="M64" s="54"/>
      <c r="N64" s="54"/>
      <c r="O64" s="54"/>
      <c r="P64" s="54"/>
      <c r="Q64" s="54"/>
    </row>
    <row r="65" spans="1:41" x14ac:dyDescent="0.3">
      <c r="A65" s="83"/>
      <c r="B65" s="83"/>
      <c r="C65" s="83"/>
      <c r="D65" s="83"/>
      <c r="E65" s="83"/>
      <c r="F65" s="83"/>
      <c r="G65" s="83"/>
      <c r="H65" s="83"/>
      <c r="I65" s="83"/>
      <c r="J65" s="83"/>
      <c r="K65" s="83"/>
      <c r="L65" s="83"/>
      <c r="M65" s="54"/>
      <c r="N65" s="54"/>
      <c r="O65" s="54"/>
      <c r="P65" s="54"/>
      <c r="Q65" s="54"/>
    </row>
    <row r="66" spans="1:41" x14ac:dyDescent="0.3">
      <c r="A66" s="83"/>
      <c r="B66" s="83"/>
      <c r="C66" s="83"/>
      <c r="D66" s="83"/>
      <c r="E66" s="83"/>
      <c r="F66" s="83"/>
      <c r="G66" s="83"/>
      <c r="H66" s="83"/>
      <c r="I66" s="83"/>
      <c r="J66" s="83"/>
      <c r="K66" s="83"/>
      <c r="L66" s="83"/>
      <c r="M66" s="54"/>
      <c r="N66" s="54"/>
      <c r="O66" s="54"/>
      <c r="P66" s="54"/>
      <c r="Q66" s="54"/>
    </row>
    <row r="67" spans="1:41" x14ac:dyDescent="0.3">
      <c r="A67" s="83"/>
      <c r="B67" s="83"/>
      <c r="C67" s="83"/>
      <c r="D67" s="83"/>
      <c r="E67" s="83"/>
      <c r="F67" s="83"/>
      <c r="G67" s="83"/>
      <c r="H67" s="83"/>
      <c r="I67" s="83"/>
      <c r="J67" s="83"/>
      <c r="K67" s="83"/>
      <c r="L67" s="83"/>
      <c r="M67" s="54"/>
      <c r="N67" s="54"/>
      <c r="O67" s="54"/>
      <c r="P67" s="54"/>
      <c r="Q67" s="54"/>
    </row>
    <row r="68" spans="1:41" s="446" customFormat="1" ht="18" x14ac:dyDescent="0.35">
      <c r="A68" s="442"/>
      <c r="B68" s="442"/>
      <c r="C68" s="442"/>
      <c r="D68" s="442"/>
      <c r="E68" s="443" t="s">
        <v>14</v>
      </c>
      <c r="F68" s="444">
        <f>V28</f>
        <v>0.14826359546779463</v>
      </c>
      <c r="G68" s="442"/>
      <c r="H68" s="442"/>
      <c r="I68" s="445"/>
      <c r="J68" s="445"/>
      <c r="L68" s="443" t="s">
        <v>14</v>
      </c>
      <c r="M68" s="447">
        <f>ROUND(V19/1000000,0)</f>
        <v>3</v>
      </c>
      <c r="N68" s="448" t="s">
        <v>446</v>
      </c>
      <c r="O68" s="445"/>
      <c r="P68" s="445"/>
      <c r="Q68" s="445"/>
      <c r="R68" s="445"/>
      <c r="Z68" s="445"/>
      <c r="AA68" s="445"/>
      <c r="AB68" s="449"/>
      <c r="AC68" s="449"/>
      <c r="AE68" s="450"/>
      <c r="AF68" s="449"/>
      <c r="AG68" s="449"/>
      <c r="AH68" s="449"/>
      <c r="AI68" s="449"/>
      <c r="AJ68" s="449"/>
      <c r="AK68" s="449"/>
      <c r="AL68" s="449"/>
      <c r="AM68" s="449"/>
      <c r="AN68" s="449"/>
      <c r="AO68" s="449"/>
    </row>
    <row r="69" spans="1:41" x14ac:dyDescent="0.3">
      <c r="A69" s="83"/>
      <c r="B69" s="83"/>
      <c r="C69" s="83"/>
      <c r="D69" s="83"/>
      <c r="E69" s="83"/>
      <c r="F69" s="83"/>
      <c r="G69" s="83"/>
      <c r="H69" s="83"/>
      <c r="I69" s="83"/>
      <c r="J69" s="83"/>
      <c r="K69" s="83"/>
      <c r="L69" s="83"/>
      <c r="M69" s="54"/>
      <c r="N69" s="54"/>
      <c r="O69" s="54"/>
      <c r="P69" s="54"/>
      <c r="Q69" s="54"/>
    </row>
    <row r="70" spans="1:41" x14ac:dyDescent="0.3">
      <c r="A70" s="83"/>
    </row>
    <row r="71" spans="1:41" x14ac:dyDescent="0.3">
      <c r="A71" s="83"/>
    </row>
    <row r="72" spans="1:41" x14ac:dyDescent="0.3">
      <c r="A72" s="83"/>
    </row>
    <row r="73" spans="1:41" x14ac:dyDescent="0.3">
      <c r="A73" s="83"/>
    </row>
    <row r="74" spans="1:41" x14ac:dyDescent="0.3">
      <c r="A74" s="83"/>
    </row>
    <row r="75" spans="1:41" x14ac:dyDescent="0.3">
      <c r="A75" s="83"/>
    </row>
    <row r="76" spans="1:41" x14ac:dyDescent="0.3">
      <c r="A76" s="83"/>
    </row>
    <row r="77" spans="1:41" x14ac:dyDescent="0.3">
      <c r="A77" s="83"/>
    </row>
    <row r="78" spans="1:41" x14ac:dyDescent="0.3">
      <c r="A78" s="83"/>
    </row>
    <row r="79" spans="1:41" x14ac:dyDescent="0.3">
      <c r="A79" s="83"/>
    </row>
    <row r="80" spans="1:41" x14ac:dyDescent="0.3">
      <c r="A80" s="83"/>
    </row>
    <row r="81" spans="1:24" x14ac:dyDescent="0.3">
      <c r="A81" s="83"/>
    </row>
    <row r="82" spans="1:24" x14ac:dyDescent="0.3">
      <c r="A82" s="83"/>
    </row>
    <row r="83" spans="1:24" x14ac:dyDescent="0.3">
      <c r="A83" s="83"/>
    </row>
    <row r="84" spans="1:24" x14ac:dyDescent="0.3">
      <c r="A84" s="83"/>
      <c r="X84" s="71"/>
    </row>
    <row r="85" spans="1:24" x14ac:dyDescent="0.3">
      <c r="A85" s="83"/>
    </row>
    <row r="86" spans="1:24" x14ac:dyDescent="0.3">
      <c r="A86" s="83"/>
    </row>
    <row r="88" spans="1:24" x14ac:dyDescent="0.3">
      <c r="G88" s="313"/>
      <c r="H88" s="313"/>
      <c r="I88" s="54"/>
      <c r="J88" s="83"/>
      <c r="K88" s="83"/>
      <c r="L88" s="83"/>
      <c r="M88" s="54"/>
      <c r="N88" s="54"/>
      <c r="O88" s="54"/>
      <c r="P88" s="54"/>
      <c r="Q88" s="54"/>
      <c r="U88" s="57"/>
    </row>
    <row r="89" spans="1:24" x14ac:dyDescent="0.3">
      <c r="G89" s="83"/>
      <c r="H89" s="83"/>
      <c r="I89" s="54"/>
      <c r="J89" s="83"/>
      <c r="K89" s="83"/>
      <c r="L89" s="83"/>
      <c r="M89" s="54"/>
      <c r="N89" s="54"/>
      <c r="O89" s="54"/>
      <c r="P89" s="54"/>
      <c r="Q89" s="54"/>
    </row>
    <row r="90" spans="1:24" x14ac:dyDescent="0.3">
      <c r="G90" s="83"/>
      <c r="H90" s="83"/>
      <c r="I90" s="54"/>
      <c r="J90" s="83"/>
      <c r="K90" s="83"/>
      <c r="L90" s="83"/>
      <c r="M90" s="54"/>
      <c r="N90" s="54"/>
      <c r="O90" s="54"/>
      <c r="P90" s="54"/>
      <c r="Q90" s="54"/>
    </row>
    <row r="91" spans="1:24" x14ac:dyDescent="0.3">
      <c r="I91"/>
    </row>
    <row r="92" spans="1:24" x14ac:dyDescent="0.3">
      <c r="I92"/>
    </row>
    <row r="93" spans="1:24" x14ac:dyDescent="0.3">
      <c r="I93"/>
      <c r="V93" s="181"/>
    </row>
    <row r="94" spans="1:24" x14ac:dyDescent="0.3">
      <c r="I94"/>
    </row>
    <row r="95" spans="1:24" x14ac:dyDescent="0.3">
      <c r="I95"/>
      <c r="J95"/>
      <c r="K95"/>
      <c r="L95"/>
    </row>
    <row r="96" spans="1:24" x14ac:dyDescent="0.3">
      <c r="I96"/>
      <c r="J96"/>
      <c r="K96"/>
      <c r="L96"/>
    </row>
    <row r="97" spans="3:12" x14ac:dyDescent="0.3">
      <c r="D97"/>
      <c r="E97"/>
      <c r="F97"/>
      <c r="G97"/>
      <c r="H97"/>
      <c r="I97"/>
      <c r="J97"/>
      <c r="K97"/>
      <c r="L97"/>
    </row>
    <row r="98" spans="3:12" x14ac:dyDescent="0.3">
      <c r="C98"/>
      <c r="D98"/>
      <c r="E98"/>
      <c r="F98"/>
      <c r="G98"/>
      <c r="H98"/>
      <c r="I98"/>
      <c r="J98"/>
      <c r="K98"/>
      <c r="L98"/>
    </row>
    <row r="99" spans="3:12" x14ac:dyDescent="0.3">
      <c r="D99"/>
      <c r="E99"/>
      <c r="F99"/>
      <c r="G99"/>
      <c r="H99"/>
      <c r="I99"/>
      <c r="J99"/>
      <c r="K99"/>
      <c r="L99"/>
    </row>
    <row r="100" spans="3:12" x14ac:dyDescent="0.3">
      <c r="D100"/>
      <c r="E100"/>
      <c r="F100"/>
      <c r="G100"/>
      <c r="H100"/>
      <c r="I100"/>
      <c r="J100"/>
      <c r="K100"/>
      <c r="L100"/>
    </row>
    <row r="101" spans="3:12" x14ac:dyDescent="0.3">
      <c r="D101"/>
      <c r="E101"/>
      <c r="F101"/>
      <c r="G101"/>
      <c r="H101"/>
      <c r="I101"/>
      <c r="J101"/>
      <c r="K101"/>
      <c r="L101"/>
    </row>
    <row r="102" spans="3:12" x14ac:dyDescent="0.3">
      <c r="D102"/>
      <c r="E102"/>
      <c r="F102"/>
      <c r="G102"/>
      <c r="H102"/>
      <c r="I102"/>
      <c r="J102"/>
      <c r="K102"/>
      <c r="L102"/>
    </row>
    <row r="103" spans="3:12" x14ac:dyDescent="0.3">
      <c r="D103"/>
      <c r="E103"/>
      <c r="F103"/>
      <c r="G103"/>
      <c r="H103"/>
      <c r="I103"/>
      <c r="J103"/>
      <c r="K103"/>
      <c r="L103"/>
    </row>
    <row r="104" spans="3:12" x14ac:dyDescent="0.3">
      <c r="D104"/>
      <c r="E104"/>
      <c r="F104"/>
      <c r="G104"/>
      <c r="H104"/>
      <c r="I104"/>
      <c r="J104"/>
      <c r="K104"/>
      <c r="L104"/>
    </row>
    <row r="105" spans="3:12" x14ac:dyDescent="0.3">
      <c r="D105"/>
      <c r="E105"/>
      <c r="F105"/>
      <c r="G105"/>
      <c r="H105"/>
      <c r="I105"/>
      <c r="J105"/>
      <c r="K105"/>
      <c r="L105"/>
    </row>
    <row r="106" spans="3:12" x14ac:dyDescent="0.3">
      <c r="D106"/>
      <c r="E106"/>
      <c r="F106"/>
      <c r="G106"/>
      <c r="H106"/>
      <c r="I106"/>
      <c r="J106"/>
      <c r="K106"/>
      <c r="L106"/>
    </row>
    <row r="107" spans="3:12" x14ac:dyDescent="0.3">
      <c r="I107"/>
      <c r="J107"/>
      <c r="K107"/>
      <c r="L107"/>
    </row>
    <row r="108" spans="3:12" x14ac:dyDescent="0.3">
      <c r="I108"/>
      <c r="J108"/>
      <c r="K108"/>
      <c r="L108"/>
    </row>
    <row r="109" spans="3:12" x14ac:dyDescent="0.3">
      <c r="I109"/>
      <c r="J109"/>
      <c r="K109"/>
      <c r="L109"/>
    </row>
    <row r="110" spans="3:12" x14ac:dyDescent="0.3">
      <c r="I110"/>
      <c r="J110"/>
      <c r="K110"/>
      <c r="L110"/>
    </row>
    <row r="111" spans="3:12" x14ac:dyDescent="0.3">
      <c r="I111"/>
      <c r="J111"/>
      <c r="K111"/>
      <c r="L111"/>
    </row>
    <row r="112" spans="3:12" x14ac:dyDescent="0.3">
      <c r="I112"/>
      <c r="J112"/>
      <c r="K112"/>
      <c r="L112"/>
    </row>
    <row r="113" spans="9:12" x14ac:dyDescent="0.3">
      <c r="I113"/>
      <c r="J113"/>
      <c r="K113"/>
      <c r="L113"/>
    </row>
    <row r="114" spans="9:12" x14ac:dyDescent="0.3">
      <c r="I114"/>
      <c r="J114"/>
      <c r="K114"/>
      <c r="L114"/>
    </row>
    <row r="115" spans="9:12" x14ac:dyDescent="0.3">
      <c r="I115"/>
      <c r="J115"/>
      <c r="K115"/>
      <c r="L115"/>
    </row>
    <row r="116" spans="9:12" x14ac:dyDescent="0.3">
      <c r="I116"/>
      <c r="J116"/>
      <c r="K116"/>
      <c r="L116"/>
    </row>
    <row r="117" spans="9:12" x14ac:dyDescent="0.3">
      <c r="I117"/>
      <c r="J117"/>
      <c r="K117"/>
      <c r="L117"/>
    </row>
    <row r="118" spans="9:12" x14ac:dyDescent="0.3">
      <c r="I118"/>
      <c r="J118"/>
      <c r="K118"/>
      <c r="L118"/>
    </row>
    <row r="119" spans="9:12" x14ac:dyDescent="0.3">
      <c r="I119"/>
      <c r="J119"/>
      <c r="K119"/>
      <c r="L119"/>
    </row>
    <row r="120" spans="9:12" x14ac:dyDescent="0.3">
      <c r="I120"/>
      <c r="J120"/>
      <c r="K120"/>
      <c r="L120"/>
    </row>
    <row r="121" spans="9:12" x14ac:dyDescent="0.3">
      <c r="I121"/>
      <c r="J121"/>
      <c r="K121"/>
      <c r="L121"/>
    </row>
    <row r="122" spans="9:12" x14ac:dyDescent="0.3">
      <c r="I122"/>
      <c r="J122"/>
      <c r="K122"/>
      <c r="L122"/>
    </row>
    <row r="123" spans="9:12" x14ac:dyDescent="0.3">
      <c r="I123"/>
      <c r="J123"/>
      <c r="K123"/>
      <c r="L123"/>
    </row>
    <row r="124" spans="9:12" x14ac:dyDescent="0.3">
      <c r="J124"/>
      <c r="K124"/>
      <c r="L124"/>
    </row>
  </sheetData>
  <sortState xmlns:xlrd2="http://schemas.microsoft.com/office/spreadsheetml/2017/richdata2" ref="AI14:AI15">
    <sortCondition ref="AI14"/>
  </sortState>
  <mergeCells count="39">
    <mergeCell ref="X30:X33"/>
    <mergeCell ref="Z24:Z27"/>
    <mergeCell ref="Z30:Z33"/>
    <mergeCell ref="X24:X27"/>
    <mergeCell ref="X12:Y12"/>
    <mergeCell ref="X13:Y13"/>
    <mergeCell ref="X14:Y14"/>
    <mergeCell ref="X15:Y15"/>
    <mergeCell ref="X16:Y16"/>
    <mergeCell ref="X17:Y17"/>
    <mergeCell ref="X18:Y18"/>
    <mergeCell ref="X19:Y19"/>
    <mergeCell ref="S5:S8"/>
    <mergeCell ref="S23:S28"/>
    <mergeCell ref="S29:S34"/>
    <mergeCell ref="S36:T37"/>
    <mergeCell ref="U36:V36"/>
    <mergeCell ref="U57:V57"/>
    <mergeCell ref="U50:V50"/>
    <mergeCell ref="U51:V51"/>
    <mergeCell ref="U52:V52"/>
    <mergeCell ref="U53:V53"/>
    <mergeCell ref="U54:V54"/>
    <mergeCell ref="U43:V43"/>
    <mergeCell ref="U44:V44"/>
    <mergeCell ref="W24:W25"/>
    <mergeCell ref="U55:V55"/>
    <mergeCell ref="U56:V56"/>
    <mergeCell ref="U47:V47"/>
    <mergeCell ref="U48:V48"/>
    <mergeCell ref="U49:V49"/>
    <mergeCell ref="U41:V41"/>
    <mergeCell ref="U46:V46"/>
    <mergeCell ref="U42:V42"/>
    <mergeCell ref="U45:V45"/>
    <mergeCell ref="U37:V37"/>
    <mergeCell ref="U38:V38"/>
    <mergeCell ref="U39:V39"/>
    <mergeCell ref="U40:V40"/>
  </mergeCells>
  <printOptions horizontalCentered="1"/>
  <pageMargins left="0.5" right="0.5" top="0.5" bottom="0.5" header="0.3" footer="0.3"/>
  <pageSetup scale="70" orientation="portrait" r:id="rId1"/>
  <headerFooter>
    <oddHeader>&amp;R&amp;D</oddHeader>
    <oddFooter>&amp;L&amp;F</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8"/>
  <sheetViews>
    <sheetView workbookViewId="0">
      <pane xSplit="2" ySplit="5" topLeftCell="C6" activePane="bottomRight" state="frozen"/>
      <selection pane="topRight" activeCell="C1" sqref="C1"/>
      <selection pane="bottomLeft" activeCell="A6" sqref="A6"/>
      <selection pane="bottomRight" activeCell="L8" sqref="L8:P15"/>
    </sheetView>
  </sheetViews>
  <sheetFormatPr defaultColWidth="9.109375" defaultRowHeight="14.4" x14ac:dyDescent="0.3"/>
  <cols>
    <col min="2" max="2" width="17.44140625" customWidth="1"/>
    <col min="3" max="3" width="19.88671875" customWidth="1"/>
    <col min="4" max="4" width="13.44140625" customWidth="1"/>
    <col min="5" max="5" width="10.109375" customWidth="1"/>
    <col min="6" max="6" width="11.33203125" customWidth="1"/>
    <col min="7" max="7" width="10.6640625" style="11" customWidth="1"/>
    <col min="8" max="8" width="16" style="11" customWidth="1"/>
    <col min="9" max="9" width="9.109375" customWidth="1"/>
    <col min="10" max="10" width="11.44140625" customWidth="1"/>
    <col min="11" max="11" width="9.88671875" customWidth="1"/>
  </cols>
  <sheetData>
    <row r="1" spans="1:18" s="43" customFormat="1" ht="18" x14ac:dyDescent="0.35">
      <c r="A1" s="3" t="str">
        <f>Summary!A1</f>
        <v>Upper Columbia River Spring Chinook</v>
      </c>
      <c r="B1" s="1"/>
      <c r="C1" s="3"/>
      <c r="D1" s="1"/>
      <c r="E1" s="1"/>
      <c r="F1" s="1"/>
      <c r="G1" s="38"/>
      <c r="H1" s="38"/>
      <c r="I1" s="1"/>
      <c r="J1" s="1"/>
    </row>
    <row r="2" spans="1:18" s="43" customFormat="1" x14ac:dyDescent="0.3">
      <c r="A2" s="1" t="s">
        <v>47</v>
      </c>
      <c r="B2" s="1"/>
      <c r="C2" s="1"/>
      <c r="D2" s="1"/>
      <c r="E2" s="1"/>
      <c r="F2" s="1"/>
      <c r="G2" s="38"/>
      <c r="H2" s="38"/>
      <c r="I2" s="1"/>
      <c r="J2" s="1"/>
    </row>
    <row r="3" spans="1:18" s="7" customFormat="1" x14ac:dyDescent="0.3">
      <c r="A3" s="24"/>
      <c r="B3" s="24"/>
      <c r="C3" s="24"/>
      <c r="D3" s="24"/>
      <c r="E3" s="15" t="s">
        <v>25</v>
      </c>
      <c r="F3" s="25"/>
      <c r="G3" s="41" t="s">
        <v>10</v>
      </c>
      <c r="H3" s="41"/>
      <c r="I3" s="15"/>
      <c r="J3" s="15"/>
    </row>
    <row r="4" spans="1:18" s="7" customFormat="1" x14ac:dyDescent="0.3">
      <c r="A4" s="26" t="s">
        <v>6</v>
      </c>
      <c r="B4" s="26" t="s">
        <v>53</v>
      </c>
      <c r="C4" s="26" t="s">
        <v>54</v>
      </c>
      <c r="D4" s="26"/>
      <c r="E4" s="16" t="s">
        <v>3</v>
      </c>
      <c r="F4" s="16" t="s">
        <v>4</v>
      </c>
      <c r="G4" s="42" t="s">
        <v>44</v>
      </c>
      <c r="H4" s="42" t="s">
        <v>44</v>
      </c>
      <c r="I4" s="16" t="s">
        <v>45</v>
      </c>
      <c r="J4" s="16" t="s">
        <v>46</v>
      </c>
      <c r="L4" s="71" t="s">
        <v>70</v>
      </c>
      <c r="M4" s="7" t="s">
        <v>71</v>
      </c>
      <c r="N4" s="7" t="s">
        <v>72</v>
      </c>
      <c r="O4" s="7" t="s">
        <v>79</v>
      </c>
      <c r="R4" s="7" t="s">
        <v>66</v>
      </c>
    </row>
    <row r="5" spans="1:18" s="7" customFormat="1" x14ac:dyDescent="0.3">
      <c r="A5" s="26"/>
      <c r="B5" s="26"/>
      <c r="C5" s="26"/>
      <c r="D5" s="26"/>
      <c r="E5" s="16" t="s">
        <v>64</v>
      </c>
      <c r="F5" s="16" t="s">
        <v>65</v>
      </c>
      <c r="G5" s="42" t="s">
        <v>55</v>
      </c>
      <c r="H5" s="42"/>
      <c r="I5" s="16"/>
      <c r="J5" s="16"/>
    </row>
    <row r="6" spans="1:18" x14ac:dyDescent="0.3">
      <c r="A6" t="s">
        <v>52</v>
      </c>
      <c r="C6" s="67"/>
      <c r="D6" s="67"/>
      <c r="E6" s="11"/>
      <c r="F6" s="11"/>
    </row>
    <row r="7" spans="1:18" x14ac:dyDescent="0.3">
      <c r="C7" s="68"/>
      <c r="D7" s="8"/>
      <c r="E7" s="44"/>
      <c r="F7" s="44"/>
      <c r="G7" s="44"/>
      <c r="H7" s="44"/>
      <c r="I7" s="44"/>
      <c r="J7" s="44"/>
      <c r="K7" s="44"/>
      <c r="L7" s="44"/>
      <c r="M7" s="44"/>
      <c r="N7" s="44"/>
      <c r="O7" s="44"/>
      <c r="P7" s="44"/>
      <c r="Q7" s="44"/>
    </row>
    <row r="8" spans="1:18" x14ac:dyDescent="0.3">
      <c r="C8" s="67"/>
      <c r="D8" s="67"/>
      <c r="E8" s="44"/>
      <c r="F8" s="44"/>
      <c r="G8" s="44"/>
      <c r="H8" s="44"/>
      <c r="I8" s="44"/>
      <c r="J8" s="44"/>
      <c r="K8" s="44"/>
      <c r="L8" s="208"/>
      <c r="M8" s="209"/>
      <c r="N8" s="552" t="s">
        <v>222</v>
      </c>
      <c r="O8" s="553"/>
      <c r="P8" s="554"/>
      <c r="Q8" s="44"/>
    </row>
    <row r="9" spans="1:18" x14ac:dyDescent="0.3">
      <c r="C9" s="68"/>
      <c r="D9" s="8"/>
      <c r="E9" s="44"/>
      <c r="F9" s="44"/>
      <c r="G9" s="44"/>
      <c r="H9" s="44"/>
      <c r="I9" s="44"/>
      <c r="J9" s="44"/>
      <c r="K9" s="44"/>
      <c r="L9" s="69" t="s">
        <v>67</v>
      </c>
      <c r="M9" s="70"/>
      <c r="N9" s="198" t="s">
        <v>16</v>
      </c>
      <c r="O9" s="26" t="s">
        <v>17</v>
      </c>
      <c r="P9" s="199" t="s">
        <v>18</v>
      </c>
      <c r="Q9" s="44"/>
    </row>
    <row r="10" spans="1:18" x14ac:dyDescent="0.3">
      <c r="C10" s="36"/>
      <c r="D10" s="8"/>
      <c r="E10" s="44"/>
      <c r="F10" s="44"/>
      <c r="G10" s="44"/>
      <c r="H10" s="44"/>
      <c r="I10" s="44"/>
      <c r="J10" s="44"/>
      <c r="K10" s="44"/>
      <c r="L10" s="102" t="s">
        <v>82</v>
      </c>
      <c r="M10" s="219"/>
      <c r="N10" s="320">
        <v>623765</v>
      </c>
      <c r="O10" s="249">
        <v>623765</v>
      </c>
      <c r="P10" s="321">
        <v>623765</v>
      </c>
      <c r="Q10" s="44"/>
    </row>
    <row r="11" spans="1:18" s="44" customFormat="1" x14ac:dyDescent="0.3">
      <c r="L11" s="86" t="s">
        <v>85</v>
      </c>
      <c r="M11" s="75"/>
      <c r="N11" s="322">
        <v>200000</v>
      </c>
      <c r="O11" s="121">
        <v>200000</v>
      </c>
      <c r="P11" s="200">
        <v>200000</v>
      </c>
    </row>
    <row r="12" spans="1:18" x14ac:dyDescent="0.3">
      <c r="E12" s="44"/>
      <c r="F12" s="44"/>
      <c r="G12" s="44"/>
      <c r="H12" s="44"/>
      <c r="I12" s="44"/>
      <c r="J12" s="44"/>
      <c r="K12" s="44"/>
      <c r="L12" s="86" t="s">
        <v>83</v>
      </c>
      <c r="M12" s="75"/>
      <c r="N12" s="322">
        <v>1567696</v>
      </c>
      <c r="O12" s="121">
        <v>1567696</v>
      </c>
      <c r="P12" s="200">
        <v>1567696</v>
      </c>
      <c r="Q12" s="44"/>
    </row>
    <row r="13" spans="1:18" x14ac:dyDescent="0.3">
      <c r="A13" t="s">
        <v>46</v>
      </c>
      <c r="C13" s="67"/>
      <c r="D13" s="67"/>
      <c r="E13" s="44"/>
      <c r="F13" s="44"/>
      <c r="G13" s="44"/>
      <c r="H13" s="44"/>
      <c r="I13" s="44"/>
      <c r="J13" s="44"/>
      <c r="K13" s="44"/>
      <c r="L13" s="86" t="s">
        <v>120</v>
      </c>
      <c r="M13" s="75"/>
      <c r="N13" s="322">
        <v>700000</v>
      </c>
      <c r="O13" s="121">
        <v>700000</v>
      </c>
      <c r="P13" s="200">
        <v>700000</v>
      </c>
      <c r="Q13" s="44"/>
    </row>
    <row r="14" spans="1:18" x14ac:dyDescent="0.3">
      <c r="C14" s="68"/>
      <c r="D14" s="8"/>
      <c r="E14" s="44"/>
      <c r="F14" s="44"/>
      <c r="G14" s="44"/>
      <c r="H14" s="44"/>
      <c r="I14" s="44"/>
      <c r="J14" s="44"/>
      <c r="K14" s="44"/>
      <c r="L14" s="94" t="s">
        <v>246</v>
      </c>
      <c r="M14" s="220"/>
      <c r="N14" s="323">
        <f>ROUND(HarvestGoals_Calc!C16/Summary!$AG$48,-3)</f>
        <v>677000</v>
      </c>
      <c r="O14" s="228">
        <f>ROUND(HarvestGoals_Calc!C19/Summary!AG48,-3)</f>
        <v>4465000</v>
      </c>
      <c r="P14" s="324">
        <f>ROUND(HarvestGoals_Calc!C22/Summary!AG48,-3)</f>
        <v>13531000</v>
      </c>
      <c r="Q14" s="44"/>
    </row>
    <row r="15" spans="1:18" ht="15" thickBot="1" x14ac:dyDescent="0.35">
      <c r="C15" s="67"/>
      <c r="D15" s="67"/>
      <c r="E15" s="44"/>
      <c r="F15" s="44"/>
      <c r="G15" s="44"/>
      <c r="H15" s="44"/>
      <c r="I15" s="44"/>
      <c r="J15" s="44"/>
      <c r="K15" s="44"/>
      <c r="L15" s="69" t="s">
        <v>113</v>
      </c>
      <c r="M15" s="70"/>
      <c r="N15" s="201">
        <f>SUM(N10:N14)</f>
        <v>3768461</v>
      </c>
      <c r="O15" s="202">
        <f>SUM(O10:O14)</f>
        <v>7556461</v>
      </c>
      <c r="P15" s="203">
        <f>SUM(P10:P14)</f>
        <v>16622461</v>
      </c>
      <c r="Q15" s="44"/>
    </row>
    <row r="16" spans="1:18" x14ac:dyDescent="0.3">
      <c r="C16" s="68"/>
      <c r="E16" s="44"/>
      <c r="F16" s="44"/>
      <c r="G16" s="44"/>
      <c r="H16" s="44"/>
      <c r="I16" s="44"/>
      <c r="J16" s="44"/>
      <c r="K16" s="44"/>
      <c r="L16" s="44"/>
      <c r="M16" s="44"/>
      <c r="N16" s="44"/>
      <c r="O16" s="44"/>
      <c r="P16" s="44"/>
      <c r="Q16" s="44"/>
    </row>
    <row r="17" spans="2:17" x14ac:dyDescent="0.3">
      <c r="C17" s="67"/>
      <c r="D17" s="67"/>
      <c r="E17" s="44"/>
      <c r="F17" s="44"/>
      <c r="G17" s="44"/>
      <c r="H17" s="44"/>
      <c r="I17" s="44"/>
      <c r="J17" s="44"/>
      <c r="K17" s="44"/>
      <c r="L17" s="44"/>
      <c r="M17" s="44"/>
      <c r="N17" s="44"/>
      <c r="O17" s="44"/>
      <c r="P17" s="44"/>
      <c r="Q17" s="44"/>
    </row>
    <row r="18" spans="2:17" x14ac:dyDescent="0.3">
      <c r="C18" s="67"/>
      <c r="D18" s="67"/>
      <c r="E18" s="44"/>
      <c r="F18" s="44"/>
      <c r="G18" s="44"/>
      <c r="H18" s="44"/>
      <c r="I18" s="44"/>
      <c r="J18" s="44"/>
      <c r="K18" s="44"/>
      <c r="L18" s="44"/>
      <c r="M18" s="44"/>
      <c r="N18" s="44"/>
      <c r="O18" s="44"/>
      <c r="P18" s="44"/>
      <c r="Q18" s="44"/>
    </row>
    <row r="19" spans="2:17" x14ac:dyDescent="0.3">
      <c r="C19" s="68"/>
      <c r="D19" s="8"/>
      <c r="E19" s="44"/>
      <c r="F19" s="44"/>
      <c r="G19" s="44"/>
      <c r="H19" s="44"/>
      <c r="I19" s="44"/>
      <c r="J19" s="44"/>
      <c r="K19" s="44"/>
      <c r="L19" s="44"/>
      <c r="M19" s="44"/>
      <c r="N19" s="44"/>
      <c r="O19" s="44"/>
      <c r="P19" s="44"/>
      <c r="Q19" s="44"/>
    </row>
    <row r="20" spans="2:17" x14ac:dyDescent="0.3">
      <c r="C20" s="68"/>
      <c r="D20" s="8"/>
      <c r="E20" s="44"/>
      <c r="F20" s="44"/>
      <c r="G20" s="44"/>
      <c r="H20" s="44"/>
      <c r="I20" s="44"/>
      <c r="J20" s="44"/>
      <c r="K20" s="44"/>
      <c r="L20" s="44"/>
      <c r="M20" s="44"/>
      <c r="N20" s="44"/>
      <c r="O20" s="44"/>
      <c r="P20" s="44"/>
      <c r="Q20" s="44"/>
    </row>
    <row r="21" spans="2:17" x14ac:dyDescent="0.3">
      <c r="B21" t="s">
        <v>111</v>
      </c>
      <c r="C21" s="68"/>
      <c r="D21" s="8"/>
      <c r="E21" s="44"/>
      <c r="F21" s="44"/>
      <c r="G21" s="44"/>
      <c r="H21" s="44"/>
      <c r="I21" s="44"/>
      <c r="J21" s="44"/>
      <c r="K21" s="44"/>
      <c r="L21" s="44"/>
      <c r="M21" s="44"/>
      <c r="N21" s="44"/>
      <c r="O21" s="44"/>
      <c r="P21" s="44"/>
      <c r="Q21" s="44"/>
    </row>
    <row r="22" spans="2:17" x14ac:dyDescent="0.3">
      <c r="B22" s="101" t="s">
        <v>108</v>
      </c>
      <c r="C22" s="101" t="s">
        <v>109</v>
      </c>
      <c r="G22"/>
      <c r="H22"/>
    </row>
    <row r="23" spans="2:17" x14ac:dyDescent="0.3">
      <c r="B23" s="101" t="s">
        <v>110</v>
      </c>
      <c r="C23">
        <v>2013</v>
      </c>
      <c r="D23">
        <v>2014</v>
      </c>
      <c r="E23">
        <v>2015</v>
      </c>
      <c r="F23">
        <v>2016</v>
      </c>
      <c r="G23">
        <v>2017</v>
      </c>
      <c r="H23" t="s">
        <v>92</v>
      </c>
    </row>
    <row r="24" spans="2:17" x14ac:dyDescent="0.3">
      <c r="B24" s="100" t="s">
        <v>95</v>
      </c>
      <c r="C24" s="11">
        <v>917989</v>
      </c>
      <c r="D24" s="11">
        <v>806014</v>
      </c>
      <c r="E24" s="11">
        <v>656848</v>
      </c>
      <c r="F24" s="11">
        <v>680662</v>
      </c>
      <c r="G24" s="11">
        <v>589823</v>
      </c>
      <c r="H24" s="11">
        <v>3651336</v>
      </c>
      <c r="J24" s="11">
        <f>AVERAGE(C24:G24)</f>
        <v>730267.2</v>
      </c>
    </row>
    <row r="25" spans="2:17" x14ac:dyDescent="0.3">
      <c r="B25" s="100" t="s">
        <v>96</v>
      </c>
      <c r="C25" s="11"/>
      <c r="D25" s="11"/>
      <c r="E25" s="11">
        <v>196917</v>
      </c>
      <c r="F25" s="11">
        <v>203311</v>
      </c>
      <c r="G25" s="11">
        <v>201821</v>
      </c>
      <c r="H25" s="11">
        <v>602049</v>
      </c>
      <c r="J25" s="11">
        <f t="shared" ref="J25:J27" si="0">AVERAGE(C25:G25)</f>
        <v>200683</v>
      </c>
    </row>
    <row r="26" spans="2:17" x14ac:dyDescent="0.3">
      <c r="B26" s="100" t="s">
        <v>119</v>
      </c>
      <c r="C26" s="11"/>
      <c r="D26" s="11"/>
      <c r="E26" s="11">
        <v>514596</v>
      </c>
      <c r="F26" s="11">
        <v>526136</v>
      </c>
      <c r="G26" s="11">
        <v>743996</v>
      </c>
      <c r="H26" s="11">
        <v>1784728</v>
      </c>
      <c r="J26" s="11">
        <f t="shared" si="0"/>
        <v>594909.33333333337</v>
      </c>
    </row>
    <row r="27" spans="2:17" x14ac:dyDescent="0.3">
      <c r="B27" s="100" t="s">
        <v>97</v>
      </c>
      <c r="C27" s="11">
        <v>1709041</v>
      </c>
      <c r="D27" s="11">
        <v>1559065</v>
      </c>
      <c r="E27" s="11">
        <v>1375502</v>
      </c>
      <c r="F27" s="11">
        <v>1367608</v>
      </c>
      <c r="G27" s="11">
        <v>1538451</v>
      </c>
      <c r="H27" s="11">
        <v>7549667</v>
      </c>
      <c r="J27" s="11">
        <f t="shared" si="0"/>
        <v>1509933.4</v>
      </c>
    </row>
    <row r="28" spans="2:17" x14ac:dyDescent="0.3">
      <c r="B28" s="100" t="s">
        <v>92</v>
      </c>
      <c r="C28">
        <v>2627030</v>
      </c>
      <c r="D28">
        <v>2365079</v>
      </c>
      <c r="E28">
        <v>2743863</v>
      </c>
      <c r="F28">
        <v>2777717</v>
      </c>
      <c r="G28">
        <v>3074091</v>
      </c>
      <c r="H28">
        <v>13587780</v>
      </c>
    </row>
  </sheetData>
  <mergeCells count="1">
    <mergeCell ref="N8:P8"/>
  </mergeCell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F5CBD-C238-47D2-BA92-7D51218EAE4A}">
  <dimension ref="A1:P26"/>
  <sheetViews>
    <sheetView topLeftCell="E1" workbookViewId="0">
      <selection activeCell="U8" sqref="U8"/>
    </sheetView>
  </sheetViews>
  <sheetFormatPr defaultRowHeight="14.4" x14ac:dyDescent="0.3"/>
  <cols>
    <col min="1" max="1" width="4.44140625" customWidth="1"/>
    <col min="2" max="2" width="28.88671875" customWidth="1"/>
    <col min="3" max="3" width="17.21875" customWidth="1"/>
    <col min="4" max="4" width="20.21875" customWidth="1"/>
    <col min="7" max="7" width="22.21875" customWidth="1"/>
    <col min="8" max="8" width="16.6640625" customWidth="1"/>
    <col min="9" max="9" width="20.5546875" customWidth="1"/>
    <col min="10" max="10" width="16.44140625" style="8" customWidth="1"/>
    <col min="11" max="11" width="22.109375" style="8" customWidth="1"/>
    <col min="12" max="12" width="15.33203125" customWidth="1"/>
    <col min="13" max="13" width="19.21875" customWidth="1"/>
    <col min="14" max="14" width="39.109375" customWidth="1"/>
  </cols>
  <sheetData>
    <row r="1" spans="1:16" x14ac:dyDescent="0.3">
      <c r="A1" s="353"/>
      <c r="B1" s="353" t="s">
        <v>342</v>
      </c>
      <c r="C1" s="353" t="s">
        <v>343</v>
      </c>
      <c r="D1" s="353" t="s">
        <v>344</v>
      </c>
      <c r="E1" s="353" t="s">
        <v>345</v>
      </c>
      <c r="F1" s="354" t="s">
        <v>346</v>
      </c>
      <c r="G1" s="354" t="s">
        <v>6</v>
      </c>
      <c r="H1" s="354" t="s">
        <v>347</v>
      </c>
      <c r="I1" s="353" t="s">
        <v>348</v>
      </c>
      <c r="J1" s="354" t="s">
        <v>349</v>
      </c>
      <c r="K1" s="354" t="s">
        <v>350</v>
      </c>
      <c r="L1" s="353" t="s">
        <v>351</v>
      </c>
      <c r="M1" s="353" t="s">
        <v>352</v>
      </c>
      <c r="N1" s="353" t="s">
        <v>353</v>
      </c>
    </row>
    <row r="2" spans="1:16" x14ac:dyDescent="0.3">
      <c r="B2" t="s">
        <v>354</v>
      </c>
      <c r="C2" t="s">
        <v>69</v>
      </c>
      <c r="D2" t="s">
        <v>82</v>
      </c>
      <c r="E2" t="s">
        <v>81</v>
      </c>
      <c r="F2" s="11">
        <f>Summary!U5</f>
        <v>430</v>
      </c>
      <c r="G2" t="s">
        <v>443</v>
      </c>
      <c r="H2" t="s">
        <v>359</v>
      </c>
      <c r="I2" t="s">
        <v>364</v>
      </c>
      <c r="J2" s="8" t="s">
        <v>358</v>
      </c>
      <c r="K2" s="8" t="s">
        <v>363</v>
      </c>
      <c r="L2" t="s">
        <v>360</v>
      </c>
      <c r="M2" s="356" t="s">
        <v>361</v>
      </c>
      <c r="N2" t="s">
        <v>362</v>
      </c>
    </row>
    <row r="3" spans="1:16" x14ac:dyDescent="0.3">
      <c r="B3" t="s">
        <v>354</v>
      </c>
      <c r="C3" t="s">
        <v>69</v>
      </c>
      <c r="D3" t="s">
        <v>83</v>
      </c>
      <c r="E3" t="s">
        <v>81</v>
      </c>
      <c r="F3" s="11">
        <f>Summary!U6</f>
        <v>680</v>
      </c>
      <c r="G3" t="s">
        <v>443</v>
      </c>
      <c r="H3" t="s">
        <v>359</v>
      </c>
      <c r="I3" t="s">
        <v>364</v>
      </c>
      <c r="J3" s="8" t="s">
        <v>358</v>
      </c>
      <c r="K3" s="8" t="s">
        <v>363</v>
      </c>
      <c r="L3" t="s">
        <v>360</v>
      </c>
      <c r="M3" s="356" t="s">
        <v>361</v>
      </c>
      <c r="N3" t="s">
        <v>362</v>
      </c>
    </row>
    <row r="4" spans="1:16" x14ac:dyDescent="0.3">
      <c r="B4" t="s">
        <v>354</v>
      </c>
      <c r="C4" t="s">
        <v>69</v>
      </c>
      <c r="D4" s="176" t="s">
        <v>84</v>
      </c>
      <c r="E4" t="s">
        <v>81</v>
      </c>
      <c r="F4" s="11">
        <f>Summary!U7</f>
        <v>220</v>
      </c>
      <c r="G4" t="s">
        <v>443</v>
      </c>
      <c r="H4" t="s">
        <v>359</v>
      </c>
      <c r="I4" t="s">
        <v>364</v>
      </c>
      <c r="J4" s="8" t="s">
        <v>358</v>
      </c>
      <c r="K4" s="8" t="s">
        <v>363</v>
      </c>
      <c r="L4" t="s">
        <v>360</v>
      </c>
      <c r="M4" s="356" t="s">
        <v>361</v>
      </c>
      <c r="N4" t="s">
        <v>362</v>
      </c>
    </row>
    <row r="5" spans="1:16" x14ac:dyDescent="0.3">
      <c r="B5" t="s">
        <v>354</v>
      </c>
      <c r="C5" t="s">
        <v>69</v>
      </c>
      <c r="D5" t="s">
        <v>328</v>
      </c>
      <c r="E5" t="s">
        <v>81</v>
      </c>
      <c r="F5" s="11">
        <f>Summary!U8</f>
        <v>100</v>
      </c>
      <c r="G5" t="s">
        <v>365</v>
      </c>
      <c r="I5" t="s">
        <v>374</v>
      </c>
      <c r="J5" s="8" t="s">
        <v>367</v>
      </c>
      <c r="K5" s="8" t="s">
        <v>363</v>
      </c>
      <c r="L5" t="s">
        <v>370</v>
      </c>
      <c r="M5" s="356" t="s">
        <v>371</v>
      </c>
      <c r="N5" t="s">
        <v>376</v>
      </c>
      <c r="O5" t="s">
        <v>369</v>
      </c>
      <c r="P5" s="356" t="s">
        <v>368</v>
      </c>
    </row>
    <row r="6" spans="1:16" s="215" customFormat="1" x14ac:dyDescent="0.3">
      <c r="B6" s="215" t="s">
        <v>354</v>
      </c>
      <c r="C6" s="215" t="s">
        <v>69</v>
      </c>
      <c r="D6" s="215" t="s">
        <v>336</v>
      </c>
      <c r="E6" s="215" t="s">
        <v>81</v>
      </c>
      <c r="F6" s="206">
        <f>Summary!U9</f>
        <v>0</v>
      </c>
      <c r="G6" s="215" t="s">
        <v>365</v>
      </c>
      <c r="I6" s="215" t="s">
        <v>366</v>
      </c>
      <c r="J6" s="223" t="s">
        <v>367</v>
      </c>
      <c r="K6" s="223" t="s">
        <v>363</v>
      </c>
      <c r="L6" s="215" t="s">
        <v>370</v>
      </c>
    </row>
    <row r="7" spans="1:16" x14ac:dyDescent="0.3">
      <c r="B7" t="s">
        <v>354</v>
      </c>
      <c r="C7" t="s">
        <v>69</v>
      </c>
      <c r="D7" t="s">
        <v>82</v>
      </c>
      <c r="E7" t="s">
        <v>4</v>
      </c>
      <c r="F7" s="11">
        <f>Summary!V5</f>
        <v>24000</v>
      </c>
      <c r="G7" t="s">
        <v>365</v>
      </c>
      <c r="I7" t="s">
        <v>445</v>
      </c>
      <c r="J7" s="8" t="s">
        <v>395</v>
      </c>
      <c r="K7" s="8" t="s">
        <v>363</v>
      </c>
      <c r="L7" t="s">
        <v>370</v>
      </c>
      <c r="N7" t="s">
        <v>396</v>
      </c>
    </row>
    <row r="8" spans="1:16" x14ac:dyDescent="0.3">
      <c r="B8" t="s">
        <v>354</v>
      </c>
      <c r="C8" t="s">
        <v>69</v>
      </c>
      <c r="D8" t="s">
        <v>83</v>
      </c>
      <c r="E8" t="s">
        <v>4</v>
      </c>
      <c r="F8" s="11">
        <f>Summary!V6</f>
        <v>20650</v>
      </c>
      <c r="G8" t="s">
        <v>365</v>
      </c>
      <c r="I8" t="s">
        <v>445</v>
      </c>
      <c r="J8" s="8" t="s">
        <v>395</v>
      </c>
      <c r="K8" s="8" t="s">
        <v>363</v>
      </c>
      <c r="L8" t="s">
        <v>370</v>
      </c>
      <c r="N8" t="s">
        <v>375</v>
      </c>
    </row>
    <row r="9" spans="1:16" x14ac:dyDescent="0.3">
      <c r="B9" t="s">
        <v>354</v>
      </c>
      <c r="C9" t="s">
        <v>69</v>
      </c>
      <c r="D9" s="176" t="s">
        <v>84</v>
      </c>
      <c r="E9" t="s">
        <v>4</v>
      </c>
      <c r="F9" s="11">
        <f>Summary!V7</f>
        <v>3400</v>
      </c>
      <c r="G9" t="s">
        <v>365</v>
      </c>
      <c r="I9" t="s">
        <v>445</v>
      </c>
      <c r="J9" s="8" t="s">
        <v>395</v>
      </c>
      <c r="K9" s="8" t="s">
        <v>363</v>
      </c>
      <c r="L9" t="s">
        <v>370</v>
      </c>
      <c r="N9" t="s">
        <v>396</v>
      </c>
    </row>
    <row r="10" spans="1:16" x14ac:dyDescent="0.3">
      <c r="B10" t="s">
        <v>354</v>
      </c>
      <c r="C10" t="s">
        <v>69</v>
      </c>
      <c r="D10" t="s">
        <v>328</v>
      </c>
      <c r="E10" t="s">
        <v>4</v>
      </c>
      <c r="F10" s="11">
        <f>Summary!V8</f>
        <v>14100</v>
      </c>
      <c r="G10" t="s">
        <v>365</v>
      </c>
      <c r="I10" t="s">
        <v>445</v>
      </c>
      <c r="J10" s="8" t="s">
        <v>395</v>
      </c>
      <c r="K10" s="8" t="s">
        <v>363</v>
      </c>
      <c r="L10" t="s">
        <v>370</v>
      </c>
      <c r="N10" t="s">
        <v>396</v>
      </c>
    </row>
    <row r="11" spans="1:16" s="215" customFormat="1" x14ac:dyDescent="0.3">
      <c r="B11" s="215" t="s">
        <v>354</v>
      </c>
      <c r="C11" s="215" t="s">
        <v>69</v>
      </c>
      <c r="D11" s="215" t="s">
        <v>336</v>
      </c>
      <c r="E11" s="215" t="s">
        <v>4</v>
      </c>
      <c r="F11" s="206">
        <f>Summary!V9</f>
        <v>197300</v>
      </c>
      <c r="G11" s="215" t="s">
        <v>365</v>
      </c>
      <c r="I11" t="s">
        <v>445</v>
      </c>
      <c r="J11" s="223" t="s">
        <v>395</v>
      </c>
      <c r="K11" s="223" t="s">
        <v>363</v>
      </c>
      <c r="L11" s="215" t="s">
        <v>370</v>
      </c>
      <c r="N11" s="215" t="s">
        <v>396</v>
      </c>
    </row>
    <row r="12" spans="1:16" x14ac:dyDescent="0.3">
      <c r="B12" t="s">
        <v>354</v>
      </c>
      <c r="C12" t="s">
        <v>69</v>
      </c>
      <c r="D12" t="s">
        <v>82</v>
      </c>
      <c r="E12" t="s">
        <v>333</v>
      </c>
      <c r="F12" s="11">
        <f>Summary!W5</f>
        <v>2000</v>
      </c>
      <c r="G12" t="s">
        <v>365</v>
      </c>
      <c r="H12" t="s">
        <v>359</v>
      </c>
      <c r="I12" t="s">
        <v>373</v>
      </c>
      <c r="J12" s="8" t="s">
        <v>363</v>
      </c>
      <c r="K12" s="8" t="s">
        <v>379</v>
      </c>
      <c r="L12" t="s">
        <v>372</v>
      </c>
      <c r="M12" s="356" t="s">
        <v>371</v>
      </c>
    </row>
    <row r="13" spans="1:16" x14ac:dyDescent="0.3">
      <c r="B13" t="s">
        <v>354</v>
      </c>
      <c r="C13" t="s">
        <v>69</v>
      </c>
      <c r="D13" t="s">
        <v>83</v>
      </c>
      <c r="E13" t="s">
        <v>333</v>
      </c>
      <c r="F13" s="11">
        <f>Summary!W6</f>
        <v>2000</v>
      </c>
      <c r="G13" t="s">
        <v>365</v>
      </c>
      <c r="H13" t="s">
        <v>359</v>
      </c>
      <c r="I13" t="s">
        <v>373</v>
      </c>
      <c r="J13" s="8" t="s">
        <v>363</v>
      </c>
      <c r="K13" s="8" t="s">
        <v>379</v>
      </c>
      <c r="L13" t="s">
        <v>372</v>
      </c>
      <c r="M13" s="356" t="s">
        <v>371</v>
      </c>
    </row>
    <row r="14" spans="1:16" x14ac:dyDescent="0.3">
      <c r="B14" t="s">
        <v>354</v>
      </c>
      <c r="C14" t="s">
        <v>69</v>
      </c>
      <c r="D14" s="176" t="s">
        <v>84</v>
      </c>
      <c r="E14" t="s">
        <v>333</v>
      </c>
      <c r="F14" s="11">
        <f>Summary!W7</f>
        <v>500</v>
      </c>
      <c r="G14" t="s">
        <v>365</v>
      </c>
      <c r="H14" t="s">
        <v>359</v>
      </c>
      <c r="I14" t="s">
        <v>373</v>
      </c>
      <c r="J14" s="8" t="s">
        <v>363</v>
      </c>
      <c r="K14" s="8" t="s">
        <v>379</v>
      </c>
      <c r="L14" t="s">
        <v>372</v>
      </c>
      <c r="M14" s="356" t="s">
        <v>371</v>
      </c>
    </row>
    <row r="15" spans="1:16" x14ac:dyDescent="0.3">
      <c r="B15" t="s">
        <v>354</v>
      </c>
      <c r="C15" t="s">
        <v>69</v>
      </c>
      <c r="D15" t="s">
        <v>328</v>
      </c>
      <c r="E15" t="s">
        <v>333</v>
      </c>
      <c r="F15" s="11">
        <f>Summary!W8</f>
        <v>500</v>
      </c>
      <c r="G15" t="s">
        <v>365</v>
      </c>
      <c r="H15" t="s">
        <v>359</v>
      </c>
      <c r="I15" t="s">
        <v>373</v>
      </c>
      <c r="J15" s="8" t="s">
        <v>363</v>
      </c>
      <c r="K15" s="8" t="s">
        <v>380</v>
      </c>
      <c r="L15" t="s">
        <v>370</v>
      </c>
      <c r="N15" t="s">
        <v>377</v>
      </c>
    </row>
    <row r="16" spans="1:16" s="215" customFormat="1" x14ac:dyDescent="0.3">
      <c r="B16" s="215" t="s">
        <v>354</v>
      </c>
      <c r="C16" s="215" t="s">
        <v>69</v>
      </c>
      <c r="D16" s="215" t="s">
        <v>336</v>
      </c>
      <c r="E16" s="215" t="s">
        <v>333</v>
      </c>
      <c r="F16" s="206">
        <f>Summary!W9</f>
        <v>6500</v>
      </c>
      <c r="G16" s="215" t="s">
        <v>365</v>
      </c>
      <c r="H16" s="215" t="s">
        <v>359</v>
      </c>
      <c r="I16" s="215" t="s">
        <v>373</v>
      </c>
      <c r="J16" s="223" t="s">
        <v>363</v>
      </c>
      <c r="K16" s="223" t="s">
        <v>380</v>
      </c>
      <c r="L16" s="215" t="s">
        <v>370</v>
      </c>
      <c r="N16" s="215" t="s">
        <v>394</v>
      </c>
    </row>
    <row r="17" spans="2:14" x14ac:dyDescent="0.3">
      <c r="B17" t="s">
        <v>354</v>
      </c>
      <c r="C17" t="s">
        <v>69</v>
      </c>
      <c r="D17" t="s">
        <v>82</v>
      </c>
      <c r="E17" t="s">
        <v>334</v>
      </c>
      <c r="F17" s="11">
        <f>Summary!X5</f>
        <v>2700</v>
      </c>
      <c r="G17" t="s">
        <v>365</v>
      </c>
      <c r="H17" t="s">
        <v>359</v>
      </c>
      <c r="I17" t="s">
        <v>388</v>
      </c>
      <c r="J17" s="8" t="s">
        <v>363</v>
      </c>
      <c r="K17" s="8" t="s">
        <v>392</v>
      </c>
      <c r="L17" t="s">
        <v>370</v>
      </c>
      <c r="M17" s="356" t="s">
        <v>387</v>
      </c>
      <c r="N17" t="s">
        <v>391</v>
      </c>
    </row>
    <row r="18" spans="2:14" x14ac:dyDescent="0.3">
      <c r="B18" t="s">
        <v>354</v>
      </c>
      <c r="C18" t="s">
        <v>69</v>
      </c>
      <c r="D18" t="s">
        <v>83</v>
      </c>
      <c r="E18" t="s">
        <v>334</v>
      </c>
      <c r="F18" s="11">
        <f>Summary!X6</f>
        <v>2710</v>
      </c>
      <c r="G18" t="s">
        <v>365</v>
      </c>
      <c r="H18" t="s">
        <v>359</v>
      </c>
      <c r="I18" t="s">
        <v>388</v>
      </c>
      <c r="J18" s="8" t="s">
        <v>363</v>
      </c>
      <c r="K18" s="8" t="s">
        <v>444</v>
      </c>
      <c r="L18" t="s">
        <v>370</v>
      </c>
      <c r="M18" s="356" t="s">
        <v>387</v>
      </c>
      <c r="N18" t="s">
        <v>390</v>
      </c>
    </row>
    <row r="19" spans="2:14" x14ac:dyDescent="0.3">
      <c r="B19" t="s">
        <v>354</v>
      </c>
      <c r="C19" t="s">
        <v>69</v>
      </c>
      <c r="D19" s="176" t="s">
        <v>84</v>
      </c>
      <c r="E19" t="s">
        <v>334</v>
      </c>
      <c r="F19" s="11">
        <f>Summary!X7</f>
        <v>680</v>
      </c>
      <c r="G19" t="s">
        <v>365</v>
      </c>
      <c r="H19" t="s">
        <v>359</v>
      </c>
      <c r="I19" t="s">
        <v>388</v>
      </c>
      <c r="J19" s="8" t="s">
        <v>363</v>
      </c>
      <c r="K19" s="8" t="s">
        <v>444</v>
      </c>
      <c r="L19" t="s">
        <v>370</v>
      </c>
      <c r="M19" s="356" t="s">
        <v>387</v>
      </c>
      <c r="N19" t="s">
        <v>385</v>
      </c>
    </row>
    <row r="20" spans="2:14" x14ac:dyDescent="0.3">
      <c r="B20" t="s">
        <v>354</v>
      </c>
      <c r="C20" t="s">
        <v>69</v>
      </c>
      <c r="D20" t="s">
        <v>328</v>
      </c>
      <c r="E20" t="s">
        <v>334</v>
      </c>
      <c r="F20" s="11">
        <f>Summary!X8</f>
        <v>750</v>
      </c>
      <c r="G20" t="s">
        <v>365</v>
      </c>
      <c r="H20" t="s">
        <v>359</v>
      </c>
      <c r="I20" t="s">
        <v>381</v>
      </c>
      <c r="J20" s="8" t="s">
        <v>363</v>
      </c>
      <c r="K20" s="8" t="s">
        <v>382</v>
      </c>
      <c r="L20" t="s">
        <v>370</v>
      </c>
    </row>
    <row r="21" spans="2:14" s="215" customFormat="1" x14ac:dyDescent="0.3">
      <c r="B21" s="215" t="s">
        <v>354</v>
      </c>
      <c r="C21" s="215" t="s">
        <v>69</v>
      </c>
      <c r="D21" s="215" t="s">
        <v>336</v>
      </c>
      <c r="E21" s="215" t="s">
        <v>334</v>
      </c>
      <c r="F21" s="206">
        <f>Summary!X9</f>
        <v>13000</v>
      </c>
      <c r="G21" s="215" t="s">
        <v>365</v>
      </c>
      <c r="H21" s="215" t="s">
        <v>359</v>
      </c>
      <c r="I21" s="215" t="s">
        <v>381</v>
      </c>
      <c r="J21" s="223" t="s">
        <v>363</v>
      </c>
      <c r="K21" s="223" t="s">
        <v>382</v>
      </c>
      <c r="L21" s="215" t="s">
        <v>370</v>
      </c>
      <c r="N21" s="215" t="s">
        <v>384</v>
      </c>
    </row>
    <row r="22" spans="2:14" x14ac:dyDescent="0.3">
      <c r="B22" t="s">
        <v>354</v>
      </c>
      <c r="C22" t="s">
        <v>69</v>
      </c>
      <c r="D22" t="s">
        <v>82</v>
      </c>
      <c r="E22" t="s">
        <v>335</v>
      </c>
      <c r="F22" s="11">
        <f>Summary!Y5</f>
        <v>4050</v>
      </c>
      <c r="G22" t="s">
        <v>365</v>
      </c>
      <c r="H22" t="s">
        <v>359</v>
      </c>
      <c r="I22" t="s">
        <v>389</v>
      </c>
      <c r="J22" s="8" t="s">
        <v>363</v>
      </c>
      <c r="K22" s="8" t="s">
        <v>393</v>
      </c>
      <c r="L22" t="s">
        <v>370</v>
      </c>
      <c r="N22" t="s">
        <v>386</v>
      </c>
    </row>
    <row r="23" spans="2:14" x14ac:dyDescent="0.3">
      <c r="B23" t="s">
        <v>354</v>
      </c>
      <c r="C23" t="s">
        <v>69</v>
      </c>
      <c r="D23" t="s">
        <v>83</v>
      </c>
      <c r="E23" t="s">
        <v>335</v>
      </c>
      <c r="F23" s="11">
        <f>Summary!Y6</f>
        <v>4065</v>
      </c>
      <c r="G23" t="s">
        <v>365</v>
      </c>
      <c r="H23" t="s">
        <v>359</v>
      </c>
      <c r="I23" t="s">
        <v>389</v>
      </c>
      <c r="J23" s="8" t="s">
        <v>363</v>
      </c>
      <c r="K23" s="8" t="s">
        <v>393</v>
      </c>
      <c r="L23" t="s">
        <v>370</v>
      </c>
      <c r="N23" t="s">
        <v>386</v>
      </c>
    </row>
    <row r="24" spans="2:14" x14ac:dyDescent="0.3">
      <c r="B24" t="s">
        <v>354</v>
      </c>
      <c r="C24" t="s">
        <v>69</v>
      </c>
      <c r="D24" s="176" t="s">
        <v>84</v>
      </c>
      <c r="E24" t="s">
        <v>335</v>
      </c>
      <c r="F24" s="11">
        <f>Summary!Y7</f>
        <v>1020</v>
      </c>
      <c r="G24" t="s">
        <v>365</v>
      </c>
      <c r="H24" t="s">
        <v>359</v>
      </c>
      <c r="I24" t="s">
        <v>389</v>
      </c>
      <c r="J24" s="8" t="s">
        <v>363</v>
      </c>
      <c r="K24" s="8" t="s">
        <v>393</v>
      </c>
      <c r="L24" t="s">
        <v>370</v>
      </c>
    </row>
    <row r="25" spans="2:14" x14ac:dyDescent="0.3">
      <c r="B25" t="s">
        <v>354</v>
      </c>
      <c r="C25" t="s">
        <v>69</v>
      </c>
      <c r="D25" t="s">
        <v>328</v>
      </c>
      <c r="E25" t="s">
        <v>335</v>
      </c>
      <c r="F25" s="11">
        <f>Summary!Y8</f>
        <v>1500</v>
      </c>
      <c r="G25" t="s">
        <v>365</v>
      </c>
      <c r="H25" t="s">
        <v>359</v>
      </c>
      <c r="I25" t="s">
        <v>378</v>
      </c>
      <c r="J25" s="8" t="s">
        <v>363</v>
      </c>
      <c r="K25" s="8" t="s">
        <v>383</v>
      </c>
      <c r="L25" t="s">
        <v>370</v>
      </c>
    </row>
    <row r="26" spans="2:14" s="215" customFormat="1" x14ac:dyDescent="0.3">
      <c r="B26" s="215" t="s">
        <v>354</v>
      </c>
      <c r="C26" s="215" t="s">
        <v>69</v>
      </c>
      <c r="D26" s="215" t="s">
        <v>336</v>
      </c>
      <c r="E26" s="215" t="s">
        <v>335</v>
      </c>
      <c r="F26" s="206">
        <f>Summary!Y9</f>
        <v>19500</v>
      </c>
      <c r="G26" s="215" t="s">
        <v>365</v>
      </c>
      <c r="H26" s="215" t="s">
        <v>359</v>
      </c>
      <c r="I26" s="215" t="s">
        <v>378</v>
      </c>
      <c r="J26" s="223" t="s">
        <v>363</v>
      </c>
      <c r="K26" s="223" t="s">
        <v>383</v>
      </c>
      <c r="L26" s="215" t="s">
        <v>370</v>
      </c>
      <c r="N26" s="215" t="s">
        <v>384</v>
      </c>
    </row>
  </sheetData>
  <hyperlinks>
    <hyperlink ref="M2" r:id="rId1" xr:uid="{AF564517-0417-4856-BBF5-AAC28B021120}"/>
    <hyperlink ref="M3" r:id="rId2" xr:uid="{37F7D00F-2D14-439B-9897-9F20B214E021}"/>
    <hyperlink ref="M4" r:id="rId3" xr:uid="{CFAAF1A0-31BD-478B-A9A7-22BCE76641C5}"/>
    <hyperlink ref="P5" r:id="rId4" xr:uid="{36414A62-1A65-4580-88E7-FFE26DF5024D}"/>
    <hyperlink ref="M12" r:id="rId5" xr:uid="{41D13283-357B-4DCF-9059-CC97A370D79E}"/>
    <hyperlink ref="M13" r:id="rId6" xr:uid="{7AF60973-DBD0-4850-A0BC-35FCB7311A96}"/>
    <hyperlink ref="M14" r:id="rId7" xr:uid="{7C2EB91A-22DC-4CB4-B4EE-424600636C1E}"/>
    <hyperlink ref="M5" r:id="rId8" xr:uid="{FBBA0107-8A3F-4422-9399-6087942F0E68}"/>
    <hyperlink ref="M17" r:id="rId9" xr:uid="{C5E0B1A4-F8A2-4C8F-A086-64B838B876CA}"/>
    <hyperlink ref="M18:M19" r:id="rId10" display="https://www.westcoast.fisheries.noaa.gov/publications/recovery_planning/salmon_steelhead/domains/interior_columbia/upper_columbia/uc-plan-appf1.pdf" xr:uid="{2E1391E4-CD68-4AA0-A534-579C9022A321}"/>
  </hyperlinks>
  <pageMargins left="0.7" right="0.7" top="0.75" bottom="0.75" header="0.3" footer="0.3"/>
  <legacy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U52"/>
  <sheetViews>
    <sheetView topLeftCell="B1" zoomScale="85" zoomScaleNormal="85" workbookViewId="0">
      <pane xSplit="1" ySplit="5" topLeftCell="C6" activePane="bottomRight" state="frozen"/>
      <selection activeCell="B1" sqref="B1"/>
      <selection pane="topRight" activeCell="C1" sqref="C1"/>
      <selection pane="bottomLeft" activeCell="B6" sqref="B6"/>
      <selection pane="bottomRight" activeCell="AG44" sqref="AG44"/>
    </sheetView>
  </sheetViews>
  <sheetFormatPr defaultRowHeight="14.4" x14ac:dyDescent="0.3"/>
  <cols>
    <col min="6" max="6" width="11.5546875" bestFit="1" customWidth="1"/>
    <col min="8" max="8" width="11.5546875" bestFit="1" customWidth="1"/>
    <col min="12" max="12" width="8.88671875" style="8"/>
    <col min="15" max="15" width="5.88671875" customWidth="1"/>
    <col min="16" max="16" width="9.109375" customWidth="1"/>
    <col min="37" max="37" width="8.88671875" style="451"/>
    <col min="42" max="42" width="7.77734375" style="451" customWidth="1"/>
  </cols>
  <sheetData>
    <row r="1" spans="2:46" x14ac:dyDescent="0.3">
      <c r="B1" t="s">
        <v>137</v>
      </c>
      <c r="P1" s="8"/>
    </row>
    <row r="2" spans="2:46" x14ac:dyDescent="0.3">
      <c r="B2" s="497" t="s">
        <v>122</v>
      </c>
      <c r="C2" s="498"/>
      <c r="D2" s="498"/>
      <c r="E2" s="498"/>
      <c r="F2" s="498"/>
      <c r="G2" s="498"/>
      <c r="H2" s="498"/>
      <c r="I2" s="498"/>
      <c r="J2" s="498"/>
      <c r="K2" s="498"/>
      <c r="L2" s="498"/>
      <c r="M2" s="498"/>
      <c r="N2" s="499"/>
      <c r="P2" s="8"/>
      <c r="T2" t="s">
        <v>226</v>
      </c>
    </row>
    <row r="3" spans="2:46" x14ac:dyDescent="0.3">
      <c r="B3" s="500" t="s">
        <v>49</v>
      </c>
      <c r="C3" s="503" t="s">
        <v>123</v>
      </c>
      <c r="D3" s="503"/>
      <c r="E3" s="503" t="s">
        <v>124</v>
      </c>
      <c r="F3" s="503"/>
      <c r="G3" s="505" t="s">
        <v>125</v>
      </c>
      <c r="H3" s="505"/>
      <c r="I3" s="506" t="s">
        <v>42</v>
      </c>
      <c r="J3" s="506"/>
      <c r="K3" s="506" t="s">
        <v>50</v>
      </c>
      <c r="L3" s="506"/>
      <c r="M3" s="506" t="s">
        <v>50</v>
      </c>
      <c r="N3" s="507"/>
      <c r="P3" s="8"/>
      <c r="T3" s="8" t="s">
        <v>227</v>
      </c>
      <c r="U3" t="s">
        <v>228</v>
      </c>
    </row>
    <row r="4" spans="2:46" x14ac:dyDescent="0.3">
      <c r="B4" s="501"/>
      <c r="C4" s="504"/>
      <c r="D4" s="504"/>
      <c r="E4" s="495" t="s">
        <v>126</v>
      </c>
      <c r="F4" s="495"/>
      <c r="G4" s="495" t="s">
        <v>127</v>
      </c>
      <c r="H4" s="495"/>
      <c r="I4" s="494" t="s">
        <v>128</v>
      </c>
      <c r="J4" s="494"/>
      <c r="K4" s="495" t="s">
        <v>129</v>
      </c>
      <c r="L4" s="495"/>
      <c r="M4" s="495" t="s">
        <v>130</v>
      </c>
      <c r="N4" s="496"/>
      <c r="P4" s="8"/>
      <c r="Q4" t="s">
        <v>229</v>
      </c>
      <c r="R4" t="s">
        <v>230</v>
      </c>
      <c r="T4" s="8" t="s">
        <v>231</v>
      </c>
      <c r="U4" t="s">
        <v>232</v>
      </c>
      <c r="AF4" t="s">
        <v>84</v>
      </c>
      <c r="AH4" t="s">
        <v>84</v>
      </c>
      <c r="AI4" t="s">
        <v>82</v>
      </c>
      <c r="AJ4" t="s">
        <v>83</v>
      </c>
      <c r="AM4" s="451" t="s">
        <v>84</v>
      </c>
      <c r="AN4" s="451" t="s">
        <v>82</v>
      </c>
      <c r="AO4" s="451" t="s">
        <v>83</v>
      </c>
      <c r="AR4" s="451" t="s">
        <v>84</v>
      </c>
      <c r="AS4" s="451" t="s">
        <v>82</v>
      </c>
      <c r="AT4" s="451" t="s">
        <v>83</v>
      </c>
    </row>
    <row r="5" spans="2:46" ht="26.4" x14ac:dyDescent="0.3">
      <c r="B5" s="502"/>
      <c r="C5" s="107" t="s">
        <v>42</v>
      </c>
      <c r="D5" s="108" t="s">
        <v>50</v>
      </c>
      <c r="E5" s="108" t="s">
        <v>131</v>
      </c>
      <c r="F5" s="106" t="s">
        <v>132</v>
      </c>
      <c r="G5" s="107" t="s">
        <v>131</v>
      </c>
      <c r="H5" s="106" t="s">
        <v>132</v>
      </c>
      <c r="I5" s="109" t="s">
        <v>131</v>
      </c>
      <c r="J5" s="106" t="s">
        <v>132</v>
      </c>
      <c r="K5" s="109" t="s">
        <v>131</v>
      </c>
      <c r="L5" s="381" t="s">
        <v>132</v>
      </c>
      <c r="M5" s="109" t="s">
        <v>131</v>
      </c>
      <c r="N5" s="110" t="s">
        <v>132</v>
      </c>
      <c r="P5" s="8" t="s">
        <v>233</v>
      </c>
      <c r="Q5" t="s">
        <v>51</v>
      </c>
      <c r="S5" t="s">
        <v>234</v>
      </c>
      <c r="T5" t="s">
        <v>235</v>
      </c>
      <c r="AH5" t="s">
        <v>355</v>
      </c>
      <c r="AI5" t="s">
        <v>355</v>
      </c>
      <c r="AJ5" t="s">
        <v>355</v>
      </c>
      <c r="AK5" s="451" t="s">
        <v>452</v>
      </c>
      <c r="AM5" s="451" t="s">
        <v>451</v>
      </c>
      <c r="AN5" s="451" t="s">
        <v>451</v>
      </c>
      <c r="AO5" s="451" t="s">
        <v>451</v>
      </c>
      <c r="AR5" t="s">
        <v>452</v>
      </c>
    </row>
    <row r="6" spans="2:46" x14ac:dyDescent="0.3">
      <c r="B6" s="111">
        <v>1980</v>
      </c>
      <c r="C6" s="314">
        <v>16946</v>
      </c>
      <c r="D6" s="314">
        <v>7128</v>
      </c>
      <c r="E6" s="315">
        <v>12</v>
      </c>
      <c r="F6" s="369">
        <f t="shared" ref="F6:F42" si="0">E6/D6</f>
        <v>1.6835016835016834E-3</v>
      </c>
      <c r="G6" s="315">
        <v>229</v>
      </c>
      <c r="H6" s="369">
        <f t="shared" ref="H6:H42" si="1">G6/D6</f>
        <v>3.212682379349046E-2</v>
      </c>
      <c r="I6" s="315">
        <v>241</v>
      </c>
      <c r="J6" s="316">
        <v>3.4</v>
      </c>
      <c r="K6" s="317">
        <v>4114</v>
      </c>
      <c r="L6" s="382">
        <v>57.7</v>
      </c>
      <c r="M6" s="314">
        <v>2772</v>
      </c>
      <c r="N6" s="316">
        <v>38.9</v>
      </c>
      <c r="P6" s="205">
        <f>Q6/C6</f>
        <v>0.57936976277587626</v>
      </c>
      <c r="Q6" s="11">
        <f>C6-D6</f>
        <v>9818</v>
      </c>
      <c r="R6" s="11">
        <f t="shared" ref="R6:R40" si="2">(Q6/D6)*M6</f>
        <v>3818.1111111111109</v>
      </c>
      <c r="S6" s="62">
        <f>I6/D6</f>
        <v>3.3810325476992142E-2</v>
      </c>
      <c r="T6" s="62">
        <f t="shared" ref="T6:T34" si="3">M6/D6</f>
        <v>0.3888888888888889</v>
      </c>
      <c r="U6" s="115"/>
    </row>
    <row r="7" spans="2:46" x14ac:dyDescent="0.3">
      <c r="B7" s="112">
        <v>1981</v>
      </c>
      <c r="C7" s="314">
        <v>14140</v>
      </c>
      <c r="D7" s="314">
        <v>6044</v>
      </c>
      <c r="E7" s="315">
        <v>82</v>
      </c>
      <c r="F7" s="369">
        <f t="shared" si="0"/>
        <v>1.3567174056915949E-2</v>
      </c>
      <c r="G7" s="315">
        <v>305</v>
      </c>
      <c r="H7" s="369">
        <f t="shared" si="1"/>
        <v>5.0463269358041032E-2</v>
      </c>
      <c r="I7" s="315">
        <v>387</v>
      </c>
      <c r="J7" s="316">
        <v>6.4</v>
      </c>
      <c r="K7" s="317">
        <v>2405</v>
      </c>
      <c r="L7" s="382">
        <v>39.799999999999997</v>
      </c>
      <c r="M7" s="314">
        <v>3253</v>
      </c>
      <c r="N7" s="316">
        <v>53.8</v>
      </c>
      <c r="P7" s="205">
        <f t="shared" ref="P7:P41" si="4">Q7/C7</f>
        <v>0.57256011315417255</v>
      </c>
      <c r="Q7" s="11">
        <f t="shared" ref="Q7:Q40" si="5">C7-D7</f>
        <v>8096</v>
      </c>
      <c r="R7" s="11">
        <f t="shared" si="2"/>
        <v>4357.4268696227664</v>
      </c>
      <c r="S7" s="62">
        <f t="shared" ref="S7:S41" si="6">I7/D7</f>
        <v>6.4030443414956978E-2</v>
      </c>
      <c r="T7" s="62">
        <f t="shared" si="3"/>
        <v>0.5382197220383852</v>
      </c>
      <c r="AF7">
        <v>2002</v>
      </c>
      <c r="AG7" t="s">
        <v>357</v>
      </c>
      <c r="AH7">
        <v>184</v>
      </c>
    </row>
    <row r="8" spans="2:46" x14ac:dyDescent="0.3">
      <c r="B8" s="112">
        <v>1982</v>
      </c>
      <c r="C8" s="314">
        <v>15850</v>
      </c>
      <c r="D8" s="314">
        <v>6314</v>
      </c>
      <c r="E8" s="315">
        <v>110</v>
      </c>
      <c r="F8" s="369">
        <f t="shared" si="0"/>
        <v>1.7421602787456445E-2</v>
      </c>
      <c r="G8" s="315">
        <v>434</v>
      </c>
      <c r="H8" s="369">
        <f t="shared" si="1"/>
        <v>6.8736141906873618E-2</v>
      </c>
      <c r="I8" s="315">
        <v>543</v>
      </c>
      <c r="J8" s="316">
        <v>8.6</v>
      </c>
      <c r="K8" s="317">
        <v>2756</v>
      </c>
      <c r="L8" s="382">
        <v>43.6</v>
      </c>
      <c r="M8" s="314">
        <v>3015</v>
      </c>
      <c r="N8" s="316">
        <v>47.7</v>
      </c>
      <c r="P8" s="205">
        <f t="shared" si="4"/>
        <v>0.60164037854889585</v>
      </c>
      <c r="Q8" s="11">
        <f t="shared" si="5"/>
        <v>9536</v>
      </c>
      <c r="R8" s="11">
        <f t="shared" si="2"/>
        <v>4553.5381691479251</v>
      </c>
      <c r="S8" s="62">
        <f t="shared" si="6"/>
        <v>8.5999366487171366E-2</v>
      </c>
      <c r="T8" s="62">
        <f t="shared" si="3"/>
        <v>0.47751029458346533</v>
      </c>
      <c r="AF8">
        <v>2003</v>
      </c>
      <c r="AG8" t="s">
        <v>357</v>
      </c>
      <c r="AH8">
        <v>183</v>
      </c>
    </row>
    <row r="9" spans="2:46" x14ac:dyDescent="0.3">
      <c r="B9" s="112">
        <v>1983</v>
      </c>
      <c r="C9" s="314">
        <v>16160</v>
      </c>
      <c r="D9" s="314">
        <v>7292</v>
      </c>
      <c r="E9" s="315">
        <v>350</v>
      </c>
      <c r="F9" s="369">
        <f t="shared" si="0"/>
        <v>4.7997805814591336E-2</v>
      </c>
      <c r="G9" s="315">
        <v>293</v>
      </c>
      <c r="H9" s="369">
        <f t="shared" si="1"/>
        <v>4.018102029621503E-2</v>
      </c>
      <c r="I9" s="315">
        <v>643</v>
      </c>
      <c r="J9" s="316">
        <v>8.8000000000000007</v>
      </c>
      <c r="K9" s="317">
        <v>2362</v>
      </c>
      <c r="L9" s="382">
        <v>32.4</v>
      </c>
      <c r="M9" s="314">
        <v>4286</v>
      </c>
      <c r="N9" s="316">
        <v>58.8</v>
      </c>
      <c r="P9" s="205">
        <f t="shared" si="4"/>
        <v>0.54876237623762381</v>
      </c>
      <c r="Q9" s="11">
        <f t="shared" si="5"/>
        <v>8868</v>
      </c>
      <c r="R9" s="11">
        <f t="shared" si="2"/>
        <v>5212.32144816237</v>
      </c>
      <c r="S9" s="62">
        <f t="shared" si="6"/>
        <v>8.8178826110806366E-2</v>
      </c>
      <c r="T9" s="62">
        <f t="shared" si="3"/>
        <v>0.58776741634668128</v>
      </c>
      <c r="AF9">
        <v>2004</v>
      </c>
      <c r="AG9" t="s">
        <v>357</v>
      </c>
      <c r="AH9">
        <v>156</v>
      </c>
    </row>
    <row r="10" spans="2:46" x14ac:dyDescent="0.3">
      <c r="B10" s="112">
        <v>1984</v>
      </c>
      <c r="C10" s="314">
        <v>16776</v>
      </c>
      <c r="D10" s="314">
        <v>6706</v>
      </c>
      <c r="E10" s="315">
        <v>230</v>
      </c>
      <c r="F10" s="369">
        <f t="shared" si="0"/>
        <v>3.4297643900984193E-2</v>
      </c>
      <c r="G10" s="315">
        <v>445</v>
      </c>
      <c r="H10" s="369">
        <f t="shared" si="1"/>
        <v>6.6358484938860721E-2</v>
      </c>
      <c r="I10" s="315">
        <v>676</v>
      </c>
      <c r="J10" s="316">
        <v>10.1</v>
      </c>
      <c r="K10" s="317">
        <v>1422</v>
      </c>
      <c r="L10" s="382">
        <v>21.2</v>
      </c>
      <c r="M10" s="314">
        <v>4608</v>
      </c>
      <c r="N10" s="316">
        <v>68.7</v>
      </c>
      <c r="P10" s="205">
        <f t="shared" si="4"/>
        <v>0.60026227944682875</v>
      </c>
      <c r="Q10" s="11">
        <f t="shared" si="5"/>
        <v>10070</v>
      </c>
      <c r="R10" s="11">
        <f t="shared" si="2"/>
        <v>6919.5586042350133</v>
      </c>
      <c r="S10" s="62">
        <f t="shared" si="6"/>
        <v>0.10080524903071876</v>
      </c>
      <c r="T10" s="62">
        <f t="shared" si="3"/>
        <v>0.68714583954667463</v>
      </c>
      <c r="AF10">
        <v>2005</v>
      </c>
      <c r="AG10" t="s">
        <v>357</v>
      </c>
      <c r="AH10">
        <v>189</v>
      </c>
    </row>
    <row r="11" spans="2:46" x14ac:dyDescent="0.3">
      <c r="B11" s="112">
        <v>1985</v>
      </c>
      <c r="C11" s="314">
        <v>28948</v>
      </c>
      <c r="D11" s="314">
        <v>10290</v>
      </c>
      <c r="E11" s="315">
        <v>371</v>
      </c>
      <c r="F11" s="369">
        <f t="shared" si="0"/>
        <v>3.6054421768707483E-2</v>
      </c>
      <c r="G11" s="315">
        <v>350</v>
      </c>
      <c r="H11" s="369">
        <f t="shared" si="1"/>
        <v>3.4013605442176874E-2</v>
      </c>
      <c r="I11" s="315">
        <v>721</v>
      </c>
      <c r="J11" s="316">
        <v>7</v>
      </c>
      <c r="K11" s="318">
        <v>628</v>
      </c>
      <c r="L11" s="382">
        <v>6.1</v>
      </c>
      <c r="M11" s="314">
        <v>8941</v>
      </c>
      <c r="N11" s="316">
        <v>86.9</v>
      </c>
      <c r="P11" s="205">
        <f t="shared" si="4"/>
        <v>0.64453502832665466</v>
      </c>
      <c r="Q11" s="11">
        <f t="shared" si="5"/>
        <v>18658</v>
      </c>
      <c r="R11" s="11">
        <f t="shared" si="2"/>
        <v>16211.97065111759</v>
      </c>
      <c r="S11" s="62">
        <f t="shared" si="6"/>
        <v>7.0068027210884357E-2</v>
      </c>
      <c r="T11" s="62">
        <f t="shared" si="3"/>
        <v>0.86890184645286683</v>
      </c>
      <c r="AF11">
        <v>2006</v>
      </c>
      <c r="AG11" t="s">
        <v>357</v>
      </c>
      <c r="AH11">
        <v>107</v>
      </c>
    </row>
    <row r="12" spans="2:46" x14ac:dyDescent="0.3">
      <c r="B12" s="112">
        <v>1986</v>
      </c>
      <c r="C12" s="314">
        <v>29404</v>
      </c>
      <c r="D12" s="314">
        <v>7903</v>
      </c>
      <c r="E12" s="315">
        <v>161</v>
      </c>
      <c r="F12" s="369">
        <f t="shared" si="0"/>
        <v>2.0372010628875111E-2</v>
      </c>
      <c r="G12" s="315">
        <v>458</v>
      </c>
      <c r="H12" s="369">
        <f t="shared" si="1"/>
        <v>5.7952676198911805E-2</v>
      </c>
      <c r="I12" s="315">
        <v>619</v>
      </c>
      <c r="J12" s="316">
        <v>7.8</v>
      </c>
      <c r="K12" s="317">
        <v>1764</v>
      </c>
      <c r="L12" s="382">
        <v>22.3</v>
      </c>
      <c r="M12" s="314">
        <v>5519</v>
      </c>
      <c r="N12" s="316">
        <v>69.8</v>
      </c>
      <c r="P12" s="205">
        <f t="shared" si="4"/>
        <v>0.73122704393960003</v>
      </c>
      <c r="Q12" s="11">
        <f t="shared" si="5"/>
        <v>21501</v>
      </c>
      <c r="R12" s="11">
        <f t="shared" si="2"/>
        <v>15015.05997722384</v>
      </c>
      <c r="S12" s="62">
        <f t="shared" si="6"/>
        <v>7.8324686827786913E-2</v>
      </c>
      <c r="T12" s="62">
        <f t="shared" si="3"/>
        <v>0.69834240161963812</v>
      </c>
      <c r="AF12">
        <v>2007</v>
      </c>
      <c r="AG12" t="s">
        <v>357</v>
      </c>
      <c r="AH12">
        <v>118</v>
      </c>
    </row>
    <row r="13" spans="2:46" x14ac:dyDescent="0.3">
      <c r="B13" s="112">
        <v>1987</v>
      </c>
      <c r="C13" s="314">
        <v>25485</v>
      </c>
      <c r="D13" s="314">
        <v>8777</v>
      </c>
      <c r="E13" s="315">
        <v>135</v>
      </c>
      <c r="F13" s="369">
        <f t="shared" si="0"/>
        <v>1.5381109718582659E-2</v>
      </c>
      <c r="G13" s="315">
        <v>530</v>
      </c>
      <c r="H13" s="369">
        <f t="shared" si="1"/>
        <v>6.0385097413694883E-2</v>
      </c>
      <c r="I13" s="315">
        <v>665</v>
      </c>
      <c r="J13" s="316">
        <v>7.6</v>
      </c>
      <c r="K13" s="317">
        <v>1760</v>
      </c>
      <c r="L13" s="382">
        <v>20.100000000000001</v>
      </c>
      <c r="M13" s="314">
        <v>6352</v>
      </c>
      <c r="N13" s="316">
        <v>72.400000000000006</v>
      </c>
      <c r="P13" s="205">
        <f t="shared" si="4"/>
        <v>0.65560133411810873</v>
      </c>
      <c r="Q13" s="11">
        <f t="shared" si="5"/>
        <v>16708</v>
      </c>
      <c r="R13" s="11">
        <f t="shared" si="2"/>
        <v>12091.741597356728</v>
      </c>
      <c r="S13" s="62">
        <f t="shared" si="6"/>
        <v>7.5766207132277538E-2</v>
      </c>
      <c r="T13" s="62">
        <f t="shared" si="3"/>
        <v>0.72370969579583</v>
      </c>
      <c r="U13" s="62">
        <f t="shared" ref="U13:U40" si="7">T13/(1-S13)</f>
        <v>0.78303747534516766</v>
      </c>
      <c r="AF13">
        <v>2008</v>
      </c>
      <c r="AG13" t="s">
        <v>357</v>
      </c>
      <c r="AH13">
        <v>147</v>
      </c>
    </row>
    <row r="14" spans="2:46" x14ac:dyDescent="0.3">
      <c r="B14" s="112">
        <v>1988</v>
      </c>
      <c r="C14" s="314">
        <v>21043</v>
      </c>
      <c r="D14" s="314">
        <v>7503</v>
      </c>
      <c r="E14" s="315">
        <v>479</v>
      </c>
      <c r="F14" s="369">
        <f t="shared" si="0"/>
        <v>6.3841130214580835E-2</v>
      </c>
      <c r="G14" s="315">
        <v>496</v>
      </c>
      <c r="H14" s="369">
        <f t="shared" si="1"/>
        <v>6.6106890577102492E-2</v>
      </c>
      <c r="I14" s="315">
        <v>975</v>
      </c>
      <c r="J14" s="316">
        <v>13</v>
      </c>
      <c r="K14" s="318">
        <v>870</v>
      </c>
      <c r="L14" s="382">
        <v>11.6</v>
      </c>
      <c r="M14" s="314">
        <v>5658</v>
      </c>
      <c r="N14" s="316">
        <v>75.400000000000006</v>
      </c>
      <c r="P14" s="205">
        <f t="shared" si="4"/>
        <v>0.64344437580192937</v>
      </c>
      <c r="Q14" s="11">
        <f t="shared" si="5"/>
        <v>13540</v>
      </c>
      <c r="R14" s="11">
        <f t="shared" si="2"/>
        <v>10210.491803278688</v>
      </c>
      <c r="S14" s="62">
        <f t="shared" si="6"/>
        <v>0.12994802079168333</v>
      </c>
      <c r="T14" s="62">
        <f t="shared" si="3"/>
        <v>0.75409836065573765</v>
      </c>
      <c r="U14" s="62">
        <f t="shared" si="7"/>
        <v>0.86672794117647056</v>
      </c>
      <c r="AF14">
        <v>2009</v>
      </c>
      <c r="AG14" t="s">
        <v>357</v>
      </c>
      <c r="AH14">
        <v>146</v>
      </c>
    </row>
    <row r="15" spans="2:46" x14ac:dyDescent="0.3">
      <c r="B15" s="112">
        <v>1989</v>
      </c>
      <c r="C15" s="314">
        <v>18681</v>
      </c>
      <c r="D15" s="314">
        <v>7455</v>
      </c>
      <c r="E15" s="315">
        <v>176</v>
      </c>
      <c r="F15" s="369">
        <f t="shared" si="0"/>
        <v>2.3608316566063044E-2</v>
      </c>
      <c r="G15" s="315">
        <v>557</v>
      </c>
      <c r="H15" s="369">
        <f t="shared" si="1"/>
        <v>7.4714956405097246E-2</v>
      </c>
      <c r="I15" s="315">
        <v>733</v>
      </c>
      <c r="J15" s="316">
        <v>9.8000000000000007</v>
      </c>
      <c r="K15" s="317">
        <v>2591</v>
      </c>
      <c r="L15" s="382">
        <v>34.799999999999997</v>
      </c>
      <c r="M15" s="314">
        <v>4130</v>
      </c>
      <c r="N15" s="316">
        <v>55.4</v>
      </c>
      <c r="P15" s="205">
        <f t="shared" si="4"/>
        <v>0.60093142765376584</v>
      </c>
      <c r="Q15" s="11">
        <f t="shared" si="5"/>
        <v>11226</v>
      </c>
      <c r="R15" s="11">
        <f t="shared" si="2"/>
        <v>6219.0985915492956</v>
      </c>
      <c r="S15" s="62">
        <f t="shared" si="6"/>
        <v>9.8323272971160294E-2</v>
      </c>
      <c r="T15" s="62">
        <f t="shared" si="3"/>
        <v>0.5539906103286385</v>
      </c>
      <c r="U15" s="62">
        <f t="shared" si="7"/>
        <v>0.614400476048795</v>
      </c>
      <c r="AF15">
        <v>2010</v>
      </c>
      <c r="AG15" t="s">
        <v>357</v>
      </c>
      <c r="AH15">
        <v>378</v>
      </c>
    </row>
    <row r="16" spans="2:46" x14ac:dyDescent="0.3">
      <c r="B16" s="112">
        <v>1990</v>
      </c>
      <c r="C16" s="314">
        <v>12013</v>
      </c>
      <c r="D16" s="314">
        <v>4437</v>
      </c>
      <c r="E16" s="315">
        <v>223</v>
      </c>
      <c r="F16" s="369">
        <f t="shared" si="0"/>
        <v>5.0259184133423486E-2</v>
      </c>
      <c r="G16" s="315">
        <v>291</v>
      </c>
      <c r="H16" s="369">
        <f t="shared" si="1"/>
        <v>6.5584854631507775E-2</v>
      </c>
      <c r="I16" s="315">
        <v>513</v>
      </c>
      <c r="J16" s="316">
        <v>11.6</v>
      </c>
      <c r="K16" s="317">
        <v>1115</v>
      </c>
      <c r="L16" s="382">
        <v>25.1</v>
      </c>
      <c r="M16" s="314">
        <v>2808</v>
      </c>
      <c r="N16" s="316">
        <v>63.3</v>
      </c>
      <c r="P16" s="205">
        <f t="shared" si="4"/>
        <v>0.63065012902688755</v>
      </c>
      <c r="Q16" s="11">
        <f t="shared" si="5"/>
        <v>7576</v>
      </c>
      <c r="R16" s="11">
        <f t="shared" si="2"/>
        <v>4794.5476673427993</v>
      </c>
      <c r="S16" s="62">
        <f t="shared" si="6"/>
        <v>0.11561866125760649</v>
      </c>
      <c r="T16" s="62">
        <f t="shared" si="3"/>
        <v>0.63286004056795131</v>
      </c>
      <c r="U16" s="62">
        <f t="shared" si="7"/>
        <v>0.71559633027522929</v>
      </c>
      <c r="AF16">
        <v>2011</v>
      </c>
      <c r="AG16" t="s">
        <v>357</v>
      </c>
      <c r="AH16">
        <v>433</v>
      </c>
    </row>
    <row r="17" spans="2:46" x14ac:dyDescent="0.3">
      <c r="B17" s="112">
        <v>1991</v>
      </c>
      <c r="C17" s="314">
        <v>8665</v>
      </c>
      <c r="D17" s="314">
        <v>2437</v>
      </c>
      <c r="E17" s="315">
        <v>96</v>
      </c>
      <c r="F17" s="369">
        <f t="shared" si="0"/>
        <v>3.939269593762823E-2</v>
      </c>
      <c r="G17" s="315">
        <v>146</v>
      </c>
      <c r="H17" s="369">
        <f t="shared" si="1"/>
        <v>5.9909725071809604E-2</v>
      </c>
      <c r="I17" s="315">
        <v>242</v>
      </c>
      <c r="J17" s="316">
        <v>9.9</v>
      </c>
      <c r="K17" s="318">
        <v>662</v>
      </c>
      <c r="L17" s="382">
        <v>27.2</v>
      </c>
      <c r="M17" s="314">
        <v>1533</v>
      </c>
      <c r="N17" s="316">
        <v>62.9</v>
      </c>
      <c r="P17" s="205">
        <f t="shared" si="4"/>
        <v>0.7187536064627813</v>
      </c>
      <c r="Q17" s="11">
        <f t="shared" si="5"/>
        <v>6228</v>
      </c>
      <c r="R17" s="11">
        <f t="shared" si="2"/>
        <v>3917.7365613459169</v>
      </c>
      <c r="S17" s="62">
        <f t="shared" si="6"/>
        <v>9.9302421009437827E-2</v>
      </c>
      <c r="T17" s="62">
        <f t="shared" si="3"/>
        <v>0.62905211325400079</v>
      </c>
      <c r="U17" s="62">
        <f t="shared" si="7"/>
        <v>0.69840546697038719</v>
      </c>
      <c r="AF17">
        <v>2012</v>
      </c>
      <c r="AG17" t="s">
        <v>357</v>
      </c>
      <c r="AH17">
        <v>393</v>
      </c>
    </row>
    <row r="18" spans="2:46" x14ac:dyDescent="0.3">
      <c r="B18" s="112">
        <v>1992</v>
      </c>
      <c r="C18" s="314">
        <v>20723</v>
      </c>
      <c r="D18" s="314">
        <v>4261</v>
      </c>
      <c r="E18" s="315">
        <v>69</v>
      </c>
      <c r="F18" s="369">
        <f t="shared" si="0"/>
        <v>1.6193381835249942E-2</v>
      </c>
      <c r="G18" s="315">
        <v>256</v>
      </c>
      <c r="H18" s="369">
        <f t="shared" si="1"/>
        <v>6.0079793475709929E-2</v>
      </c>
      <c r="I18" s="315">
        <v>325</v>
      </c>
      <c r="J18" s="316">
        <v>7.6</v>
      </c>
      <c r="K18" s="318">
        <v>773</v>
      </c>
      <c r="L18" s="382">
        <v>18.100000000000001</v>
      </c>
      <c r="M18" s="314">
        <v>3163</v>
      </c>
      <c r="N18" s="316">
        <v>74.2</v>
      </c>
      <c r="P18" s="205">
        <f t="shared" si="4"/>
        <v>0.79438305264681752</v>
      </c>
      <c r="Q18" s="11">
        <f t="shared" si="5"/>
        <v>16462</v>
      </c>
      <c r="R18" s="11">
        <f t="shared" si="2"/>
        <v>12219.973245716968</v>
      </c>
      <c r="S18" s="62">
        <f t="shared" si="6"/>
        <v>7.6273175310959868E-2</v>
      </c>
      <c r="T18" s="62">
        <f t="shared" si="3"/>
        <v>0.7423140107955879</v>
      </c>
      <c r="U18" s="62">
        <f t="shared" si="7"/>
        <v>0.80360772357723576</v>
      </c>
      <c r="AF18">
        <v>2013</v>
      </c>
      <c r="AG18" t="s">
        <v>357</v>
      </c>
      <c r="AH18">
        <v>238</v>
      </c>
    </row>
    <row r="19" spans="2:46" x14ac:dyDescent="0.3">
      <c r="B19" s="112">
        <v>1993</v>
      </c>
      <c r="C19" s="314">
        <v>25997</v>
      </c>
      <c r="D19" s="314">
        <v>4050</v>
      </c>
      <c r="E19" s="315">
        <v>33</v>
      </c>
      <c r="F19" s="369">
        <f t="shared" si="0"/>
        <v>8.1481481481481474E-3</v>
      </c>
      <c r="G19" s="315">
        <v>246</v>
      </c>
      <c r="H19" s="369">
        <f t="shared" si="1"/>
        <v>6.0740740740740741E-2</v>
      </c>
      <c r="I19" s="315">
        <v>280</v>
      </c>
      <c r="J19" s="316">
        <v>6.9</v>
      </c>
      <c r="K19" s="318">
        <v>669</v>
      </c>
      <c r="L19" s="382">
        <v>16.5</v>
      </c>
      <c r="M19" s="314">
        <v>3102</v>
      </c>
      <c r="N19" s="316">
        <v>76.599999999999994</v>
      </c>
      <c r="P19" s="205">
        <f t="shared" si="4"/>
        <v>0.84421279378389813</v>
      </c>
      <c r="Q19" s="11">
        <f t="shared" si="5"/>
        <v>21947</v>
      </c>
      <c r="R19" s="11">
        <f t="shared" si="2"/>
        <v>16809.776296296295</v>
      </c>
      <c r="S19" s="62">
        <f t="shared" si="6"/>
        <v>6.9135802469135796E-2</v>
      </c>
      <c r="T19" s="62">
        <f t="shared" si="3"/>
        <v>0.7659259259259259</v>
      </c>
      <c r="U19" s="62">
        <f t="shared" si="7"/>
        <v>0.82281167108753306</v>
      </c>
      <c r="AF19">
        <v>2014</v>
      </c>
      <c r="AG19" t="s">
        <v>357</v>
      </c>
      <c r="AH19">
        <v>234</v>
      </c>
    </row>
    <row r="20" spans="2:46" x14ac:dyDescent="0.3">
      <c r="B20" s="112">
        <v>1994</v>
      </c>
      <c r="C20" s="314">
        <v>3421</v>
      </c>
      <c r="D20" s="314">
        <v>1044</v>
      </c>
      <c r="E20" s="315">
        <v>41</v>
      </c>
      <c r="F20" s="369">
        <f t="shared" si="0"/>
        <v>3.9272030651340994E-2</v>
      </c>
      <c r="G20" s="315">
        <v>50</v>
      </c>
      <c r="H20" s="369">
        <f t="shared" si="1"/>
        <v>4.7892720306513412E-2</v>
      </c>
      <c r="I20" s="315">
        <v>91</v>
      </c>
      <c r="J20" s="316">
        <v>8.6999999999999993</v>
      </c>
      <c r="K20" s="318">
        <v>342</v>
      </c>
      <c r="L20" s="382">
        <v>32.799999999999997</v>
      </c>
      <c r="M20" s="315">
        <v>611</v>
      </c>
      <c r="N20" s="316">
        <v>58.5</v>
      </c>
      <c r="P20" s="205">
        <f t="shared" si="4"/>
        <v>0.69482607424729614</v>
      </c>
      <c r="Q20" s="11">
        <f t="shared" si="5"/>
        <v>2377</v>
      </c>
      <c r="R20" s="11">
        <f t="shared" si="2"/>
        <v>1391.1369731800764</v>
      </c>
      <c r="S20" s="62">
        <f t="shared" si="6"/>
        <v>8.7164750957854406E-2</v>
      </c>
      <c r="T20" s="62">
        <f t="shared" si="3"/>
        <v>0.58524904214559392</v>
      </c>
      <c r="U20" s="62">
        <f t="shared" si="7"/>
        <v>0.64113326337880383</v>
      </c>
      <c r="AF20">
        <v>2015</v>
      </c>
      <c r="AG20" t="s">
        <v>357</v>
      </c>
      <c r="AH20">
        <v>407</v>
      </c>
    </row>
    <row r="21" spans="2:46" x14ac:dyDescent="0.3">
      <c r="B21" s="112">
        <v>1995</v>
      </c>
      <c r="C21" s="314">
        <v>1640</v>
      </c>
      <c r="D21" s="315">
        <v>223</v>
      </c>
      <c r="E21" s="315">
        <v>0</v>
      </c>
      <c r="F21" s="369">
        <f t="shared" si="0"/>
        <v>0</v>
      </c>
      <c r="G21" s="315">
        <v>11</v>
      </c>
      <c r="H21" s="369">
        <f t="shared" si="1"/>
        <v>4.9327354260089683E-2</v>
      </c>
      <c r="I21" s="315">
        <v>11</v>
      </c>
      <c r="J21" s="316">
        <v>4.9000000000000004</v>
      </c>
      <c r="K21" s="318">
        <v>105</v>
      </c>
      <c r="L21" s="382">
        <v>46.9</v>
      </c>
      <c r="M21" s="315">
        <v>108</v>
      </c>
      <c r="N21" s="316">
        <v>48.3</v>
      </c>
      <c r="P21" s="205">
        <f t="shared" si="4"/>
        <v>0.86402439024390243</v>
      </c>
      <c r="Q21" s="11">
        <f t="shared" si="5"/>
        <v>1417</v>
      </c>
      <c r="R21" s="11">
        <f t="shared" si="2"/>
        <v>686.26008968609869</v>
      </c>
      <c r="S21" s="62">
        <f t="shared" si="6"/>
        <v>4.9327354260089683E-2</v>
      </c>
      <c r="T21" s="62">
        <f t="shared" si="3"/>
        <v>0.48430493273542602</v>
      </c>
      <c r="U21" s="62">
        <f t="shared" si="7"/>
        <v>0.50943396226415094</v>
      </c>
    </row>
    <row r="22" spans="2:46" x14ac:dyDescent="0.3">
      <c r="B22" s="112">
        <v>1996</v>
      </c>
      <c r="C22" s="314">
        <v>3427</v>
      </c>
      <c r="D22" s="315">
        <v>575</v>
      </c>
      <c r="E22" s="315">
        <v>1</v>
      </c>
      <c r="F22" s="369">
        <f t="shared" si="0"/>
        <v>1.7391304347826088E-3</v>
      </c>
      <c r="G22" s="315">
        <v>30</v>
      </c>
      <c r="H22" s="369">
        <f t="shared" si="1"/>
        <v>5.2173913043478258E-2</v>
      </c>
      <c r="I22" s="315">
        <v>31</v>
      </c>
      <c r="J22" s="316">
        <v>5.4</v>
      </c>
      <c r="K22" s="318">
        <v>228</v>
      </c>
      <c r="L22" s="382">
        <v>39.700000000000003</v>
      </c>
      <c r="M22" s="315">
        <v>317</v>
      </c>
      <c r="N22" s="316">
        <v>55.1</v>
      </c>
      <c r="P22" s="205">
        <f t="shared" si="4"/>
        <v>0.83221476510067116</v>
      </c>
      <c r="Q22" s="11">
        <f t="shared" si="5"/>
        <v>2852</v>
      </c>
      <c r="R22" s="11">
        <f t="shared" si="2"/>
        <v>1572.32</v>
      </c>
      <c r="S22" s="62">
        <f t="shared" si="6"/>
        <v>5.3913043478260869E-2</v>
      </c>
      <c r="T22" s="62">
        <f t="shared" si="3"/>
        <v>0.55130434782608695</v>
      </c>
      <c r="U22" s="62">
        <f t="shared" si="7"/>
        <v>0.58272058823529416</v>
      </c>
    </row>
    <row r="23" spans="2:46" x14ac:dyDescent="0.3">
      <c r="B23" s="112">
        <v>1997</v>
      </c>
      <c r="C23" s="314">
        <v>9673</v>
      </c>
      <c r="D23" s="314">
        <v>1222</v>
      </c>
      <c r="E23" s="315">
        <v>1</v>
      </c>
      <c r="F23" s="369">
        <f t="shared" si="0"/>
        <v>8.1833060556464816E-4</v>
      </c>
      <c r="G23" s="315">
        <v>82</v>
      </c>
      <c r="H23" s="369">
        <f t="shared" si="1"/>
        <v>6.7103109656301146E-2</v>
      </c>
      <c r="I23" s="315">
        <v>83</v>
      </c>
      <c r="J23" s="316">
        <v>6.8</v>
      </c>
      <c r="K23" s="318">
        <v>393</v>
      </c>
      <c r="L23" s="382">
        <v>32.200000000000003</v>
      </c>
      <c r="M23" s="315">
        <v>746</v>
      </c>
      <c r="N23" s="316">
        <v>61.1</v>
      </c>
      <c r="P23" s="205">
        <f t="shared" si="4"/>
        <v>0.87366897549881117</v>
      </c>
      <c r="Q23" s="11">
        <f t="shared" si="5"/>
        <v>8451</v>
      </c>
      <c r="R23" s="11">
        <f t="shared" si="2"/>
        <v>5159.1211129296235</v>
      </c>
      <c r="S23" s="62">
        <f t="shared" si="6"/>
        <v>6.7921440261865793E-2</v>
      </c>
      <c r="T23" s="62">
        <f t="shared" si="3"/>
        <v>0.61047463175122751</v>
      </c>
      <c r="U23" s="62">
        <f t="shared" si="7"/>
        <v>0.65496049165935033</v>
      </c>
    </row>
    <row r="24" spans="2:46" x14ac:dyDescent="0.3">
      <c r="B24" s="112">
        <v>1998</v>
      </c>
      <c r="C24" s="314">
        <v>4514</v>
      </c>
      <c r="D24" s="315">
        <v>550</v>
      </c>
      <c r="E24" s="315">
        <v>1</v>
      </c>
      <c r="F24" s="369">
        <f t="shared" si="0"/>
        <v>1.8181818181818182E-3</v>
      </c>
      <c r="G24" s="315">
        <v>28</v>
      </c>
      <c r="H24" s="369">
        <f t="shared" si="1"/>
        <v>5.0909090909090911E-2</v>
      </c>
      <c r="I24" s="315">
        <v>28</v>
      </c>
      <c r="J24" s="316">
        <v>5.0999999999999996</v>
      </c>
      <c r="K24" s="318">
        <v>152</v>
      </c>
      <c r="L24" s="382">
        <v>27.8</v>
      </c>
      <c r="M24" s="315">
        <v>367</v>
      </c>
      <c r="N24" s="316">
        <v>66.7</v>
      </c>
      <c r="P24" s="205">
        <f t="shared" si="4"/>
        <v>0.87815684536996008</v>
      </c>
      <c r="Q24" s="11">
        <f t="shared" si="5"/>
        <v>3964</v>
      </c>
      <c r="R24" s="11">
        <f t="shared" si="2"/>
        <v>2645.0690909090908</v>
      </c>
      <c r="S24" s="62">
        <f t="shared" si="6"/>
        <v>5.0909090909090911E-2</v>
      </c>
      <c r="T24" s="62">
        <f t="shared" si="3"/>
        <v>0.66727272727272724</v>
      </c>
      <c r="U24" s="62">
        <f t="shared" si="7"/>
        <v>0.7030651340996168</v>
      </c>
      <c r="AF24">
        <v>2002</v>
      </c>
      <c r="AG24" t="s">
        <v>356</v>
      </c>
      <c r="AH24">
        <v>152</v>
      </c>
      <c r="AI24">
        <v>345</v>
      </c>
      <c r="AJ24">
        <v>724</v>
      </c>
      <c r="AM24" s="451">
        <v>0.33900000000000002</v>
      </c>
      <c r="AN24" s="451">
        <v>0.44500000000000001</v>
      </c>
      <c r="AO24" s="451">
        <v>0.54600000000000004</v>
      </c>
      <c r="AR24" s="355">
        <f>AH24/(1-AM24)</f>
        <v>229.95461422087746</v>
      </c>
      <c r="AS24" s="355">
        <f>AI24/(1-AN24)</f>
        <v>621.62162162162167</v>
      </c>
      <c r="AT24" s="355">
        <f t="shared" ref="AT24:AT39" si="8">AJ24/(1-AO24)</f>
        <v>1594.7136563876654</v>
      </c>
    </row>
    <row r="25" spans="2:46" x14ac:dyDescent="0.3">
      <c r="B25" s="112">
        <v>1999</v>
      </c>
      <c r="C25" s="314">
        <v>4890</v>
      </c>
      <c r="D25" s="315">
        <v>420</v>
      </c>
      <c r="E25" s="315">
        <v>0</v>
      </c>
      <c r="F25" s="369">
        <f t="shared" si="0"/>
        <v>0</v>
      </c>
      <c r="G25" s="315">
        <v>19</v>
      </c>
      <c r="H25" s="369">
        <f t="shared" si="1"/>
        <v>4.5238095238095237E-2</v>
      </c>
      <c r="I25" s="315">
        <v>20</v>
      </c>
      <c r="J25" s="316">
        <v>4.8</v>
      </c>
      <c r="K25" s="318">
        <v>97</v>
      </c>
      <c r="L25" s="382">
        <v>24.2</v>
      </c>
      <c r="M25" s="315">
        <v>284</v>
      </c>
      <c r="N25" s="316">
        <v>67.7</v>
      </c>
      <c r="P25" s="205">
        <f t="shared" si="4"/>
        <v>0.91411042944785281</v>
      </c>
      <c r="Q25" s="11">
        <f t="shared" si="5"/>
        <v>4470</v>
      </c>
      <c r="R25" s="11">
        <f t="shared" si="2"/>
        <v>3022.5714285714284</v>
      </c>
      <c r="S25" s="62">
        <f t="shared" si="6"/>
        <v>4.7619047619047616E-2</v>
      </c>
      <c r="T25" s="62">
        <f t="shared" si="3"/>
        <v>0.67619047619047623</v>
      </c>
      <c r="U25" s="62">
        <f t="shared" si="7"/>
        <v>0.71000000000000008</v>
      </c>
      <c r="AF25">
        <v>2003</v>
      </c>
      <c r="AG25" t="s">
        <v>356</v>
      </c>
      <c r="AH25">
        <v>199</v>
      </c>
      <c r="AI25">
        <v>58</v>
      </c>
      <c r="AJ25">
        <v>383</v>
      </c>
      <c r="AM25" s="451">
        <v>0.24</v>
      </c>
      <c r="AN25" s="451">
        <v>0.41299999999999998</v>
      </c>
      <c r="AO25" s="451">
        <v>0.60799999999999998</v>
      </c>
      <c r="AR25" s="355">
        <f t="shared" ref="AR25:AR39" si="9">AH25/(1-AM25)</f>
        <v>261.84210526315792</v>
      </c>
      <c r="AS25" s="355">
        <f>AI25/(1-AN25)</f>
        <v>98.807495741056229</v>
      </c>
      <c r="AT25" s="355">
        <f t="shared" si="8"/>
        <v>977.0408163265306</v>
      </c>
    </row>
    <row r="26" spans="2:46" x14ac:dyDescent="0.3">
      <c r="B26" s="112">
        <v>2000</v>
      </c>
      <c r="C26" s="314">
        <v>22500</v>
      </c>
      <c r="D26" s="314">
        <v>1370</v>
      </c>
      <c r="E26" s="315">
        <v>3</v>
      </c>
      <c r="F26" s="369">
        <f t="shared" si="0"/>
        <v>2.1897810218978104E-3</v>
      </c>
      <c r="G26" s="315">
        <v>83</v>
      </c>
      <c r="H26" s="369">
        <f t="shared" si="1"/>
        <v>6.0583941605839416E-2</v>
      </c>
      <c r="I26" s="315">
        <v>86</v>
      </c>
      <c r="J26" s="316">
        <v>6.3</v>
      </c>
      <c r="K26" s="318">
        <v>377</v>
      </c>
      <c r="L26" s="382">
        <v>27.6</v>
      </c>
      <c r="M26" s="315">
        <v>904</v>
      </c>
      <c r="N26" s="316">
        <v>66</v>
      </c>
      <c r="P26" s="205">
        <f t="shared" si="4"/>
        <v>0.93911111111111112</v>
      </c>
      <c r="Q26" s="11">
        <f t="shared" si="5"/>
        <v>21130</v>
      </c>
      <c r="R26" s="11">
        <f t="shared" si="2"/>
        <v>13942.715328467153</v>
      </c>
      <c r="S26" s="62">
        <f t="shared" si="6"/>
        <v>6.2773722627737227E-2</v>
      </c>
      <c r="T26" s="62">
        <f t="shared" si="3"/>
        <v>0.6598540145985401</v>
      </c>
      <c r="U26" s="62">
        <f t="shared" si="7"/>
        <v>0.70404984423675998</v>
      </c>
      <c r="AF26">
        <v>2004</v>
      </c>
      <c r="AG26" t="s">
        <v>356</v>
      </c>
      <c r="AH26">
        <v>142</v>
      </c>
      <c r="AI26">
        <v>488</v>
      </c>
      <c r="AJ26">
        <v>1015</v>
      </c>
      <c r="AM26" s="451">
        <v>0.68400000000000005</v>
      </c>
      <c r="AN26" s="451">
        <v>0.25900000000000001</v>
      </c>
      <c r="AO26" s="451">
        <v>0.36759999999999998</v>
      </c>
      <c r="AR26" s="355">
        <f t="shared" si="9"/>
        <v>449.36708860759501</v>
      </c>
      <c r="AS26" s="355">
        <f>AI26/(1-AN26)</f>
        <v>658.56950067476384</v>
      </c>
      <c r="AT26" s="355">
        <f t="shared" si="8"/>
        <v>1604.9968374446551</v>
      </c>
    </row>
    <row r="27" spans="2:46" x14ac:dyDescent="0.3">
      <c r="B27" s="112">
        <v>2001</v>
      </c>
      <c r="C27" s="314">
        <v>51935</v>
      </c>
      <c r="D27" s="314">
        <v>6287</v>
      </c>
      <c r="E27" s="315">
        <v>89</v>
      </c>
      <c r="F27" s="369">
        <f t="shared" si="0"/>
        <v>1.4156195323683791E-2</v>
      </c>
      <c r="G27" s="315">
        <v>821</v>
      </c>
      <c r="H27" s="369">
        <f t="shared" si="1"/>
        <v>0.13058692540162239</v>
      </c>
      <c r="I27" s="315">
        <v>910</v>
      </c>
      <c r="J27" s="316">
        <v>14.5</v>
      </c>
      <c r="K27" s="318">
        <v>552</v>
      </c>
      <c r="L27" s="382">
        <v>8.8000000000000007</v>
      </c>
      <c r="M27" s="314">
        <v>4807</v>
      </c>
      <c r="N27" s="316">
        <v>76.5</v>
      </c>
      <c r="P27" s="205">
        <f t="shared" si="4"/>
        <v>0.87894483488976605</v>
      </c>
      <c r="Q27" s="11">
        <f t="shared" si="5"/>
        <v>45648</v>
      </c>
      <c r="R27" s="11">
        <f t="shared" si="2"/>
        <v>34902.168919993637</v>
      </c>
      <c r="S27" s="62">
        <f t="shared" si="6"/>
        <v>0.14474312072530618</v>
      </c>
      <c r="T27" s="62">
        <f t="shared" si="3"/>
        <v>0.76459360585334812</v>
      </c>
      <c r="U27" s="62">
        <f t="shared" si="7"/>
        <v>0.89399293286219073</v>
      </c>
      <c r="AF27">
        <v>2005</v>
      </c>
      <c r="AG27" t="s">
        <v>356</v>
      </c>
      <c r="AH27">
        <v>129</v>
      </c>
      <c r="AI27">
        <v>527</v>
      </c>
      <c r="AJ27">
        <v>316</v>
      </c>
      <c r="AM27" s="451">
        <v>0.51</v>
      </c>
      <c r="AN27" s="451">
        <v>0.34699999999999998</v>
      </c>
      <c r="AO27" s="451">
        <v>0.78549999999999998</v>
      </c>
      <c r="AR27" s="355">
        <f t="shared" si="9"/>
        <v>263.26530612244898</v>
      </c>
      <c r="AS27" s="355">
        <f>AI27/(1-AN27)</f>
        <v>807.04441041347627</v>
      </c>
      <c r="AT27" s="355">
        <f t="shared" si="8"/>
        <v>1473.193473193473</v>
      </c>
    </row>
    <row r="28" spans="2:46" x14ac:dyDescent="0.3">
      <c r="B28" s="112">
        <v>2002</v>
      </c>
      <c r="C28" s="314">
        <v>37028</v>
      </c>
      <c r="D28" s="314">
        <v>3015</v>
      </c>
      <c r="E28" s="315">
        <v>58</v>
      </c>
      <c r="F28" s="369">
        <f t="shared" si="0"/>
        <v>1.9237147595356552E-2</v>
      </c>
      <c r="G28" s="315">
        <v>321</v>
      </c>
      <c r="H28" s="369">
        <f t="shared" si="1"/>
        <v>0.10646766169154229</v>
      </c>
      <c r="I28" s="315">
        <v>380</v>
      </c>
      <c r="J28" s="316">
        <v>12.6</v>
      </c>
      <c r="K28" s="318">
        <v>664</v>
      </c>
      <c r="L28" s="382">
        <v>22.2</v>
      </c>
      <c r="M28" s="314">
        <v>1957</v>
      </c>
      <c r="N28" s="316">
        <v>64.900000000000006</v>
      </c>
      <c r="P28" s="205">
        <f t="shared" si="4"/>
        <v>0.91857513233228905</v>
      </c>
      <c r="Q28" s="11">
        <f t="shared" si="5"/>
        <v>34013</v>
      </c>
      <c r="R28" s="11">
        <f t="shared" si="2"/>
        <v>22077.426533996684</v>
      </c>
      <c r="S28" s="62">
        <f t="shared" si="6"/>
        <v>0.12603648424543948</v>
      </c>
      <c r="T28" s="62">
        <f t="shared" si="3"/>
        <v>0.64908789386401322</v>
      </c>
      <c r="U28" s="62">
        <f t="shared" si="7"/>
        <v>0.74269449715370017</v>
      </c>
      <c r="AF28">
        <v>2006</v>
      </c>
      <c r="AG28" t="s">
        <v>356</v>
      </c>
      <c r="AH28">
        <v>79</v>
      </c>
      <c r="AI28">
        <v>328</v>
      </c>
      <c r="AJ28">
        <v>314</v>
      </c>
      <c r="AM28" s="451">
        <v>0.57999999999999996</v>
      </c>
      <c r="AN28" s="451">
        <v>0.38700000000000001</v>
      </c>
      <c r="AO28" s="451">
        <v>0.66600000000000004</v>
      </c>
      <c r="AR28" s="355">
        <f t="shared" si="9"/>
        <v>188.09523809523807</v>
      </c>
      <c r="AS28" s="355">
        <f>AI28/(1-AN28)</f>
        <v>535.07340946166391</v>
      </c>
      <c r="AT28" s="355">
        <f t="shared" si="8"/>
        <v>940.11976047904204</v>
      </c>
    </row>
    <row r="29" spans="2:46" x14ac:dyDescent="0.3">
      <c r="B29" s="112">
        <v>2003</v>
      </c>
      <c r="C29" s="314">
        <v>23845</v>
      </c>
      <c r="D29" s="314">
        <v>2233</v>
      </c>
      <c r="E29" s="315">
        <v>35</v>
      </c>
      <c r="F29" s="369">
        <f t="shared" si="0"/>
        <v>1.5673981191222569E-2</v>
      </c>
      <c r="G29" s="315">
        <v>175</v>
      </c>
      <c r="H29" s="369">
        <f t="shared" si="1"/>
        <v>7.8369905956112859E-2</v>
      </c>
      <c r="I29" s="315">
        <v>211</v>
      </c>
      <c r="J29" s="316">
        <v>9.4</v>
      </c>
      <c r="K29" s="318">
        <v>411</v>
      </c>
      <c r="L29" s="382">
        <v>18.7</v>
      </c>
      <c r="M29" s="314">
        <v>1581</v>
      </c>
      <c r="N29" s="316">
        <v>70.8</v>
      </c>
      <c r="P29" s="205">
        <f t="shared" si="4"/>
        <v>0.90635353323547918</v>
      </c>
      <c r="Q29" s="11">
        <f t="shared" si="5"/>
        <v>21612</v>
      </c>
      <c r="R29" s="11">
        <f t="shared" si="2"/>
        <v>15301.644424540977</v>
      </c>
      <c r="S29" s="62">
        <f t="shared" si="6"/>
        <v>9.4491715181370353E-2</v>
      </c>
      <c r="T29" s="62">
        <f t="shared" si="3"/>
        <v>0.70801612180922524</v>
      </c>
      <c r="U29" s="62">
        <f t="shared" si="7"/>
        <v>0.78189910979228483</v>
      </c>
      <c r="AF29">
        <v>2007</v>
      </c>
      <c r="AG29" t="s">
        <v>356</v>
      </c>
      <c r="AH29">
        <v>206</v>
      </c>
      <c r="AI29">
        <v>266</v>
      </c>
      <c r="AJ29">
        <v>376</v>
      </c>
      <c r="AM29" s="451">
        <v>0.56000000000000005</v>
      </c>
      <c r="AN29" s="360"/>
      <c r="AO29" s="451">
        <v>0.8125</v>
      </c>
      <c r="AR29" s="355">
        <f t="shared" si="9"/>
        <v>468.18181818181824</v>
      </c>
      <c r="AS29" s="452">
        <f>AI29/(1-AN$41)</f>
        <v>422.0308250226654</v>
      </c>
      <c r="AT29" s="355">
        <f t="shared" si="8"/>
        <v>2005.3333333333333</v>
      </c>
    </row>
    <row r="30" spans="2:46" x14ac:dyDescent="0.3">
      <c r="B30" s="112">
        <v>2004</v>
      </c>
      <c r="C30" s="314">
        <v>15652</v>
      </c>
      <c r="D30" s="314">
        <v>2353</v>
      </c>
      <c r="E30" s="315">
        <v>50</v>
      </c>
      <c r="F30" s="369">
        <f t="shared" si="0"/>
        <v>2.1249468763280918E-2</v>
      </c>
      <c r="G30" s="315">
        <v>203</v>
      </c>
      <c r="H30" s="369">
        <f t="shared" si="1"/>
        <v>8.6272843178920533E-2</v>
      </c>
      <c r="I30" s="315">
        <v>254</v>
      </c>
      <c r="J30" s="316">
        <v>10.8</v>
      </c>
      <c r="K30" s="318">
        <v>420</v>
      </c>
      <c r="L30" s="382">
        <v>18.2</v>
      </c>
      <c r="M30" s="314">
        <v>1641</v>
      </c>
      <c r="N30" s="316">
        <v>69.8</v>
      </c>
      <c r="P30" s="205">
        <f t="shared" si="4"/>
        <v>0.84966777408637872</v>
      </c>
      <c r="Q30" s="11">
        <f t="shared" si="5"/>
        <v>13299</v>
      </c>
      <c r="R30" s="11">
        <f t="shared" si="2"/>
        <v>9274.8232044198903</v>
      </c>
      <c r="S30" s="62">
        <f t="shared" si="6"/>
        <v>0.10794730131746706</v>
      </c>
      <c r="T30" s="62">
        <f t="shared" si="3"/>
        <v>0.69740756481087973</v>
      </c>
      <c r="U30" s="62">
        <f t="shared" si="7"/>
        <v>0.78180085755121487</v>
      </c>
      <c r="AF30">
        <v>2008</v>
      </c>
      <c r="AG30" t="s">
        <v>356</v>
      </c>
      <c r="AH30">
        <v>95</v>
      </c>
      <c r="AI30">
        <v>298</v>
      </c>
      <c r="AJ30">
        <v>366</v>
      </c>
      <c r="AM30" s="451">
        <v>0.51</v>
      </c>
      <c r="AN30" s="451">
        <v>0.38700000000000001</v>
      </c>
      <c r="AO30" s="451">
        <v>0.82899999999999996</v>
      </c>
      <c r="AR30" s="355">
        <f t="shared" si="9"/>
        <v>193.87755102040816</v>
      </c>
      <c r="AS30" s="355">
        <f>AI30/(1-AN30)</f>
        <v>486.13376835236545</v>
      </c>
      <c r="AT30" s="355">
        <f t="shared" si="8"/>
        <v>2140.3508771929819</v>
      </c>
    </row>
    <row r="31" spans="2:46" x14ac:dyDescent="0.3">
      <c r="B31" s="112">
        <v>2005</v>
      </c>
      <c r="C31" s="314">
        <v>16631</v>
      </c>
      <c r="D31" s="314">
        <v>2905</v>
      </c>
      <c r="E31" s="315">
        <v>48</v>
      </c>
      <c r="F31" s="369">
        <f t="shared" si="0"/>
        <v>1.6523235800344233E-2</v>
      </c>
      <c r="G31" s="315">
        <v>181</v>
      </c>
      <c r="H31" s="369">
        <f t="shared" si="1"/>
        <v>6.2306368330464719E-2</v>
      </c>
      <c r="I31" s="315">
        <v>229</v>
      </c>
      <c r="J31" s="316">
        <v>7.9</v>
      </c>
      <c r="K31" s="318">
        <v>505</v>
      </c>
      <c r="L31" s="382">
        <v>18</v>
      </c>
      <c r="M31" s="314">
        <v>2080</v>
      </c>
      <c r="N31" s="316">
        <v>71.599999999999994</v>
      </c>
      <c r="P31" s="205">
        <f t="shared" si="4"/>
        <v>0.82532619806385665</v>
      </c>
      <c r="Q31" s="11">
        <f t="shared" si="5"/>
        <v>13726</v>
      </c>
      <c r="R31" s="11">
        <f t="shared" si="2"/>
        <v>9827.9104991394142</v>
      </c>
      <c r="S31" s="62">
        <f t="shared" si="6"/>
        <v>7.8829604130808945E-2</v>
      </c>
      <c r="T31" s="62">
        <f t="shared" si="3"/>
        <v>0.71600688468158347</v>
      </c>
      <c r="U31" s="62">
        <f t="shared" si="7"/>
        <v>0.77727952167414049</v>
      </c>
      <c r="AF31">
        <v>2009</v>
      </c>
      <c r="AG31" t="s">
        <v>356</v>
      </c>
      <c r="AH31">
        <v>180</v>
      </c>
      <c r="AI31">
        <v>564</v>
      </c>
      <c r="AJ31">
        <v>594</v>
      </c>
      <c r="AM31" s="451">
        <v>0.51100000000000001</v>
      </c>
      <c r="AN31" s="451">
        <v>0.40699999999999997</v>
      </c>
      <c r="AO31" s="451">
        <v>0.72940000000000005</v>
      </c>
      <c r="AR31" s="355">
        <f t="shared" si="9"/>
        <v>368.09815950920245</v>
      </c>
      <c r="AS31" s="355">
        <f>AI31/(1-AN31)</f>
        <v>951.09612141652622</v>
      </c>
      <c r="AT31" s="355">
        <f t="shared" si="8"/>
        <v>2195.1219512195125</v>
      </c>
    </row>
    <row r="32" spans="2:46" x14ac:dyDescent="0.3">
      <c r="B32" s="112">
        <v>2006</v>
      </c>
      <c r="C32" s="314">
        <v>15132</v>
      </c>
      <c r="D32" s="314">
        <v>1463</v>
      </c>
      <c r="E32" s="315">
        <v>22</v>
      </c>
      <c r="F32" s="369">
        <f t="shared" si="0"/>
        <v>1.5037593984962405E-2</v>
      </c>
      <c r="G32" s="315">
        <v>96</v>
      </c>
      <c r="H32" s="369">
        <f t="shared" si="1"/>
        <v>6.5618591934381409E-2</v>
      </c>
      <c r="I32" s="315">
        <v>118</v>
      </c>
      <c r="J32" s="316">
        <v>8.1</v>
      </c>
      <c r="K32" s="318">
        <v>413</v>
      </c>
      <c r="L32" s="382">
        <v>28.2</v>
      </c>
      <c r="M32" s="315">
        <v>933</v>
      </c>
      <c r="N32" s="316">
        <v>63.7</v>
      </c>
      <c r="P32" s="205">
        <f>Q32/C32</f>
        <v>0.90331747290510178</v>
      </c>
      <c r="Q32" s="11">
        <f>C32-D32</f>
        <v>13669</v>
      </c>
      <c r="R32" s="11">
        <f>(Q32/D32)*M32</f>
        <v>8717.1408065618598</v>
      </c>
      <c r="S32" s="62">
        <f t="shared" si="6"/>
        <v>8.0656185919343815E-2</v>
      </c>
      <c r="T32" s="62">
        <f t="shared" si="3"/>
        <v>0.63773069036226926</v>
      </c>
      <c r="U32" s="62">
        <f t="shared" si="7"/>
        <v>0.69368029739776937</v>
      </c>
      <c r="AF32">
        <v>2010</v>
      </c>
      <c r="AG32" t="s">
        <v>356</v>
      </c>
      <c r="AH32">
        <v>334</v>
      </c>
      <c r="AI32">
        <v>601</v>
      </c>
      <c r="AJ32">
        <v>536</v>
      </c>
      <c r="AM32" s="451">
        <v>0.249</v>
      </c>
      <c r="AN32" s="451">
        <v>0.46800000000000003</v>
      </c>
      <c r="AO32" s="451">
        <v>0.69499999999999995</v>
      </c>
      <c r="AR32" s="355">
        <f t="shared" si="9"/>
        <v>444.74034620505989</v>
      </c>
      <c r="AS32" s="355">
        <f>AI32/(1-AN32)</f>
        <v>1129.6992481203006</v>
      </c>
      <c r="AT32" s="355">
        <f t="shared" si="8"/>
        <v>1757.3770491803275</v>
      </c>
    </row>
    <row r="33" spans="2:47" x14ac:dyDescent="0.3">
      <c r="B33" s="112">
        <v>2007</v>
      </c>
      <c r="C33" s="314">
        <v>6489</v>
      </c>
      <c r="D33" s="315">
        <v>463</v>
      </c>
      <c r="E33" s="315">
        <v>7</v>
      </c>
      <c r="F33" s="369">
        <f t="shared" si="0"/>
        <v>1.511879049676026E-2</v>
      </c>
      <c r="G33" s="315">
        <v>32</v>
      </c>
      <c r="H33" s="369">
        <f t="shared" si="1"/>
        <v>6.9114470842332618E-2</v>
      </c>
      <c r="I33" s="315">
        <v>38</v>
      </c>
      <c r="J33" s="316">
        <v>8.1999999999999993</v>
      </c>
      <c r="K33" s="315">
        <v>27</v>
      </c>
      <c r="L33" s="383">
        <v>5.9</v>
      </c>
      <c r="M33" s="315">
        <v>398</v>
      </c>
      <c r="N33" s="316">
        <v>85.9</v>
      </c>
      <c r="P33" s="205">
        <f t="shared" si="4"/>
        <v>0.92864848204654027</v>
      </c>
      <c r="Q33" s="11">
        <f t="shared" si="5"/>
        <v>6026</v>
      </c>
      <c r="R33" s="11">
        <f t="shared" si="2"/>
        <v>5180.0172786177109</v>
      </c>
      <c r="S33" s="62">
        <f t="shared" si="6"/>
        <v>8.2073434125269976E-2</v>
      </c>
      <c r="T33" s="62">
        <f t="shared" si="3"/>
        <v>0.85961123110151183</v>
      </c>
      <c r="U33" s="62">
        <f t="shared" si="7"/>
        <v>0.93647058823529405</v>
      </c>
      <c r="AF33">
        <v>2011</v>
      </c>
      <c r="AG33" t="s">
        <v>356</v>
      </c>
      <c r="AH33">
        <v>381</v>
      </c>
      <c r="AI33">
        <v>961</v>
      </c>
      <c r="AJ33">
        <v>1152</v>
      </c>
      <c r="AM33" s="451">
        <v>0.25</v>
      </c>
      <c r="AN33" s="451">
        <v>0.48499999999999999</v>
      </c>
      <c r="AO33" s="451">
        <v>0.59940000000000004</v>
      </c>
      <c r="AR33" s="355">
        <f t="shared" si="9"/>
        <v>508</v>
      </c>
      <c r="AS33" s="355">
        <f>AI33/(1-AN33)</f>
        <v>1866.019417475728</v>
      </c>
      <c r="AT33" s="355">
        <f t="shared" si="8"/>
        <v>2875.6864702945586</v>
      </c>
    </row>
    <row r="34" spans="2:47" x14ac:dyDescent="0.3">
      <c r="B34" s="112">
        <v>2008</v>
      </c>
      <c r="C34" s="314">
        <v>15410</v>
      </c>
      <c r="D34" s="315">
        <v>833</v>
      </c>
      <c r="E34" s="315">
        <v>18</v>
      </c>
      <c r="F34" s="369">
        <f t="shared" si="0"/>
        <v>2.1608643457382955E-2</v>
      </c>
      <c r="G34" s="315">
        <v>114</v>
      </c>
      <c r="H34" s="369">
        <f t="shared" si="1"/>
        <v>0.1368547418967587</v>
      </c>
      <c r="I34" s="315">
        <v>132</v>
      </c>
      <c r="J34" s="316">
        <v>15.9</v>
      </c>
      <c r="K34" s="315">
        <v>26</v>
      </c>
      <c r="L34" s="383">
        <v>3.2</v>
      </c>
      <c r="M34" s="315">
        <v>675</v>
      </c>
      <c r="N34" s="316">
        <v>81.099999999999994</v>
      </c>
      <c r="P34" s="205">
        <f t="shared" si="4"/>
        <v>0.94594419208306291</v>
      </c>
      <c r="Q34" s="11">
        <f t="shared" si="5"/>
        <v>14577</v>
      </c>
      <c r="R34" s="11">
        <f t="shared" si="2"/>
        <v>11812.094837935174</v>
      </c>
      <c r="S34" s="62">
        <f t="shared" si="6"/>
        <v>0.15846338535414164</v>
      </c>
      <c r="T34" s="62">
        <f t="shared" si="3"/>
        <v>0.81032412965186074</v>
      </c>
      <c r="U34" s="62">
        <f t="shared" si="7"/>
        <v>0.96291012838801704</v>
      </c>
      <c r="AF34">
        <v>2012</v>
      </c>
      <c r="AG34" t="s">
        <v>356</v>
      </c>
      <c r="AH34">
        <v>254</v>
      </c>
      <c r="AI34">
        <v>261</v>
      </c>
      <c r="AJ34">
        <v>935</v>
      </c>
      <c r="AM34" s="451">
        <v>0.34</v>
      </c>
      <c r="AN34" s="451"/>
      <c r="AO34" s="451">
        <v>0.62760000000000005</v>
      </c>
      <c r="AR34" s="355">
        <f t="shared" si="9"/>
        <v>384.84848484848487</v>
      </c>
      <c r="AS34" s="452">
        <f>AI34/(1-AN$41)</f>
        <v>414.09791477787849</v>
      </c>
      <c r="AT34" s="355">
        <f t="shared" si="8"/>
        <v>2510.7411385606879</v>
      </c>
    </row>
    <row r="35" spans="2:47" x14ac:dyDescent="0.3">
      <c r="B35" s="112">
        <v>2009</v>
      </c>
      <c r="C35" s="314">
        <v>12632</v>
      </c>
      <c r="D35" s="314">
        <v>1099</v>
      </c>
      <c r="E35" s="315">
        <v>20</v>
      </c>
      <c r="F35" s="369">
        <f t="shared" si="0"/>
        <v>1.8198362147406732E-2</v>
      </c>
      <c r="G35" s="315">
        <v>94</v>
      </c>
      <c r="H35" s="369">
        <f t="shared" si="1"/>
        <v>8.5532302092811652E-2</v>
      </c>
      <c r="I35" s="315">
        <v>114</v>
      </c>
      <c r="J35" s="316">
        <v>10.4</v>
      </c>
      <c r="K35" s="319"/>
      <c r="L35" s="384"/>
      <c r="M35" s="314">
        <v>1100</v>
      </c>
      <c r="N35" s="316">
        <v>100</v>
      </c>
      <c r="P35" s="205">
        <f t="shared" si="4"/>
        <v>0.91299873337555415</v>
      </c>
      <c r="Q35" s="11">
        <f t="shared" si="5"/>
        <v>11533</v>
      </c>
      <c r="R35" s="11"/>
      <c r="S35" s="62">
        <f t="shared" si="6"/>
        <v>0.10373066424021839</v>
      </c>
      <c r="T35" s="62"/>
      <c r="U35" s="62"/>
      <c r="AF35">
        <v>2013</v>
      </c>
      <c r="AG35" t="s">
        <v>356</v>
      </c>
      <c r="AH35">
        <v>152</v>
      </c>
      <c r="AI35">
        <v>241</v>
      </c>
      <c r="AJ35">
        <v>692</v>
      </c>
      <c r="AM35" s="451">
        <v>0.20799999999999999</v>
      </c>
      <c r="AN35" s="451">
        <v>0.52800000000000002</v>
      </c>
      <c r="AO35" s="451">
        <v>0.65959999999999996</v>
      </c>
      <c r="AR35" s="355">
        <f t="shared" si="9"/>
        <v>191.91919191919192</v>
      </c>
      <c r="AS35" s="355">
        <f>AI35/(1-AN35)</f>
        <v>510.59322033898309</v>
      </c>
      <c r="AT35" s="355">
        <f t="shared" si="8"/>
        <v>2032.9024676850761</v>
      </c>
    </row>
    <row r="36" spans="2:47" x14ac:dyDescent="0.3">
      <c r="B36" s="112">
        <v>2010</v>
      </c>
      <c r="C36" s="314">
        <v>37286</v>
      </c>
      <c r="D36" s="314">
        <v>3110</v>
      </c>
      <c r="E36" s="315">
        <v>62</v>
      </c>
      <c r="F36" s="369">
        <f t="shared" si="0"/>
        <v>1.9935691318327974E-2</v>
      </c>
      <c r="G36" s="315">
        <v>461</v>
      </c>
      <c r="H36" s="369">
        <f t="shared" si="1"/>
        <v>0.14823151125401929</v>
      </c>
      <c r="I36" s="315">
        <v>523</v>
      </c>
      <c r="J36" s="316">
        <v>16.8</v>
      </c>
      <c r="K36" s="315">
        <v>116</v>
      </c>
      <c r="L36" s="383">
        <v>3.7</v>
      </c>
      <c r="M36" s="314">
        <v>2476</v>
      </c>
      <c r="N36" s="316">
        <v>79.599999999999994</v>
      </c>
      <c r="P36" s="205">
        <f t="shared" si="4"/>
        <v>0.91659067746607303</v>
      </c>
      <c r="Q36" s="11">
        <f t="shared" si="5"/>
        <v>34176</v>
      </c>
      <c r="R36" s="11">
        <f t="shared" si="2"/>
        <v>27208.931189710613</v>
      </c>
      <c r="S36" s="62">
        <f t="shared" si="6"/>
        <v>0.16816720257234727</v>
      </c>
      <c r="T36" s="62">
        <f t="shared" ref="T36:T41" si="10">M36/D36</f>
        <v>0.79614147909967847</v>
      </c>
      <c r="U36" s="62">
        <f t="shared" si="7"/>
        <v>0.95709315809818329</v>
      </c>
      <c r="AF36">
        <v>2014</v>
      </c>
      <c r="AG36" t="s">
        <v>356</v>
      </c>
      <c r="AH36">
        <v>160</v>
      </c>
      <c r="AI36">
        <v>508</v>
      </c>
      <c r="AJ36">
        <v>1084</v>
      </c>
      <c r="AM36" s="451">
        <v>8.2000000000000003E-2</v>
      </c>
      <c r="AN36" s="451">
        <v>0.107</v>
      </c>
      <c r="AO36" s="451">
        <v>0.43</v>
      </c>
      <c r="AR36" s="355">
        <f t="shared" si="9"/>
        <v>174.29193899782135</v>
      </c>
      <c r="AS36" s="355">
        <f>AI36/(1-AN36)</f>
        <v>568.86898096304594</v>
      </c>
      <c r="AT36" s="355">
        <f t="shared" si="8"/>
        <v>1901.754385964912</v>
      </c>
    </row>
    <row r="37" spans="2:47" x14ac:dyDescent="0.3">
      <c r="B37" s="112">
        <v>2011</v>
      </c>
      <c r="C37" s="314">
        <v>16036</v>
      </c>
      <c r="D37" s="314">
        <v>2655</v>
      </c>
      <c r="E37" s="315">
        <v>37</v>
      </c>
      <c r="F37" s="369">
        <f t="shared" si="0"/>
        <v>1.3935969868173258E-2</v>
      </c>
      <c r="G37" s="315">
        <v>195</v>
      </c>
      <c r="H37" s="369">
        <f t="shared" si="1"/>
        <v>7.3446327683615822E-2</v>
      </c>
      <c r="I37" s="315">
        <v>232</v>
      </c>
      <c r="J37" s="316">
        <v>8.6999999999999993</v>
      </c>
      <c r="K37" s="315">
        <v>257</v>
      </c>
      <c r="L37" s="383">
        <v>9.6999999999999993</v>
      </c>
      <c r="M37" s="314">
        <v>2167</v>
      </c>
      <c r="N37" s="316">
        <v>81.599999999999994</v>
      </c>
      <c r="P37" s="205">
        <f t="shared" si="4"/>
        <v>0.83443502120229485</v>
      </c>
      <c r="Q37" s="11">
        <f t="shared" si="5"/>
        <v>13381</v>
      </c>
      <c r="R37" s="11">
        <f t="shared" si="2"/>
        <v>10921.516760828625</v>
      </c>
      <c r="S37" s="62">
        <f t="shared" si="6"/>
        <v>8.738229755178907E-2</v>
      </c>
      <c r="T37" s="62">
        <f t="shared" si="10"/>
        <v>0.81619585687382301</v>
      </c>
      <c r="U37" s="62">
        <f t="shared" si="7"/>
        <v>0.89434585224927776</v>
      </c>
      <c r="AF37">
        <v>2015</v>
      </c>
      <c r="AG37" t="s">
        <v>356</v>
      </c>
      <c r="AH37">
        <v>417</v>
      </c>
      <c r="AI37">
        <v>398</v>
      </c>
      <c r="AJ37">
        <v>780</v>
      </c>
      <c r="AM37" s="451">
        <v>0.18099999999999999</v>
      </c>
      <c r="AN37" s="451">
        <v>0.20599999999999999</v>
      </c>
      <c r="AO37" s="451">
        <v>0.59</v>
      </c>
      <c r="AR37" s="355">
        <f t="shared" si="9"/>
        <v>509.1575091575092</v>
      </c>
      <c r="AS37" s="355">
        <f>AI37/(1-AN37)</f>
        <v>501.2594458438287</v>
      </c>
      <c r="AT37" s="355">
        <f t="shared" si="8"/>
        <v>1902.4390243902437</v>
      </c>
    </row>
    <row r="38" spans="2:47" x14ac:dyDescent="0.3">
      <c r="B38" s="112">
        <v>2012</v>
      </c>
      <c r="C38" s="314">
        <v>25663</v>
      </c>
      <c r="D38" s="314">
        <v>5686</v>
      </c>
      <c r="E38" s="315">
        <v>71</v>
      </c>
      <c r="F38" s="369">
        <f t="shared" si="0"/>
        <v>1.2486809708054871E-2</v>
      </c>
      <c r="G38" s="315">
        <v>527</v>
      </c>
      <c r="H38" s="369">
        <f t="shared" si="1"/>
        <v>9.2683784734435462E-2</v>
      </c>
      <c r="I38" s="315">
        <v>598</v>
      </c>
      <c r="J38" s="316">
        <v>10.5</v>
      </c>
      <c r="K38" s="315">
        <v>850</v>
      </c>
      <c r="L38" s="383">
        <v>14.9</v>
      </c>
      <c r="M38" s="314">
        <v>4238</v>
      </c>
      <c r="N38" s="316">
        <v>74.5</v>
      </c>
      <c r="P38" s="205">
        <f t="shared" si="4"/>
        <v>0.77843588045045398</v>
      </c>
      <c r="Q38" s="11">
        <f t="shared" si="5"/>
        <v>19977</v>
      </c>
      <c r="R38" s="11">
        <f t="shared" si="2"/>
        <v>14889.645796693632</v>
      </c>
      <c r="S38" s="62">
        <f t="shared" si="6"/>
        <v>0.10517059444249033</v>
      </c>
      <c r="T38" s="62">
        <f t="shared" si="10"/>
        <v>0.74533943017938797</v>
      </c>
      <c r="U38" s="62">
        <f t="shared" si="7"/>
        <v>0.83294025157232709</v>
      </c>
      <c r="AF38">
        <v>2016</v>
      </c>
      <c r="AG38" t="s">
        <v>356</v>
      </c>
      <c r="AH38">
        <v>260</v>
      </c>
      <c r="AI38">
        <v>659</v>
      </c>
      <c r="AJ38">
        <v>732</v>
      </c>
      <c r="AM38" s="451">
        <v>0.159</v>
      </c>
      <c r="AO38" s="451">
        <v>0.36</v>
      </c>
      <c r="AR38" s="355">
        <f t="shared" si="9"/>
        <v>309.15576694411413</v>
      </c>
      <c r="AS38" s="452">
        <f>AI38/(1-AN$41)</f>
        <v>1045.5575702629192</v>
      </c>
      <c r="AT38" s="355">
        <f t="shared" si="8"/>
        <v>1143.75</v>
      </c>
    </row>
    <row r="39" spans="2:47" x14ac:dyDescent="0.3">
      <c r="B39" s="112">
        <v>2013</v>
      </c>
      <c r="C39" s="314">
        <v>18406</v>
      </c>
      <c r="D39" s="314">
        <v>3472</v>
      </c>
      <c r="E39" s="315">
        <v>47</v>
      </c>
      <c r="F39" s="369">
        <f t="shared" si="0"/>
        <v>1.3536866359447005E-2</v>
      </c>
      <c r="G39" s="315">
        <v>271</v>
      </c>
      <c r="H39" s="369">
        <f t="shared" si="1"/>
        <v>7.8052995391705071E-2</v>
      </c>
      <c r="I39" s="315">
        <v>319</v>
      </c>
      <c r="J39" s="316">
        <v>9.1999999999999993</v>
      </c>
      <c r="K39" s="315">
        <v>637</v>
      </c>
      <c r="L39" s="383">
        <v>18.3</v>
      </c>
      <c r="M39" s="314">
        <v>2517</v>
      </c>
      <c r="N39" s="316">
        <v>72.5</v>
      </c>
      <c r="P39" s="205">
        <f t="shared" si="4"/>
        <v>0.81136585895903512</v>
      </c>
      <c r="Q39" s="11">
        <f t="shared" si="5"/>
        <v>14934</v>
      </c>
      <c r="R39" s="11">
        <f t="shared" si="2"/>
        <v>10826.28974654378</v>
      </c>
      <c r="S39" s="62">
        <f t="shared" si="6"/>
        <v>9.1877880184331795E-2</v>
      </c>
      <c r="T39" s="62">
        <f t="shared" si="10"/>
        <v>0.7249423963133641</v>
      </c>
      <c r="U39" s="62">
        <f t="shared" si="7"/>
        <v>0.7982873453853474</v>
      </c>
      <c r="AF39">
        <v>2017</v>
      </c>
      <c r="AM39" s="451">
        <v>0.376</v>
      </c>
      <c r="AO39" s="451">
        <v>0.56999999999999995</v>
      </c>
      <c r="AR39" s="355">
        <f t="shared" si="9"/>
        <v>0</v>
      </c>
      <c r="AS39" s="355">
        <f>AI39/(1-AN39)</f>
        <v>0</v>
      </c>
      <c r="AT39" s="355">
        <f t="shared" si="8"/>
        <v>0</v>
      </c>
    </row>
    <row r="40" spans="2:47" x14ac:dyDescent="0.3">
      <c r="B40" s="112">
        <v>2014</v>
      </c>
      <c r="C40" s="314">
        <v>33046</v>
      </c>
      <c r="D40" s="314">
        <v>6276</v>
      </c>
      <c r="E40" s="315">
        <v>105</v>
      </c>
      <c r="F40" s="369">
        <f t="shared" si="0"/>
        <v>1.6730401529636712E-2</v>
      </c>
      <c r="G40" s="315">
        <v>679</v>
      </c>
      <c r="H40" s="369">
        <f t="shared" si="1"/>
        <v>0.10818992989165073</v>
      </c>
      <c r="I40" s="315">
        <v>784</v>
      </c>
      <c r="J40" s="316">
        <v>12.5</v>
      </c>
      <c r="K40" s="314">
        <v>1083</v>
      </c>
      <c r="L40" s="383">
        <v>17.3</v>
      </c>
      <c r="M40" s="314">
        <v>4415</v>
      </c>
      <c r="N40" s="316">
        <v>70.3</v>
      </c>
      <c r="P40" s="205">
        <f t="shared" si="4"/>
        <v>0.81008291472492888</v>
      </c>
      <c r="Q40" s="11">
        <f t="shared" si="5"/>
        <v>26770</v>
      </c>
      <c r="R40" s="11">
        <f t="shared" si="2"/>
        <v>18831.986934353092</v>
      </c>
      <c r="S40" s="62">
        <f t="shared" si="6"/>
        <v>0.12492033142128744</v>
      </c>
      <c r="T40" s="62">
        <f t="shared" si="10"/>
        <v>0.7034735500318674</v>
      </c>
      <c r="U40" s="62">
        <f t="shared" si="7"/>
        <v>0.80389657683903859</v>
      </c>
    </row>
    <row r="41" spans="2:47" x14ac:dyDescent="0.3">
      <c r="B41" s="113">
        <v>2015</v>
      </c>
      <c r="C41" s="314">
        <v>37713</v>
      </c>
      <c r="D41" s="314">
        <v>7235</v>
      </c>
      <c r="E41" s="315">
        <v>141</v>
      </c>
      <c r="F41" s="369">
        <f t="shared" si="0"/>
        <v>1.9488597097442984E-2</v>
      </c>
      <c r="G41" s="315">
        <v>830</v>
      </c>
      <c r="H41" s="369">
        <f t="shared" si="1"/>
        <v>0.11472011057360056</v>
      </c>
      <c r="I41" s="315">
        <v>970</v>
      </c>
      <c r="J41" s="316">
        <v>13.4</v>
      </c>
      <c r="K41" s="315">
        <v>184</v>
      </c>
      <c r="L41" s="383">
        <v>2.5</v>
      </c>
      <c r="M41" s="314">
        <v>6090</v>
      </c>
      <c r="N41" s="316">
        <v>84.2</v>
      </c>
      <c r="P41" s="205">
        <f t="shared" si="4"/>
        <v>0.80815633866306047</v>
      </c>
      <c r="Q41" s="11">
        <f>C41-D41</f>
        <v>30478</v>
      </c>
      <c r="R41" s="11">
        <f>(Q41/D41)*M41</f>
        <v>25654.598479612992</v>
      </c>
      <c r="S41" s="62">
        <f t="shared" si="6"/>
        <v>0.13407049067035245</v>
      </c>
      <c r="T41" s="62">
        <f t="shared" si="10"/>
        <v>0.84174153420870768</v>
      </c>
      <c r="U41" s="62">
        <f>T41/(1-S41)</f>
        <v>0.97206703910614534</v>
      </c>
      <c r="AH41" s="355">
        <f>GEOMEAN(AH29:AH38)</f>
        <v>222.71227094467267</v>
      </c>
      <c r="AI41" s="355">
        <f>GEOMEAN(AI29:AI38)</f>
        <v>430.05743599409539</v>
      </c>
      <c r="AJ41" s="355">
        <f>GEOMEAN(AJ29:AJ38)</f>
        <v>676.95925732883893</v>
      </c>
      <c r="AK41" s="355">
        <f>SUM(AH41:AJ41)</f>
        <v>1329.7289642676069</v>
      </c>
      <c r="AM41" s="360">
        <f>AVERAGE(AM29:AM38)</f>
        <v>0.30499999999999999</v>
      </c>
      <c r="AN41" s="360">
        <f>AVERAGE(AN29:AN38)</f>
        <v>0.36971428571428572</v>
      </c>
      <c r="AO41" s="360">
        <f>AVERAGE(AO29:AO38)</f>
        <v>0.63324999999999998</v>
      </c>
      <c r="AP41" s="360">
        <f>AK41/AU41</f>
        <v>0.44025210556972683</v>
      </c>
      <c r="AR41" s="355">
        <f t="shared" ref="AR41:AT41" si="11">GEOMEAN(AR29:AR38)</f>
        <v>329.95832869496581</v>
      </c>
      <c r="AS41" s="355">
        <f t="shared" si="11"/>
        <v>694.03348329713447</v>
      </c>
      <c r="AT41" s="355">
        <f t="shared" si="11"/>
        <v>1996.3888913478986</v>
      </c>
      <c r="AU41" s="355">
        <f>SUM(AR41:AT41)</f>
        <v>3020.3807033399989</v>
      </c>
    </row>
    <row r="42" spans="2:47" x14ac:dyDescent="0.3">
      <c r="B42" s="112">
        <v>2016</v>
      </c>
      <c r="C42" s="314">
        <v>25300</v>
      </c>
      <c r="D42" s="314">
        <v>5563</v>
      </c>
      <c r="E42" s="315">
        <v>93</v>
      </c>
      <c r="F42" s="369">
        <f t="shared" si="0"/>
        <v>1.671759841811972E-2</v>
      </c>
      <c r="G42" s="315">
        <v>534</v>
      </c>
      <c r="H42" s="369">
        <f t="shared" si="1"/>
        <v>9.5991371562106784E-2</v>
      </c>
      <c r="I42" s="315">
        <v>627</v>
      </c>
      <c r="J42" s="316">
        <v>11.3</v>
      </c>
      <c r="K42" s="315">
        <v>842</v>
      </c>
      <c r="L42" s="383">
        <v>15.1</v>
      </c>
      <c r="M42" s="314">
        <v>4100</v>
      </c>
      <c r="N42" s="316">
        <v>73.7</v>
      </c>
      <c r="P42" s="205">
        <f t="shared" ref="P42:P43" si="12">Q42/C42</f>
        <v>0.7801185770750988</v>
      </c>
      <c r="Q42" s="11">
        <f t="shared" ref="Q42:Q43" si="13">C42-D42</f>
        <v>19737</v>
      </c>
      <c r="R42" s="11">
        <f t="shared" ref="R42:R43" si="14">(Q42/D42)*M42</f>
        <v>14546.41380550063</v>
      </c>
      <c r="S42" s="62">
        <f t="shared" ref="S42:S43" si="15">I42/D42</f>
        <v>0.1127089699802265</v>
      </c>
      <c r="T42" s="62">
        <f t="shared" ref="T42:T43" si="16">M42/D42</f>
        <v>0.73701240337947149</v>
      </c>
      <c r="U42" s="62">
        <f t="shared" ref="U42:U43" si="17">T42/(1-S42)</f>
        <v>0.83063209076175037</v>
      </c>
    </row>
    <row r="43" spans="2:47" x14ac:dyDescent="0.3">
      <c r="B43" s="112">
        <v>2017</v>
      </c>
      <c r="C43" s="314">
        <v>11166</v>
      </c>
      <c r="D43" s="314">
        <v>2514</v>
      </c>
      <c r="E43" s="315">
        <v>34</v>
      </c>
      <c r="F43" s="369">
        <f>E43/D43</f>
        <v>1.3524264120922832E-2</v>
      </c>
      <c r="G43" s="315">
        <v>188</v>
      </c>
      <c r="H43" s="369">
        <f>G43/D43</f>
        <v>7.4781225139220364E-2</v>
      </c>
      <c r="I43" s="315">
        <v>222</v>
      </c>
      <c r="J43" s="316">
        <v>8.8000000000000007</v>
      </c>
      <c r="K43" s="315">
        <v>479</v>
      </c>
      <c r="L43" s="383">
        <v>19</v>
      </c>
      <c r="M43" s="314">
        <v>1819</v>
      </c>
      <c r="N43" s="316">
        <v>72.400000000000006</v>
      </c>
      <c r="P43" s="205">
        <f t="shared" si="12"/>
        <v>0.77485222998387959</v>
      </c>
      <c r="Q43" s="11">
        <f t="shared" si="13"/>
        <v>8652</v>
      </c>
      <c r="R43" s="11">
        <f t="shared" si="14"/>
        <v>6260.1384248210024</v>
      </c>
      <c r="S43" s="62">
        <f t="shared" si="15"/>
        <v>8.83054892601432E-2</v>
      </c>
      <c r="T43" s="62">
        <f t="shared" si="16"/>
        <v>0.7235481304693715</v>
      </c>
      <c r="U43" s="62">
        <f t="shared" si="17"/>
        <v>0.7936300174520069</v>
      </c>
    </row>
    <row r="44" spans="2:47" x14ac:dyDescent="0.3">
      <c r="P44" s="205"/>
      <c r="Q44" s="11"/>
      <c r="R44" s="11"/>
      <c r="S44" s="119"/>
    </row>
    <row r="45" spans="2:47" x14ac:dyDescent="0.3">
      <c r="B45" s="117" t="s">
        <v>138</v>
      </c>
      <c r="C45" s="221">
        <f>AVERAGE(C34:C43)</f>
        <v>23265.8</v>
      </c>
      <c r="D45" s="221">
        <f>AVERAGE(D34:D43)</f>
        <v>3844.3</v>
      </c>
      <c r="E45" s="221">
        <f>AVERAGE(E34:E43)</f>
        <v>62.8</v>
      </c>
      <c r="F45" s="370">
        <f t="shared" ref="F45:N45" si="18">AVERAGE(F34:F43)</f>
        <v>1.6616320402491502E-2</v>
      </c>
      <c r="G45" s="221">
        <f t="shared" si="18"/>
        <v>389.3</v>
      </c>
      <c r="H45" s="371">
        <f t="shared" si="18"/>
        <v>0.10084843002199247</v>
      </c>
      <c r="I45" s="221">
        <f t="shared" si="18"/>
        <v>452.1</v>
      </c>
      <c r="J45" s="364">
        <f t="shared" si="18"/>
        <v>11.75</v>
      </c>
      <c r="K45" s="221">
        <f t="shared" si="18"/>
        <v>497.11111111111109</v>
      </c>
      <c r="L45" s="385">
        <f t="shared" si="18"/>
        <v>11.52222222222222</v>
      </c>
      <c r="M45" s="221">
        <f>AVERAGE(M34:M43)</f>
        <v>2959.7</v>
      </c>
      <c r="N45" s="221">
        <f t="shared" si="18"/>
        <v>78.989999999999995</v>
      </c>
      <c r="P45" s="205">
        <f>AVERAGE(P32:P41)</f>
        <v>0.86499755718761051</v>
      </c>
      <c r="Q45" s="11">
        <f>AVERAGE(Q32:Q41)</f>
        <v>18552.099999999999</v>
      </c>
      <c r="R45" s="11">
        <f>AVERAGE(R32:R41)</f>
        <v>14893.58020342861</v>
      </c>
      <c r="S45" s="119">
        <f>AVERAGE(S32:S41)</f>
        <v>0.11365124664815722</v>
      </c>
    </row>
    <row r="46" spans="2:47" x14ac:dyDescent="0.3">
      <c r="B46" s="117"/>
      <c r="C46" s="221"/>
      <c r="D46" s="221"/>
      <c r="E46" s="116"/>
      <c r="F46" s="118"/>
      <c r="G46" s="116" t="s">
        <v>429</v>
      </c>
      <c r="H46" s="371">
        <f>H45/(1-(F45))</f>
        <v>0.1025524748013603</v>
      </c>
      <c r="I46" s="116"/>
      <c r="J46" s="118"/>
      <c r="K46" s="116"/>
      <c r="L46" s="386"/>
      <c r="M46" s="221"/>
      <c r="N46" s="222"/>
      <c r="U46" s="57" t="s">
        <v>236</v>
      </c>
    </row>
    <row r="47" spans="2:47" x14ac:dyDescent="0.3">
      <c r="B47" s="114" t="s">
        <v>133</v>
      </c>
      <c r="C47" s="105"/>
      <c r="D47" s="105"/>
      <c r="E47" s="105"/>
      <c r="F47" s="105"/>
      <c r="G47" s="105"/>
      <c r="H47" s="105"/>
      <c r="I47" s="105"/>
      <c r="J47" s="105"/>
      <c r="K47" s="105"/>
      <c r="L47" s="387"/>
      <c r="M47" s="105"/>
      <c r="N47" s="105"/>
      <c r="Q47" t="s">
        <v>237</v>
      </c>
      <c r="T47" s="207">
        <f>AVERAGE(T32:T41)</f>
        <v>0.77061114420249655</v>
      </c>
      <c r="U47" s="119">
        <f>AVERAGE(U32:U41)</f>
        <v>0.87241013747459994</v>
      </c>
    </row>
    <row r="48" spans="2:47" x14ac:dyDescent="0.3">
      <c r="B48" s="114" t="s">
        <v>134</v>
      </c>
      <c r="C48" s="105"/>
      <c r="D48" s="105"/>
      <c r="E48" s="105"/>
      <c r="F48" s="105"/>
      <c r="G48" s="105"/>
      <c r="H48" s="105"/>
      <c r="I48" s="105"/>
      <c r="J48" s="105"/>
      <c r="K48" s="105"/>
      <c r="L48" s="387"/>
      <c r="M48" s="105"/>
      <c r="N48" s="105"/>
    </row>
    <row r="49" spans="2:21" x14ac:dyDescent="0.3">
      <c r="B49" s="114" t="s">
        <v>135</v>
      </c>
      <c r="C49" s="105"/>
      <c r="D49" s="105"/>
      <c r="E49" s="105"/>
      <c r="F49" s="105"/>
      <c r="G49" s="105"/>
      <c r="H49" s="105"/>
      <c r="I49" s="105"/>
      <c r="J49" s="105"/>
      <c r="K49" s="105"/>
      <c r="L49" s="387"/>
      <c r="M49" s="105"/>
      <c r="N49" s="105"/>
      <c r="Q49" t="s">
        <v>238</v>
      </c>
      <c r="T49" t="s">
        <v>239</v>
      </c>
      <c r="U49">
        <v>0.878</v>
      </c>
    </row>
    <row r="50" spans="2:21" s="116" customFormat="1" x14ac:dyDescent="0.3">
      <c r="B50" s="114" t="s">
        <v>136</v>
      </c>
      <c r="C50" s="105"/>
      <c r="D50" s="105"/>
      <c r="E50" s="105"/>
      <c r="F50" s="105"/>
      <c r="G50" s="105"/>
      <c r="H50" s="105"/>
      <c r="I50" s="105"/>
      <c r="J50" s="105"/>
      <c r="K50" s="105"/>
      <c r="L50" s="387"/>
      <c r="M50" s="105"/>
      <c r="N50" s="105"/>
      <c r="Q50"/>
      <c r="R50"/>
      <c r="S50"/>
      <c r="T50" t="s">
        <v>240</v>
      </c>
      <c r="U50">
        <v>0.86699999999999999</v>
      </c>
    </row>
    <row r="51" spans="2:21" x14ac:dyDescent="0.3">
      <c r="Q51" s="116"/>
      <c r="R51" s="116"/>
      <c r="T51" t="s">
        <v>241</v>
      </c>
      <c r="U51">
        <v>0.85299999999999998</v>
      </c>
    </row>
    <row r="52" spans="2:21" x14ac:dyDescent="0.3">
      <c r="Q52" t="s">
        <v>242</v>
      </c>
      <c r="T52" s="116" t="s">
        <v>243</v>
      </c>
      <c r="U52">
        <v>0.91800000000000004</v>
      </c>
    </row>
  </sheetData>
  <sortState xmlns:xlrd2="http://schemas.microsoft.com/office/spreadsheetml/2017/richdata2" ref="AS24:AT39">
    <sortCondition ref="AS24:AS39"/>
  </sortState>
  <mergeCells count="13">
    <mergeCell ref="I4:J4"/>
    <mergeCell ref="K4:L4"/>
    <mergeCell ref="M4:N4"/>
    <mergeCell ref="B2:N2"/>
    <mergeCell ref="B3:B5"/>
    <mergeCell ref="C3:D4"/>
    <mergeCell ref="E3:F3"/>
    <mergeCell ref="G3:H3"/>
    <mergeCell ref="I3:J3"/>
    <mergeCell ref="K3:L3"/>
    <mergeCell ref="M3:N3"/>
    <mergeCell ref="E4:F4"/>
    <mergeCell ref="G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E0DC4-62A9-4B7C-B5EB-3874003DBF9A}">
  <dimension ref="A1:AA46"/>
  <sheetViews>
    <sheetView workbookViewId="0">
      <pane xSplit="2" ySplit="4" topLeftCell="C5" activePane="bottomRight" state="frozen"/>
      <selection pane="topRight" activeCell="C1" sqref="C1"/>
      <selection pane="bottomLeft" activeCell="A5" sqref="A5"/>
      <selection pane="bottomRight" activeCell="A25" sqref="A25"/>
    </sheetView>
  </sheetViews>
  <sheetFormatPr defaultRowHeight="14.4" x14ac:dyDescent="0.3"/>
  <cols>
    <col min="1" max="1" width="8.88671875" customWidth="1"/>
    <col min="2" max="2" width="32.6640625" customWidth="1"/>
    <col min="3" max="3" width="13.44140625" customWidth="1"/>
    <col min="4" max="4" width="8.88671875" style="360"/>
    <col min="7" max="7" width="2.6640625" customWidth="1"/>
    <col min="8" max="8" width="9.33203125" customWidth="1"/>
    <col min="9" max="9" width="9.6640625" customWidth="1"/>
    <col min="10" max="10" width="3.44140625" customWidth="1"/>
    <col min="11" max="11" width="7.5546875" customWidth="1"/>
    <col min="14" max="14" width="2.33203125" customWidth="1"/>
    <col min="15" max="15" width="5.5546875" bestFit="1" customWidth="1"/>
    <col min="18" max="18" width="3.33203125" customWidth="1"/>
    <col min="19" max="19" width="5.5546875" bestFit="1" customWidth="1"/>
    <col min="22" max="22" width="2.88671875" customWidth="1"/>
    <col min="23" max="23" width="5.5546875" bestFit="1" customWidth="1"/>
    <col min="24" max="24" width="9.88671875" bestFit="1" customWidth="1"/>
  </cols>
  <sheetData>
    <row r="1" spans="1:25" x14ac:dyDescent="0.3">
      <c r="H1" t="s">
        <v>397</v>
      </c>
      <c r="L1" t="s">
        <v>427</v>
      </c>
    </row>
    <row r="2" spans="1:25" x14ac:dyDescent="0.3">
      <c r="D2" s="367"/>
      <c r="H2" t="s">
        <v>398</v>
      </c>
      <c r="L2" t="s">
        <v>398</v>
      </c>
      <c r="P2" t="s">
        <v>16</v>
      </c>
      <c r="T2" t="s">
        <v>399</v>
      </c>
      <c r="X2" t="s">
        <v>18</v>
      </c>
    </row>
    <row r="3" spans="1:25" x14ac:dyDescent="0.3">
      <c r="H3" s="8"/>
    </row>
    <row r="4" spans="1:25" x14ac:dyDescent="0.3">
      <c r="C4" t="s">
        <v>428</v>
      </c>
      <c r="D4" s="368" t="s">
        <v>400</v>
      </c>
      <c r="E4" s="8" t="s">
        <v>401</v>
      </c>
      <c r="F4" s="8" t="s">
        <v>402</v>
      </c>
      <c r="H4" s="8" t="s">
        <v>403</v>
      </c>
      <c r="I4" s="8" t="s">
        <v>404</v>
      </c>
      <c r="L4" s="121" t="s">
        <v>403</v>
      </c>
      <c r="M4" t="s">
        <v>404</v>
      </c>
      <c r="P4" s="121" t="s">
        <v>403</v>
      </c>
      <c r="Q4" t="s">
        <v>404</v>
      </c>
      <c r="T4" s="121" t="s">
        <v>403</v>
      </c>
      <c r="U4" t="s">
        <v>404</v>
      </c>
      <c r="X4" s="121" t="s">
        <v>403</v>
      </c>
      <c r="Y4" t="s">
        <v>404</v>
      </c>
    </row>
    <row r="5" spans="1:25" x14ac:dyDescent="0.3">
      <c r="B5" t="s">
        <v>405</v>
      </c>
      <c r="C5" s="11">
        <f>Summary!U10</f>
        <v>1430</v>
      </c>
      <c r="D5" s="368"/>
      <c r="E5" s="8"/>
      <c r="F5" s="8"/>
      <c r="H5" s="358">
        <f t="shared" ref="H5" si="0">E6*H6</f>
        <v>1430.000000000007</v>
      </c>
      <c r="I5" s="8"/>
      <c r="L5" s="358">
        <f>H5</f>
        <v>1430.000000000007</v>
      </c>
      <c r="P5" s="358">
        <f>Summary!W10</f>
        <v>11500</v>
      </c>
      <c r="T5" s="358">
        <f>Summary!X10</f>
        <v>19840</v>
      </c>
      <c r="X5" s="358">
        <f>Summary!Y10</f>
        <v>30135</v>
      </c>
    </row>
    <row r="6" spans="1:25" x14ac:dyDescent="0.3">
      <c r="A6" t="s">
        <v>226</v>
      </c>
      <c r="B6" t="s">
        <v>434</v>
      </c>
      <c r="D6" s="360">
        <v>0.49676238738738093</v>
      </c>
      <c r="E6" s="359">
        <f t="shared" ref="E6:E13" si="1">1-D6</f>
        <v>0.50323761261261901</v>
      </c>
      <c r="F6" s="359">
        <f t="shared" ref="F6:F12" si="2">E6*F7</f>
        <v>0.37197929401971935</v>
      </c>
      <c r="H6" s="11">
        <f>E7*H8</f>
        <v>2841.5999999999781</v>
      </c>
      <c r="I6" s="11">
        <f t="shared" ref="I6" si="3">H6-H5</f>
        <v>1411.599999999971</v>
      </c>
      <c r="J6" s="11"/>
      <c r="K6" s="360">
        <f>D6</f>
        <v>0.49676238738738093</v>
      </c>
      <c r="L6" s="11">
        <f>L5/(1-K6)</f>
        <v>2841.5999999999781</v>
      </c>
      <c r="M6" s="11">
        <f>L6-L5</f>
        <v>1411.599999999971</v>
      </c>
      <c r="O6" s="360">
        <f>$D6</f>
        <v>0.49676238738738093</v>
      </c>
      <c r="P6" s="11">
        <f>P5/(1-O6)</f>
        <v>22852.027972027681</v>
      </c>
      <c r="Q6" s="11">
        <f>P6-P5</f>
        <v>11352.027972027681</v>
      </c>
      <c r="S6" s="360">
        <f>$D6</f>
        <v>0.49676238738738093</v>
      </c>
      <c r="T6" s="11">
        <f>T5/(1-S6)</f>
        <v>39424.716083915584</v>
      </c>
      <c r="U6" s="11">
        <f>T6-T5</f>
        <v>19584.716083915584</v>
      </c>
      <c r="W6" s="360">
        <f>$D6</f>
        <v>0.49676238738738093</v>
      </c>
      <c r="X6" s="11">
        <f>X5/(1-W6)</f>
        <v>59882.24895104819</v>
      </c>
      <c r="Y6" s="11">
        <f>X6-X5</f>
        <v>29747.24895104819</v>
      </c>
    </row>
    <row r="7" spans="1:25" x14ac:dyDescent="0.3">
      <c r="B7" t="s">
        <v>433</v>
      </c>
      <c r="D7" s="366">
        <f>Summary!V26</f>
        <v>0.04</v>
      </c>
      <c r="E7" s="359">
        <f t="shared" si="1"/>
        <v>0.96</v>
      </c>
      <c r="F7" s="359">
        <f>E7*F9</f>
        <v>0.73917228103945531</v>
      </c>
      <c r="I7" s="11">
        <f>H8-H6</f>
        <v>118.39999999999918</v>
      </c>
      <c r="J7" s="11"/>
      <c r="K7" s="360">
        <f>D7</f>
        <v>0.04</v>
      </c>
      <c r="M7" s="11">
        <f>L8-L6</f>
        <v>118.39999999999918</v>
      </c>
      <c r="O7" s="360">
        <f>$D7</f>
        <v>0.04</v>
      </c>
      <c r="Q7" s="11">
        <f>P8-P6</f>
        <v>952.16783216781914</v>
      </c>
      <c r="S7" s="391">
        <f>$D7*$T$22</f>
        <v>7.8431441876983046E-2</v>
      </c>
      <c r="U7" s="11">
        <f>T8-T6</f>
        <v>3355.2982041292926</v>
      </c>
      <c r="W7" s="391">
        <f>$D7*$X$22</f>
        <v>0.11634951641078722</v>
      </c>
      <c r="Y7" s="11">
        <f>X8-X6</f>
        <v>7884.6453846153818</v>
      </c>
    </row>
    <row r="8" spans="1:25" x14ac:dyDescent="0.3">
      <c r="B8" s="361" t="s">
        <v>431</v>
      </c>
      <c r="C8" s="372">
        <f>Runs!M45</f>
        <v>2959.7</v>
      </c>
      <c r="D8" s="362"/>
      <c r="E8" s="359"/>
      <c r="F8" s="359"/>
      <c r="H8" s="11">
        <f>E9*H9</f>
        <v>2959.9999999999773</v>
      </c>
      <c r="I8" s="11"/>
      <c r="J8" s="11"/>
      <c r="K8" s="360"/>
      <c r="L8" s="358">
        <f>L6/(1-K7)</f>
        <v>2959.9999999999773</v>
      </c>
      <c r="M8" s="11"/>
      <c r="O8" s="360"/>
      <c r="P8" s="358">
        <f>P6/(1-O7)</f>
        <v>23804.1958041955</v>
      </c>
      <c r="Q8" s="11"/>
      <c r="S8" s="360"/>
      <c r="T8" s="358">
        <f>T6/(1-S7)</f>
        <v>42780.014288044877</v>
      </c>
      <c r="U8" s="11"/>
      <c r="W8" s="360"/>
      <c r="X8" s="358">
        <f>X6/(1-W7)</f>
        <v>67766.894335663572</v>
      </c>
      <c r="Y8" s="11"/>
    </row>
    <row r="9" spans="1:25" x14ac:dyDescent="0.3">
      <c r="B9" t="s">
        <v>430</v>
      </c>
      <c r="D9" s="360">
        <v>0.12754632015762699</v>
      </c>
      <c r="E9" s="359">
        <f t="shared" si="1"/>
        <v>0.87245367984237299</v>
      </c>
      <c r="F9" s="359">
        <f t="shared" si="2"/>
        <v>0.76997112608276597</v>
      </c>
      <c r="H9" s="11">
        <f>E10*H11</f>
        <v>3392.7302599431564</v>
      </c>
      <c r="I9" s="11">
        <f>H9-H8</f>
        <v>432.73025994317914</v>
      </c>
      <c r="J9" s="11"/>
      <c r="K9" s="360">
        <f>D9</f>
        <v>0.12754632015762699</v>
      </c>
      <c r="L9" s="11">
        <f>L8/(1-K9)</f>
        <v>3392.7302599431564</v>
      </c>
      <c r="M9" s="11">
        <f>L9-L8</f>
        <v>432.73025994317914</v>
      </c>
      <c r="O9" s="360">
        <f>$D9</f>
        <v>0.12754632015762699</v>
      </c>
      <c r="P9" s="11">
        <f>P8/(1-O9)</f>
        <v>27284.194398144125</v>
      </c>
      <c r="Q9" s="11">
        <f>P9-P8</f>
        <v>3479.9985939486251</v>
      </c>
      <c r="S9" s="360">
        <f>$D9</f>
        <v>0.12754632015762699</v>
      </c>
      <c r="T9" s="11">
        <f>T8/(1-S9)</f>
        <v>49034.138174274172</v>
      </c>
      <c r="U9" s="11">
        <f>T9-T8</f>
        <v>6254.1238862292957</v>
      </c>
      <c r="W9" s="360">
        <f>$D9</f>
        <v>0.12754632015762699</v>
      </c>
      <c r="X9" s="11">
        <f>X8/(1-W9)</f>
        <v>77673.916565870953</v>
      </c>
      <c r="Y9" s="11">
        <f>X9-X8</f>
        <v>9907.0222302073817</v>
      </c>
    </row>
    <row r="10" spans="1:25" x14ac:dyDescent="0.3">
      <c r="B10" t="s">
        <v>432</v>
      </c>
      <c r="D10" s="366">
        <f>Runs!H46</f>
        <v>0.1025524748013603</v>
      </c>
      <c r="E10" s="359">
        <f t="shared" si="1"/>
        <v>0.89744752519863968</v>
      </c>
      <c r="F10" s="359">
        <f>E10*F12</f>
        <v>0.88253524957551599</v>
      </c>
      <c r="H10" s="75"/>
      <c r="I10" s="11">
        <f>H11-H9</f>
        <v>387.69161953354569</v>
      </c>
      <c r="J10" s="11"/>
      <c r="K10" s="360">
        <f>D10</f>
        <v>0.1025524748013603</v>
      </c>
      <c r="M10" s="11">
        <f>L11-L9</f>
        <v>387.69161953354569</v>
      </c>
      <c r="O10" s="360">
        <f>$D10</f>
        <v>0.1025524748013603</v>
      </c>
      <c r="Q10" s="11">
        <f>P11-P9</f>
        <v>3117.7997375075211</v>
      </c>
      <c r="S10" s="391">
        <f>$D10*$T$22</f>
        <v>0.20108346166809146</v>
      </c>
      <c r="U10" s="11">
        <f>T11-T9</f>
        <v>12341.65744594745</v>
      </c>
      <c r="W10" s="391">
        <f>$D10*$X$22</f>
        <v>0.29829827124669284</v>
      </c>
      <c r="Y10" s="11">
        <f>X11-X9</f>
        <v>33019.720606538351</v>
      </c>
    </row>
    <row r="11" spans="1:25" x14ac:dyDescent="0.3">
      <c r="B11" s="361" t="s">
        <v>410</v>
      </c>
      <c r="C11" s="372">
        <f>Runs!D45-Runs!E45</f>
        <v>3781.5</v>
      </c>
      <c r="D11" s="362"/>
      <c r="E11" s="359"/>
      <c r="F11" s="359"/>
      <c r="H11" s="358">
        <f>E12*H12</f>
        <v>3780.4218794767021</v>
      </c>
      <c r="I11" s="11"/>
      <c r="J11" s="11"/>
      <c r="K11" s="360"/>
      <c r="L11" s="358">
        <f>L9/(1-K10)</f>
        <v>3780.4218794767021</v>
      </c>
      <c r="M11" s="11"/>
      <c r="O11" s="360"/>
      <c r="P11" s="358">
        <f>P9/(1-O10)</f>
        <v>30401.994135651647</v>
      </c>
      <c r="Q11" s="11"/>
      <c r="S11" s="360"/>
      <c r="T11" s="358">
        <f>T9/(1-S10)</f>
        <v>61375.795620221623</v>
      </c>
      <c r="U11" s="11"/>
      <c r="W11" s="360"/>
      <c r="X11" s="358">
        <f>X9/(1-W10)</f>
        <v>110693.6371724093</v>
      </c>
      <c r="Y11" s="11"/>
    </row>
    <row r="12" spans="1:25" x14ac:dyDescent="0.3">
      <c r="B12" t="s">
        <v>411</v>
      </c>
      <c r="D12" s="360">
        <v>0</v>
      </c>
      <c r="E12" s="359">
        <f t="shared" si="1"/>
        <v>1</v>
      </c>
      <c r="F12" s="359">
        <f t="shared" si="2"/>
        <v>0.9833836795975085</v>
      </c>
      <c r="H12" s="11">
        <f>E13*H14</f>
        <v>3780.4218794767021</v>
      </c>
      <c r="I12" s="11">
        <f>H12-H11</f>
        <v>0</v>
      </c>
      <c r="J12" s="11"/>
      <c r="K12" s="360">
        <f>D12</f>
        <v>0</v>
      </c>
      <c r="L12" s="11">
        <f>L11/(1-K12)</f>
        <v>3780.4218794767021</v>
      </c>
      <c r="M12" s="11">
        <f>L12-L11</f>
        <v>0</v>
      </c>
      <c r="O12" s="360">
        <f>$D12</f>
        <v>0</v>
      </c>
      <c r="P12" s="11">
        <f>P11/(1-O12)</f>
        <v>30401.994135651647</v>
      </c>
      <c r="Q12" s="11">
        <f>P12-P11</f>
        <v>0</v>
      </c>
      <c r="S12" s="360">
        <f>$D12</f>
        <v>0</v>
      </c>
      <c r="T12" s="11">
        <f>T11/(1-S12)</f>
        <v>61375.795620221623</v>
      </c>
      <c r="U12" s="11">
        <f>T12-T11</f>
        <v>0</v>
      </c>
      <c r="W12" s="360">
        <f>$D12</f>
        <v>0</v>
      </c>
      <c r="X12" s="11">
        <f>X11/(1-W12)</f>
        <v>110693.6371724093</v>
      </c>
      <c r="Y12" s="11">
        <f>X12-X11</f>
        <v>0</v>
      </c>
    </row>
    <row r="13" spans="1:25" x14ac:dyDescent="0.3">
      <c r="B13" t="s">
        <v>412</v>
      </c>
      <c r="D13" s="366">
        <f>Runs!F45</f>
        <v>1.6616320402491502E-2</v>
      </c>
      <c r="E13" s="359">
        <f t="shared" si="1"/>
        <v>0.9833836795975085</v>
      </c>
      <c r="F13" s="359">
        <f>E13</f>
        <v>0.9833836795975085</v>
      </c>
      <c r="I13" s="11">
        <f>H14-H12</f>
        <v>63.878120523298094</v>
      </c>
      <c r="J13" s="11"/>
      <c r="K13" s="360">
        <f>D13</f>
        <v>1.6616320402491502E-2</v>
      </c>
      <c r="M13" s="11">
        <f>L14-L12</f>
        <v>63.878120523298094</v>
      </c>
      <c r="O13" s="360">
        <f>$D13</f>
        <v>1.6616320402491502E-2</v>
      </c>
      <c r="Q13" s="11">
        <f>P14-P12</f>
        <v>513.70516504750049</v>
      </c>
      <c r="S13" s="391">
        <f>$D13*$T$22</f>
        <v>3.2581049196433495E-2</v>
      </c>
      <c r="U13" s="11">
        <f>T14-T12</f>
        <v>2067.0339514350926</v>
      </c>
      <c r="W13" s="391">
        <f>$D13*$X$22</f>
        <v>4.8332521083914587E-2</v>
      </c>
      <c r="Y13" s="11">
        <f>X14-X12</f>
        <v>5621.8192499172437</v>
      </c>
    </row>
    <row r="14" spans="1:25" x14ac:dyDescent="0.3">
      <c r="B14" t="s">
        <v>413</v>
      </c>
      <c r="C14" s="11">
        <f>Runs!D45</f>
        <v>3844.3</v>
      </c>
      <c r="D14" s="362"/>
      <c r="E14" s="359"/>
      <c r="F14" s="359"/>
      <c r="H14" s="358">
        <f>Runs!D45</f>
        <v>3844.3</v>
      </c>
      <c r="I14" s="11"/>
      <c r="J14" s="11"/>
      <c r="K14" s="359"/>
      <c r="L14" s="358">
        <f>L12/(1-K13)</f>
        <v>3844.3</v>
      </c>
      <c r="M14" s="11"/>
      <c r="O14" s="360"/>
      <c r="P14" s="358">
        <f>P12/(1-O13)</f>
        <v>30915.699300699147</v>
      </c>
      <c r="Q14" s="11"/>
      <c r="S14" s="360"/>
      <c r="T14" s="358">
        <f>T12/(1-S13)</f>
        <v>63442.829571656715</v>
      </c>
      <c r="U14" s="11"/>
      <c r="W14" s="359"/>
      <c r="X14" s="358">
        <f>X12/(1-W13)</f>
        <v>116315.45642232655</v>
      </c>
      <c r="Y14" s="11"/>
    </row>
    <row r="15" spans="1:25" x14ac:dyDescent="0.3">
      <c r="D15" s="368"/>
      <c r="E15" s="8"/>
      <c r="F15" s="8"/>
      <c r="L15" s="11"/>
      <c r="P15" s="11"/>
      <c r="T15" s="11"/>
      <c r="X15" s="11"/>
    </row>
    <row r="16" spans="1:25" x14ac:dyDescent="0.3">
      <c r="B16" s="57" t="s">
        <v>414</v>
      </c>
      <c r="C16" s="57"/>
      <c r="I16" s="37">
        <f>I7+I10+I13</f>
        <v>569.96974005684297</v>
      </c>
      <c r="L16" s="11"/>
      <c r="M16" s="37">
        <f>M7+M10+M13</f>
        <v>569.96974005684297</v>
      </c>
      <c r="P16" s="11"/>
      <c r="Q16" s="37">
        <f>Q7+Q10+Q13</f>
        <v>4583.6727347228407</v>
      </c>
      <c r="T16" s="11"/>
      <c r="U16" s="37">
        <f>U7+U10+U13</f>
        <v>17763.989601511836</v>
      </c>
      <c r="X16" s="11"/>
      <c r="Y16" s="37">
        <f>Y7+Y10+Y13</f>
        <v>46526.185241070976</v>
      </c>
    </row>
    <row r="17" spans="1:27" x14ac:dyDescent="0.3">
      <c r="B17" s="57" t="s">
        <v>415</v>
      </c>
      <c r="C17" s="57"/>
      <c r="I17" s="389">
        <f>I16/H14</f>
        <v>0.14826359546779463</v>
      </c>
      <c r="J17" s="390"/>
      <c r="K17" s="390"/>
      <c r="L17" s="390"/>
      <c r="M17" s="389">
        <f>M16/L14</f>
        <v>0.14826359546779463</v>
      </c>
      <c r="N17" s="390"/>
      <c r="O17" s="390"/>
      <c r="P17" s="390"/>
      <c r="Q17" s="389">
        <f>Q16/P14</f>
        <v>0.14826359546779466</v>
      </c>
      <c r="R17" s="115"/>
      <c r="S17" s="115"/>
      <c r="T17" s="115"/>
      <c r="U17" s="389">
        <f>U16/T14</f>
        <v>0.27999995778006653</v>
      </c>
      <c r="V17" s="115"/>
      <c r="W17" s="115"/>
      <c r="X17" s="115"/>
      <c r="Y17" s="389">
        <f>Y16/X14</f>
        <v>0.40000002297321818</v>
      </c>
    </row>
    <row r="18" spans="1:27" x14ac:dyDescent="0.3">
      <c r="B18" s="57" t="s">
        <v>416</v>
      </c>
      <c r="C18" s="57"/>
      <c r="I18" s="37">
        <f>I6+I9+I12</f>
        <v>1844.3302599431502</v>
      </c>
      <c r="L18" s="11"/>
      <c r="M18" s="37">
        <f>M6+M9+M12</f>
        <v>1844.3302599431502</v>
      </c>
      <c r="P18" s="11"/>
      <c r="Q18" s="37">
        <f>Q6+Q9+Q12</f>
        <v>14832.026565976306</v>
      </c>
      <c r="T18" s="11"/>
      <c r="U18" s="37">
        <f>U6+U9+U12</f>
        <v>25838.83997014488</v>
      </c>
      <c r="X18" s="11"/>
      <c r="Y18" s="37">
        <f>Y6+Y9+Y12</f>
        <v>39654.271181255572</v>
      </c>
    </row>
    <row r="19" spans="1:27" x14ac:dyDescent="0.3">
      <c r="B19" s="57" t="s">
        <v>417</v>
      </c>
      <c r="C19" s="57"/>
      <c r="I19" s="363">
        <f>I18/H14</f>
        <v>0.47975711051248604</v>
      </c>
      <c r="L19" s="11"/>
      <c r="M19" s="363">
        <f>M18/L14</f>
        <v>0.47975711051248604</v>
      </c>
      <c r="P19" s="11"/>
      <c r="Q19" s="363">
        <f>Q18/P14</f>
        <v>0.47975711051248598</v>
      </c>
      <c r="T19" s="11"/>
      <c r="U19" s="363">
        <f>U18/T14</f>
        <v>0.4072775464871205</v>
      </c>
      <c r="X19" s="11"/>
      <c r="Y19" s="363">
        <f>Y18/X14</f>
        <v>0.34092004967315764</v>
      </c>
    </row>
    <row r="21" spans="1:27" x14ac:dyDescent="0.3">
      <c r="B21" s="57" t="s">
        <v>418</v>
      </c>
      <c r="C21" s="57"/>
      <c r="M21">
        <v>0.13500000000000001</v>
      </c>
      <c r="Q21" s="62">
        <v>0.14000000000000001</v>
      </c>
      <c r="R21" s="62"/>
      <c r="S21" s="62"/>
      <c r="T21" s="62"/>
      <c r="U21" s="62">
        <v>0.28000000000000003</v>
      </c>
      <c r="V21" s="62"/>
      <c r="W21" s="62"/>
      <c r="X21" s="62"/>
      <c r="Y21" s="62">
        <v>0.4</v>
      </c>
      <c r="AA21" t="s">
        <v>419</v>
      </c>
    </row>
    <row r="22" spans="1:27" x14ac:dyDescent="0.3">
      <c r="B22" s="57" t="s">
        <v>437</v>
      </c>
      <c r="C22" s="57"/>
      <c r="T22" s="388">
        <v>1.9607860469245761</v>
      </c>
      <c r="X22" s="388">
        <v>2.9087379102696804</v>
      </c>
    </row>
    <row r="23" spans="1:27" x14ac:dyDescent="0.3">
      <c r="B23" s="57"/>
      <c r="C23" s="57"/>
    </row>
    <row r="24" spans="1:27" x14ac:dyDescent="0.3">
      <c r="B24" s="57"/>
      <c r="C24" s="57"/>
      <c r="H24" t="s">
        <v>397</v>
      </c>
      <c r="L24" t="s">
        <v>427</v>
      </c>
      <c r="P24" t="s">
        <v>397</v>
      </c>
      <c r="T24" t="s">
        <v>397</v>
      </c>
      <c r="X24" t="s">
        <v>397</v>
      </c>
    </row>
    <row r="25" spans="1:27" x14ac:dyDescent="0.3">
      <c r="B25" s="57"/>
      <c r="C25" s="57"/>
      <c r="H25" t="s">
        <v>398</v>
      </c>
      <c r="L25" t="s">
        <v>398</v>
      </c>
      <c r="P25" t="s">
        <v>16</v>
      </c>
      <c r="T25" t="s">
        <v>399</v>
      </c>
      <c r="X25" t="s">
        <v>18</v>
      </c>
    </row>
    <row r="26" spans="1:27" x14ac:dyDescent="0.3">
      <c r="B26" s="57"/>
      <c r="C26" s="57"/>
    </row>
    <row r="27" spans="1:27" x14ac:dyDescent="0.3">
      <c r="B27" s="100" t="s">
        <v>405</v>
      </c>
      <c r="H27" s="358">
        <f t="shared" ref="H27" si="4">E28*H28</f>
        <v>6053.9480529434031</v>
      </c>
      <c r="I27" s="8"/>
      <c r="L27" s="358">
        <f>H27</f>
        <v>6053.9480529434031</v>
      </c>
      <c r="P27" s="358">
        <f>P28*(1-O28)</f>
        <v>6053.9480529434031</v>
      </c>
      <c r="Q27" s="8"/>
      <c r="T27" s="358">
        <f>T28*(1-S28)</f>
        <v>5130.4544118276272</v>
      </c>
      <c r="U27" s="8"/>
      <c r="X27" s="358">
        <f>X28*(1-W28)</f>
        <v>12955.46401417</v>
      </c>
      <c r="Y27" s="8"/>
      <c r="Z27" s="75"/>
    </row>
    <row r="28" spans="1:27" x14ac:dyDescent="0.3">
      <c r="A28" t="s">
        <v>420</v>
      </c>
      <c r="B28" t="s">
        <v>406</v>
      </c>
      <c r="D28" s="360">
        <f>D6</f>
        <v>0.49676238738738093</v>
      </c>
      <c r="E28" s="359">
        <f t="shared" ref="E28:E29" si="5">1-D28</f>
        <v>0.50323761261261901</v>
      </c>
      <c r="F28" s="359">
        <f t="shared" ref="F28" si="6">E28*F29</f>
        <v>0.31171372205768871</v>
      </c>
      <c r="H28" s="11">
        <f>E29*H30</f>
        <v>12029.99915191871</v>
      </c>
      <c r="I28" s="11">
        <f t="shared" ref="I28" si="7">H28-H27</f>
        <v>5976.0510989753066</v>
      </c>
      <c r="K28" s="360">
        <f>D28</f>
        <v>0.49676238738738093</v>
      </c>
      <c r="L28" s="11">
        <f>L27/(1-K28)</f>
        <v>12029.99915191871</v>
      </c>
      <c r="M28" s="11">
        <f>L28-L27</f>
        <v>5976.0510989753066</v>
      </c>
      <c r="O28" s="360">
        <f>$D28</f>
        <v>0.49676238738738093</v>
      </c>
      <c r="P28" s="11">
        <f>P30*(1-O29)</f>
        <v>12029.99915191871</v>
      </c>
      <c r="Q28" s="11">
        <f t="shared" ref="Q28" si="8">P28-P27</f>
        <v>5976.0510989753066</v>
      </c>
      <c r="S28" s="360">
        <f>$D28</f>
        <v>0.49676238738738093</v>
      </c>
      <c r="T28" s="11">
        <f>T30*(1-S29)</f>
        <v>10194.894585069371</v>
      </c>
      <c r="U28" s="11">
        <f t="shared" ref="U28" si="9">T28-T27</f>
        <v>5064.4401732417437</v>
      </c>
      <c r="W28" s="360">
        <f>$D28</f>
        <v>0.49676238738738093</v>
      </c>
      <c r="X28" s="11">
        <f>X30*(1-W29)</f>
        <v>25744.22835151399</v>
      </c>
      <c r="Y28" s="11">
        <f t="shared" ref="Y28" si="10">X28-X27</f>
        <v>12788.76433734399</v>
      </c>
      <c r="Z28" s="75"/>
    </row>
    <row r="29" spans="1:27" x14ac:dyDescent="0.3">
      <c r="B29" t="s">
        <v>407</v>
      </c>
      <c r="D29" s="366">
        <f>Summary!V32</f>
        <v>0.1</v>
      </c>
      <c r="E29" s="359">
        <f t="shared" si="5"/>
        <v>0.9</v>
      </c>
      <c r="F29" s="359">
        <f>E29*F31</f>
        <v>0.6194165822371448</v>
      </c>
      <c r="I29" s="11">
        <f>H30-H28</f>
        <v>1336.6665724354116</v>
      </c>
      <c r="K29" s="360">
        <f>D29</f>
        <v>0.1</v>
      </c>
      <c r="M29" s="11">
        <f>L30-L28</f>
        <v>1336.6665724354116</v>
      </c>
      <c r="O29" s="360">
        <f>$D29</f>
        <v>0.1</v>
      </c>
      <c r="Q29" s="11">
        <f>P30-P28</f>
        <v>1336.6665724354116</v>
      </c>
      <c r="S29" s="391">
        <f>$D29*$T$46</f>
        <v>0.19607860469245764</v>
      </c>
      <c r="U29" s="11">
        <f>T30-T28</f>
        <v>2486.5623889290455</v>
      </c>
      <c r="W29" s="391">
        <f>$D29*$X$46</f>
        <v>0.31768970160318144</v>
      </c>
      <c r="Y29" s="11">
        <f>X30-X28</f>
        <v>11986.740112546391</v>
      </c>
      <c r="Z29" s="75"/>
      <c r="AA29" t="s">
        <v>421</v>
      </c>
    </row>
    <row r="30" spans="1:27" x14ac:dyDescent="0.3">
      <c r="B30" s="361" t="s">
        <v>431</v>
      </c>
      <c r="D30" s="362"/>
      <c r="E30" s="359"/>
      <c r="F30" s="359"/>
      <c r="H30" s="358">
        <f>E31*H31</f>
        <v>13366.665724354121</v>
      </c>
      <c r="I30" s="11"/>
      <c r="K30" s="360"/>
      <c r="L30" s="358">
        <f>L28/(1-K29)</f>
        <v>13366.665724354121</v>
      </c>
      <c r="M30" s="11"/>
      <c r="O30" s="360"/>
      <c r="P30" s="358">
        <f>P31*(1-O31)</f>
        <v>13366.665724354121</v>
      </c>
      <c r="Q30" s="11"/>
      <c r="S30" s="360"/>
      <c r="T30" s="358">
        <f>T31*(1-S31)</f>
        <v>12681.456973998416</v>
      </c>
      <c r="U30" s="11"/>
      <c r="W30" s="360"/>
      <c r="X30" s="358">
        <f>X31*(1-W31)</f>
        <v>37730.968464060381</v>
      </c>
      <c r="Y30" s="11"/>
      <c r="Z30" s="75"/>
    </row>
    <row r="31" spans="1:27" x14ac:dyDescent="0.3">
      <c r="B31" t="s">
        <v>408</v>
      </c>
      <c r="D31" s="360">
        <f t="shared" ref="D31:D32" si="11">D9</f>
        <v>0.12754632015762699</v>
      </c>
      <c r="E31" s="359">
        <f t="shared" ref="E31:E32" si="12">1-D31</f>
        <v>0.87245367984237299</v>
      </c>
      <c r="F31" s="359">
        <f t="shared" ref="F31" si="13">E31*F32</f>
        <v>0.68824064693016085</v>
      </c>
      <c r="H31" s="11">
        <f>E32*H33</f>
        <v>15320.774080257292</v>
      </c>
      <c r="I31" s="11">
        <f>H31-H30</f>
        <v>1954.1083559031704</v>
      </c>
      <c r="K31" s="360">
        <f>D31</f>
        <v>0.12754632015762699</v>
      </c>
      <c r="L31" s="11">
        <f>L30/(1-K31)</f>
        <v>15320.774080257292</v>
      </c>
      <c r="M31" s="11">
        <f>L31-L30</f>
        <v>1954.1083559031704</v>
      </c>
      <c r="O31" s="360">
        <f>$D31</f>
        <v>0.12754632015762699</v>
      </c>
      <c r="P31" s="11">
        <f>P33*(1-O32)</f>
        <v>15320.774080257292</v>
      </c>
      <c r="Q31" s="11">
        <f>P31-P30</f>
        <v>1954.1083559031704</v>
      </c>
      <c r="S31" s="360">
        <f>$D31</f>
        <v>0.12754632015762699</v>
      </c>
      <c r="T31" s="11">
        <f>T33*(1-S32)</f>
        <v>14535.392843193218</v>
      </c>
      <c r="U31" s="11">
        <f>T31-T30</f>
        <v>1853.9358691948019</v>
      </c>
      <c r="W31" s="360">
        <f>$D31</f>
        <v>0.12754632015762699</v>
      </c>
      <c r="X31" s="11">
        <f>X33*(1-W32)</f>
        <v>43246.958934114722</v>
      </c>
      <c r="Y31" s="11">
        <f>X31-X30</f>
        <v>5515.9904700543411</v>
      </c>
      <c r="Z31" s="75"/>
    </row>
    <row r="32" spans="1:27" x14ac:dyDescent="0.3">
      <c r="B32" t="s">
        <v>409</v>
      </c>
      <c r="D32" s="366">
        <f t="shared" si="11"/>
        <v>0.1025524748013603</v>
      </c>
      <c r="E32" s="359">
        <f t="shared" si="12"/>
        <v>0.89744752519863968</v>
      </c>
      <c r="F32" s="359">
        <f>E32*F34</f>
        <v>0.78885637464960423</v>
      </c>
      <c r="H32" s="75"/>
      <c r="I32" s="11">
        <f>H33-H31</f>
        <v>1750.7244197427099</v>
      </c>
      <c r="K32" s="360">
        <f>D32</f>
        <v>0.1025524748013603</v>
      </c>
      <c r="M32" s="11">
        <f>L33-L31</f>
        <v>1750.7244197427099</v>
      </c>
      <c r="O32" s="360">
        <f>$D32</f>
        <v>0.1025524748013603</v>
      </c>
      <c r="P32" s="75"/>
      <c r="Q32" s="11">
        <f>P33-P31</f>
        <v>1750.7244197427099</v>
      </c>
      <c r="S32" s="391">
        <f>$D32*$T$46</f>
        <v>0.20108346166809146</v>
      </c>
      <c r="T32" s="75"/>
      <c r="U32" s="11">
        <f>T33-T31</f>
        <v>3658.4886773249018</v>
      </c>
      <c r="W32" s="391">
        <f>$D32*$X$46</f>
        <v>0.32579865118311935</v>
      </c>
      <c r="X32" s="75"/>
      <c r="Y32" s="11">
        <f>X33-X31</f>
        <v>20898.505933326531</v>
      </c>
      <c r="Z32" s="75"/>
    </row>
    <row r="33" spans="2:27" x14ac:dyDescent="0.3">
      <c r="B33" s="361" t="s">
        <v>410</v>
      </c>
      <c r="D33" s="362"/>
      <c r="E33" s="359"/>
      <c r="F33" s="359"/>
      <c r="H33" s="358">
        <f>E34*H34</f>
        <v>17071.498500000002</v>
      </c>
      <c r="I33" s="11"/>
      <c r="K33" s="360"/>
      <c r="L33" s="358">
        <f>L31/(1-K32)</f>
        <v>17071.498500000002</v>
      </c>
      <c r="M33" s="11"/>
      <c r="O33" s="360"/>
      <c r="P33" s="358">
        <f>P34*(1-O34)</f>
        <v>17071.498500000002</v>
      </c>
      <c r="Q33" s="11"/>
      <c r="S33" s="360"/>
      <c r="T33" s="358">
        <f>T34*(1-S34)</f>
        <v>18193.88152051812</v>
      </c>
      <c r="U33" s="11"/>
      <c r="W33" s="360"/>
      <c r="X33" s="358">
        <f>X34*(1-W34)</f>
        <v>64145.464867441253</v>
      </c>
      <c r="Y33" s="11"/>
      <c r="Z33" s="75"/>
    </row>
    <row r="34" spans="2:27" x14ac:dyDescent="0.3">
      <c r="B34" t="s">
        <v>411</v>
      </c>
      <c r="D34" s="360">
        <f>D12</f>
        <v>0</v>
      </c>
      <c r="E34" s="359">
        <f t="shared" ref="E34:E35" si="14">1-D34</f>
        <v>1</v>
      </c>
      <c r="F34" s="359">
        <f t="shared" ref="F34" si="15">E34*F35</f>
        <v>0.879</v>
      </c>
      <c r="H34" s="11">
        <f>E35*H36</f>
        <v>17071.498500000002</v>
      </c>
      <c r="I34" s="11">
        <f>H34-H33</f>
        <v>0</v>
      </c>
      <c r="K34" s="360">
        <f>D34</f>
        <v>0</v>
      </c>
      <c r="L34" s="11">
        <f>L33/(1-K34)</f>
        <v>17071.498500000002</v>
      </c>
      <c r="M34" s="11">
        <f>L34-L33</f>
        <v>0</v>
      </c>
      <c r="O34" s="360">
        <f>$D34</f>
        <v>0</v>
      </c>
      <c r="P34" s="11">
        <f>P36*(1-O35)</f>
        <v>17071.498500000002</v>
      </c>
      <c r="Q34" s="11">
        <f>P34-P33</f>
        <v>0</v>
      </c>
      <c r="S34" s="360">
        <f>$D34</f>
        <v>0</v>
      </c>
      <c r="T34" s="11">
        <f>T36*(1-S35)</f>
        <v>18193.88152051812</v>
      </c>
      <c r="U34" s="11">
        <f>T34-T33</f>
        <v>0</v>
      </c>
      <c r="W34" s="360">
        <f>$D34</f>
        <v>0</v>
      </c>
      <c r="X34" s="11">
        <f>X36*(1-W35)</f>
        <v>64145.464867441253</v>
      </c>
      <c r="Y34" s="11">
        <f>X34-X33</f>
        <v>0</v>
      </c>
      <c r="Z34" s="75"/>
    </row>
    <row r="35" spans="2:27" x14ac:dyDescent="0.3">
      <c r="B35" t="s">
        <v>412</v>
      </c>
      <c r="D35" s="366">
        <f>Summary!V30</f>
        <v>0.121</v>
      </c>
      <c r="E35" s="359">
        <f t="shared" si="14"/>
        <v>0.879</v>
      </c>
      <c r="F35" s="359">
        <f>E35</f>
        <v>0.879</v>
      </c>
      <c r="I35" s="11">
        <f>H36-H34</f>
        <v>2350.0014999999985</v>
      </c>
      <c r="K35" s="360">
        <f>D35</f>
        <v>0.121</v>
      </c>
      <c r="M35" s="11">
        <f>L36-L34</f>
        <v>2350.0014999999985</v>
      </c>
      <c r="O35" s="360">
        <f>$D35</f>
        <v>0.121</v>
      </c>
      <c r="Q35" s="11">
        <f>P36-P34</f>
        <v>2350.0014999999985</v>
      </c>
      <c r="S35" s="391">
        <f>$D35*$T$46</f>
        <v>0.23725511167787372</v>
      </c>
      <c r="U35" s="11">
        <f>T36-T34</f>
        <v>5659.2859002963596</v>
      </c>
      <c r="W35" s="391">
        <f>$D35*$X$46</f>
        <v>0.38440453893984949</v>
      </c>
      <c r="Y35" s="11">
        <f>X36-X34</f>
        <v>40055.21386559042</v>
      </c>
      <c r="Z35" s="75"/>
    </row>
    <row r="36" spans="2:27" x14ac:dyDescent="0.3">
      <c r="B36" t="s">
        <v>413</v>
      </c>
      <c r="C36" s="11">
        <f>Runs!C45-Runs!D45</f>
        <v>19421.5</v>
      </c>
      <c r="E36" s="115">
        <f>C36/C37</f>
        <v>6.277149321266968E-3</v>
      </c>
      <c r="H36" s="358">
        <f>C36</f>
        <v>19421.5</v>
      </c>
      <c r="I36" s="11"/>
      <c r="K36" s="359"/>
      <c r="L36" s="358">
        <f>L34/(1-K35)</f>
        <v>19421.5</v>
      </c>
      <c r="M36" s="11"/>
      <c r="O36" s="360"/>
      <c r="P36" s="358">
        <f>L36</f>
        <v>19421.5</v>
      </c>
      <c r="Q36" s="11"/>
      <c r="S36" s="360"/>
      <c r="T36" s="358">
        <f>T37*$E$36</f>
        <v>23853.16742081448</v>
      </c>
      <c r="U36" s="11"/>
      <c r="W36" s="359"/>
      <c r="X36" s="358">
        <f>X37*$E$36</f>
        <v>104200.67873303167</v>
      </c>
      <c r="Y36" s="11"/>
      <c r="Z36" s="75"/>
    </row>
    <row r="37" spans="2:27" x14ac:dyDescent="0.3">
      <c r="B37" t="s">
        <v>441</v>
      </c>
      <c r="C37" s="11">
        <f>Summary!V19</f>
        <v>3094000</v>
      </c>
      <c r="H37" s="11">
        <f>C37</f>
        <v>3094000</v>
      </c>
      <c r="I37" s="11"/>
      <c r="K37" s="359"/>
      <c r="L37" s="11">
        <f>C37</f>
        <v>3094000</v>
      </c>
      <c r="M37" s="11"/>
      <c r="O37" s="360"/>
      <c r="P37" s="11">
        <f>C37</f>
        <v>3094000</v>
      </c>
      <c r="Q37" s="11"/>
      <c r="S37" s="360"/>
      <c r="T37" s="11">
        <v>3800000</v>
      </c>
      <c r="U37" s="11"/>
      <c r="W37" s="359"/>
      <c r="X37" s="11">
        <v>16600000</v>
      </c>
      <c r="Y37" s="11"/>
      <c r="Z37" s="75"/>
    </row>
    <row r="38" spans="2:27" x14ac:dyDescent="0.3">
      <c r="C38" s="11"/>
      <c r="H38" s="11"/>
      <c r="I38" s="11"/>
      <c r="K38" s="359"/>
      <c r="L38" s="11"/>
      <c r="M38" s="11"/>
      <c r="O38" s="360"/>
      <c r="P38" s="11"/>
      <c r="Q38" s="11"/>
      <c r="S38" s="360"/>
      <c r="T38" s="11"/>
      <c r="U38" s="11"/>
      <c r="W38" s="359"/>
      <c r="X38" s="11"/>
      <c r="Y38" s="11"/>
      <c r="Z38" s="75"/>
    </row>
    <row r="39" spans="2:27" x14ac:dyDescent="0.3">
      <c r="H39" s="365"/>
      <c r="I39" s="365"/>
      <c r="L39" s="11"/>
      <c r="P39" s="11"/>
      <c r="T39" s="11"/>
      <c r="X39" s="11"/>
      <c r="Z39" s="75"/>
    </row>
    <row r="40" spans="2:27" x14ac:dyDescent="0.3">
      <c r="B40" s="57" t="s">
        <v>414</v>
      </c>
      <c r="C40" s="57"/>
      <c r="H40" s="75"/>
      <c r="I40" s="37">
        <f>I29+I32+I35</f>
        <v>5437.3924921781199</v>
      </c>
      <c r="L40" s="11"/>
      <c r="M40" s="37">
        <f>M29+M32+M35</f>
        <v>5437.3924921781199</v>
      </c>
      <c r="P40" s="11"/>
      <c r="Q40" s="37">
        <f>Q29+Q32+Q35</f>
        <v>5437.3924921781199</v>
      </c>
      <c r="T40" s="11"/>
      <c r="U40" s="37">
        <f>U29+U32+U35</f>
        <v>11804.336966550307</v>
      </c>
      <c r="X40" s="11"/>
      <c r="Y40" s="37">
        <f>Y29+Y32+Y35</f>
        <v>72940.459911463346</v>
      </c>
      <c r="Z40" s="75"/>
    </row>
    <row r="41" spans="2:27" x14ac:dyDescent="0.3">
      <c r="B41" s="57" t="s">
        <v>415</v>
      </c>
      <c r="C41" s="57"/>
      <c r="H41" s="75"/>
      <c r="I41" s="389">
        <f>I40/H36</f>
        <v>0.27996769004341165</v>
      </c>
      <c r="K41" s="390"/>
      <c r="L41" s="390"/>
      <c r="M41" s="389">
        <f>M40/L36</f>
        <v>0.27996769004341165</v>
      </c>
      <c r="N41" s="390"/>
      <c r="O41" s="390"/>
      <c r="P41" s="390"/>
      <c r="Q41" s="389">
        <f>Q40/P36</f>
        <v>0.27996769004341165</v>
      </c>
      <c r="R41" s="115"/>
      <c r="S41" s="115"/>
      <c r="T41" s="115"/>
      <c r="U41" s="389">
        <f>U40/T36</f>
        <v>0.49487503098853619</v>
      </c>
      <c r="V41" s="115"/>
      <c r="W41" s="115"/>
      <c r="X41" s="115"/>
      <c r="Y41" s="389">
        <f>Y40/X36</f>
        <v>0.69999985411171006</v>
      </c>
      <c r="Z41" s="75"/>
      <c r="AA41" t="s">
        <v>422</v>
      </c>
    </row>
    <row r="42" spans="2:27" x14ac:dyDescent="0.3">
      <c r="B42" s="57" t="s">
        <v>416</v>
      </c>
      <c r="C42" s="57"/>
      <c r="H42" s="75"/>
      <c r="I42" s="37">
        <f>I28+I31+I34</f>
        <v>7930.1594548784769</v>
      </c>
      <c r="L42" s="11"/>
      <c r="M42" s="37">
        <f>M28+M31+M34</f>
        <v>7930.1594548784769</v>
      </c>
      <c r="P42" s="11"/>
      <c r="Q42" s="37">
        <f>Q28+Q31+Q34</f>
        <v>7930.1594548784769</v>
      </c>
      <c r="T42" s="11"/>
      <c r="U42" s="37">
        <f>U28+U31+U34</f>
        <v>6918.3760424365455</v>
      </c>
      <c r="X42" s="11"/>
      <c r="Y42" s="37">
        <f>Y28+Y31+Y34</f>
        <v>18304.754807398331</v>
      </c>
      <c r="Z42" s="75"/>
    </row>
    <row r="43" spans="2:27" x14ac:dyDescent="0.3">
      <c r="B43" s="57" t="s">
        <v>417</v>
      </c>
      <c r="C43" s="57"/>
      <c r="H43" s="75"/>
      <c r="I43" s="363">
        <f>I42/H36</f>
        <v>0.40831858789889952</v>
      </c>
      <c r="L43" s="11"/>
      <c r="M43" s="363">
        <f>M42/L36</f>
        <v>0.40831858789889952</v>
      </c>
      <c r="P43" s="11"/>
      <c r="Q43" s="363">
        <f>Q42/P36</f>
        <v>0.40831858789889952</v>
      </c>
      <c r="T43" s="11"/>
      <c r="U43" s="363">
        <f>U42/T36</f>
        <v>0.29004014101705883</v>
      </c>
      <c r="X43" s="11"/>
      <c r="Y43" s="363">
        <f>Y42/X36</f>
        <v>0.17566828767302178</v>
      </c>
      <c r="Z43" s="75"/>
    </row>
    <row r="44" spans="2:27" x14ac:dyDescent="0.3">
      <c r="H44" s="75"/>
      <c r="I44" s="392"/>
    </row>
    <row r="45" spans="2:27" x14ac:dyDescent="0.3">
      <c r="B45" s="57" t="s">
        <v>418</v>
      </c>
      <c r="C45" s="57"/>
      <c r="M45">
        <v>0.13500000000000001</v>
      </c>
      <c r="Q45" s="62">
        <v>0.14000000000000001</v>
      </c>
      <c r="R45" s="62"/>
      <c r="S45" s="62"/>
      <c r="T45" s="62"/>
      <c r="U45" s="62"/>
      <c r="V45" s="62"/>
      <c r="W45" s="62"/>
      <c r="X45" s="62"/>
      <c r="Y45" s="62"/>
    </row>
    <row r="46" spans="2:27" x14ac:dyDescent="0.3">
      <c r="B46" s="57" t="s">
        <v>437</v>
      </c>
      <c r="T46" s="388">
        <f>T22</f>
        <v>1.9607860469245761</v>
      </c>
      <c r="X46" s="388">
        <v>3.176897016031814</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6"/>
  <sheetViews>
    <sheetView workbookViewId="0">
      <pane xSplit="3" ySplit="5" topLeftCell="D6" activePane="bottomRight" state="frozen"/>
      <selection pane="topRight" activeCell="D1" sqref="D1"/>
      <selection pane="bottomLeft" activeCell="A5" sqref="A5"/>
      <selection pane="bottomRight" activeCell="I11" sqref="I11"/>
    </sheetView>
  </sheetViews>
  <sheetFormatPr defaultColWidth="9.109375" defaultRowHeight="14.4" x14ac:dyDescent="0.3"/>
  <cols>
    <col min="2" max="2" width="24.88671875" customWidth="1"/>
    <col min="3" max="3" width="21.33203125" customWidth="1"/>
    <col min="4" max="4" width="8.88671875" style="11"/>
    <col min="5" max="5" width="9.109375" style="11"/>
    <col min="6" max="6" width="15.6640625" style="11" bestFit="1" customWidth="1"/>
    <col min="7" max="7" width="15.6640625" style="11" customWidth="1"/>
    <col min="8" max="8" width="13.109375" bestFit="1" customWidth="1"/>
    <col min="9" max="9" width="9.109375" style="11"/>
    <col min="10" max="11" width="8.88671875"/>
    <col min="12" max="12" width="14.33203125" customWidth="1"/>
    <col min="13" max="13" width="16.6640625" customWidth="1"/>
    <col min="14" max="14" width="10.88671875" customWidth="1"/>
    <col min="15" max="15" width="11.33203125" customWidth="1"/>
    <col min="17" max="19" width="8.88671875"/>
    <col min="20" max="20" width="12.33203125" customWidth="1"/>
    <col min="21" max="21" width="9.6640625" customWidth="1"/>
    <col min="22" max="22" width="2.44140625" customWidth="1"/>
    <col min="23" max="23" width="6.44140625" customWidth="1"/>
    <col min="24" max="24" width="7.5546875" customWidth="1"/>
    <col min="25" max="25" width="7" customWidth="1"/>
    <col min="26" max="26" width="2.33203125" customWidth="1"/>
  </cols>
  <sheetData>
    <row r="1" spans="1:29" ht="18" x14ac:dyDescent="0.35">
      <c r="A1" s="3" t="str">
        <f>Summary!A1</f>
        <v>Upper Columbia River Spring Chinook</v>
      </c>
      <c r="B1" s="3"/>
      <c r="C1" s="1"/>
      <c r="D1" s="38"/>
      <c r="E1" s="38"/>
      <c r="F1" s="38"/>
      <c r="G1" s="38"/>
      <c r="H1" s="1"/>
      <c r="I1" s="9"/>
      <c r="J1" s="2"/>
      <c r="K1" s="2"/>
      <c r="L1" s="2"/>
      <c r="M1" s="2"/>
      <c r="N1" s="2"/>
      <c r="O1" s="2"/>
      <c r="P1" s="2"/>
      <c r="Q1" s="2"/>
      <c r="R1" s="2"/>
      <c r="S1" s="2"/>
      <c r="T1" s="2"/>
      <c r="U1" s="2"/>
    </row>
    <row r="2" spans="1:29" x14ac:dyDescent="0.3">
      <c r="A2" s="1" t="s">
        <v>0</v>
      </c>
      <c r="B2" s="1"/>
      <c r="C2" s="1"/>
      <c r="D2" s="38"/>
      <c r="E2" s="38"/>
      <c r="F2" s="38"/>
      <c r="G2" s="38"/>
      <c r="H2" s="1"/>
      <c r="I2" s="9"/>
      <c r="J2" s="2"/>
      <c r="K2" s="2"/>
      <c r="L2" s="2"/>
      <c r="M2" s="2"/>
      <c r="N2" s="2"/>
      <c r="O2" s="2"/>
      <c r="P2" s="2"/>
      <c r="Q2" s="2"/>
      <c r="R2" s="2"/>
      <c r="S2" s="2"/>
      <c r="T2" s="2"/>
      <c r="U2" s="2"/>
    </row>
    <row r="3" spans="1:29" x14ac:dyDescent="0.3">
      <c r="A3" s="88"/>
      <c r="B3" s="47"/>
      <c r="C3" s="47"/>
      <c r="D3" s="48" t="s">
        <v>5</v>
      </c>
      <c r="E3" s="72"/>
      <c r="F3" s="47"/>
      <c r="G3" s="47"/>
      <c r="H3" s="47"/>
      <c r="I3" s="47"/>
      <c r="J3" s="47"/>
      <c r="K3" s="47"/>
      <c r="L3" s="47"/>
      <c r="M3" s="47"/>
      <c r="N3" s="49" t="s">
        <v>10</v>
      </c>
      <c r="O3" s="50"/>
      <c r="P3" s="50"/>
      <c r="Q3" s="50"/>
      <c r="R3" s="50"/>
      <c r="S3" s="47"/>
      <c r="T3" s="47"/>
      <c r="U3" s="47"/>
    </row>
    <row r="4" spans="1:29" s="7" customFormat="1" x14ac:dyDescent="0.3">
      <c r="A4" s="47"/>
      <c r="B4" s="47"/>
      <c r="C4" s="47"/>
      <c r="D4" s="48"/>
      <c r="E4" s="72" t="s">
        <v>77</v>
      </c>
      <c r="F4" s="72" t="s">
        <v>4</v>
      </c>
      <c r="G4" s="72"/>
      <c r="H4" s="49"/>
      <c r="I4" s="48" t="s">
        <v>7</v>
      </c>
      <c r="J4" s="50"/>
      <c r="K4" s="51"/>
      <c r="L4" s="52" t="s">
        <v>48</v>
      </c>
      <c r="M4" s="51"/>
      <c r="N4" s="29" t="s">
        <v>56</v>
      </c>
      <c r="O4" s="47" t="s">
        <v>61</v>
      </c>
      <c r="P4" s="47"/>
      <c r="Q4" s="47"/>
      <c r="R4" s="47"/>
      <c r="S4" s="53" t="s">
        <v>15</v>
      </c>
      <c r="T4" s="47"/>
      <c r="U4" s="47"/>
      <c r="W4" s="7" t="s">
        <v>57</v>
      </c>
      <c r="AA4" s="7" t="s">
        <v>60</v>
      </c>
    </row>
    <row r="5" spans="1:29" s="58" customFormat="1" x14ac:dyDescent="0.3">
      <c r="A5" s="47"/>
      <c r="B5" s="4" t="s">
        <v>2</v>
      </c>
      <c r="C5" s="4" t="s">
        <v>1</v>
      </c>
      <c r="D5" s="39" t="s">
        <v>3</v>
      </c>
      <c r="E5" s="74" t="s">
        <v>78</v>
      </c>
      <c r="F5" s="74" t="s">
        <v>331</v>
      </c>
      <c r="G5" s="74" t="s">
        <v>330</v>
      </c>
      <c r="H5" s="4" t="s">
        <v>203</v>
      </c>
      <c r="I5" s="10" t="s">
        <v>11</v>
      </c>
      <c r="J5" s="4" t="s">
        <v>8</v>
      </c>
      <c r="K5" s="31" t="s">
        <v>9</v>
      </c>
      <c r="L5" s="30" t="s">
        <v>105</v>
      </c>
      <c r="M5" s="30" t="s">
        <v>19</v>
      </c>
      <c r="N5" s="6" t="s">
        <v>19</v>
      </c>
      <c r="O5" s="6" t="s">
        <v>62</v>
      </c>
      <c r="P5" s="6" t="s">
        <v>63</v>
      </c>
      <c r="Q5" s="6" t="s">
        <v>12</v>
      </c>
      <c r="R5" s="6" t="s">
        <v>13</v>
      </c>
      <c r="S5" s="5" t="s">
        <v>16</v>
      </c>
      <c r="T5" s="6" t="s">
        <v>17</v>
      </c>
      <c r="U5" s="6" t="s">
        <v>18</v>
      </c>
      <c r="W5" s="59" t="s">
        <v>16</v>
      </c>
      <c r="X5" s="59" t="s">
        <v>17</v>
      </c>
      <c r="Y5" s="59" t="s">
        <v>18</v>
      </c>
      <c r="AA5" s="59" t="s">
        <v>16</v>
      </c>
      <c r="AB5" s="59" t="s">
        <v>17</v>
      </c>
      <c r="AC5" s="59" t="s">
        <v>18</v>
      </c>
    </row>
    <row r="6" spans="1:29" x14ac:dyDescent="0.3">
      <c r="A6" s="508"/>
      <c r="B6" s="87" t="s">
        <v>93</v>
      </c>
      <c r="C6" s="87" t="s">
        <v>94</v>
      </c>
      <c r="D6" s="89">
        <v>166</v>
      </c>
      <c r="F6" s="89"/>
      <c r="G6" s="89"/>
      <c r="H6" s="89">
        <v>3400</v>
      </c>
      <c r="L6" s="8"/>
      <c r="M6" s="8"/>
      <c r="N6" s="90">
        <v>500</v>
      </c>
      <c r="O6" s="23"/>
      <c r="S6" s="11"/>
      <c r="T6" s="11"/>
      <c r="U6" s="11"/>
      <c r="W6" s="11">
        <f>N6</f>
        <v>500</v>
      </c>
      <c r="X6" s="91">
        <f t="shared" ref="X6:X9" si="0">ROUND(W6+(Y6-W6)/2,-2)</f>
        <v>1000</v>
      </c>
      <c r="Y6" s="92">
        <f>ROUND(W6*3,-2)</f>
        <v>1500</v>
      </c>
    </row>
    <row r="7" spans="1:29" x14ac:dyDescent="0.3">
      <c r="A7" s="508"/>
      <c r="B7" s="87" t="s">
        <v>93</v>
      </c>
      <c r="C7" s="87" t="s">
        <v>95</v>
      </c>
      <c r="D7" s="89">
        <v>379</v>
      </c>
      <c r="F7" s="89">
        <v>2698</v>
      </c>
      <c r="G7" s="89">
        <v>10400</v>
      </c>
      <c r="H7" s="89">
        <v>24000</v>
      </c>
      <c r="L7" s="8"/>
      <c r="M7" s="8"/>
      <c r="N7" s="90">
        <v>2000</v>
      </c>
      <c r="O7" s="37"/>
      <c r="S7" s="11"/>
      <c r="T7" s="37"/>
      <c r="U7" s="11"/>
      <c r="W7" s="11">
        <f t="shared" ref="W7:W9" si="1">N7</f>
        <v>2000</v>
      </c>
      <c r="X7" s="91">
        <f t="shared" si="0"/>
        <v>4000</v>
      </c>
      <c r="Y7" s="92">
        <f>ROUND(W7*3,-2)</f>
        <v>6000</v>
      </c>
    </row>
    <row r="8" spans="1:29" x14ac:dyDescent="0.3">
      <c r="A8" s="508"/>
      <c r="B8" s="87" t="s">
        <v>93</v>
      </c>
      <c r="C8" s="87" t="s">
        <v>329</v>
      </c>
      <c r="D8" s="180" t="s">
        <v>205</v>
      </c>
      <c r="E8" s="89"/>
      <c r="F8" s="89">
        <f>5960</f>
        <v>5960</v>
      </c>
      <c r="G8" s="89"/>
      <c r="H8" s="178">
        <f>HistoricAbund_Calcs.!F122/2</f>
        <v>14125.479056598537</v>
      </c>
      <c r="L8" s="8"/>
      <c r="M8" s="8"/>
      <c r="N8" s="90" t="s">
        <v>204</v>
      </c>
      <c r="O8" s="37"/>
      <c r="S8" s="11"/>
      <c r="T8" s="37"/>
      <c r="U8" s="11"/>
      <c r="W8" s="93">
        <v>750</v>
      </c>
      <c r="X8" s="93" t="s">
        <v>75</v>
      </c>
      <c r="Y8" s="93" t="s">
        <v>75</v>
      </c>
    </row>
    <row r="9" spans="1:29" x14ac:dyDescent="0.3">
      <c r="A9" s="508"/>
      <c r="B9" s="87" t="s">
        <v>93</v>
      </c>
      <c r="C9" s="87" t="s">
        <v>97</v>
      </c>
      <c r="D9" s="89">
        <v>545</v>
      </c>
      <c r="F9" s="89">
        <v>2714</v>
      </c>
      <c r="G9" s="89">
        <v>23084</v>
      </c>
      <c r="H9" s="103">
        <f>41300/2</f>
        <v>20650</v>
      </c>
      <c r="L9" s="8"/>
      <c r="M9" s="8"/>
      <c r="N9" s="90">
        <v>2000</v>
      </c>
      <c r="O9" s="37"/>
      <c r="S9" s="11"/>
      <c r="T9" s="37"/>
      <c r="U9" s="11"/>
      <c r="W9" s="11">
        <f t="shared" si="1"/>
        <v>2000</v>
      </c>
      <c r="X9" s="91">
        <f t="shared" si="0"/>
        <v>4000</v>
      </c>
      <c r="Y9" s="92">
        <f>ROUND(W9*3,-2)</f>
        <v>6000</v>
      </c>
    </row>
    <row r="10" spans="1:29" x14ac:dyDescent="0.3">
      <c r="A10" s="508"/>
      <c r="B10" s="87" t="s">
        <v>93</v>
      </c>
      <c r="C10" s="87" t="s">
        <v>198</v>
      </c>
      <c r="D10" s="89"/>
      <c r="E10" s="103"/>
      <c r="F10" s="89"/>
      <c r="G10" s="89"/>
      <c r="H10" s="178"/>
      <c r="L10" s="8"/>
      <c r="M10" s="8"/>
      <c r="N10" s="90"/>
      <c r="O10" s="37"/>
      <c r="S10" s="11"/>
      <c r="T10" s="37"/>
      <c r="U10" s="11"/>
      <c r="W10" s="11"/>
      <c r="X10" s="91"/>
      <c r="Y10" s="92"/>
    </row>
    <row r="11" spans="1:29" x14ac:dyDescent="0.3">
      <c r="A11" s="508"/>
      <c r="B11" s="87" t="s">
        <v>87</v>
      </c>
      <c r="C11" s="87" t="s">
        <v>199</v>
      </c>
      <c r="D11" s="89"/>
      <c r="E11"/>
      <c r="F11" s="89"/>
      <c r="G11" s="89"/>
      <c r="H11" s="179"/>
      <c r="L11" s="8"/>
      <c r="M11" s="8"/>
      <c r="N11" s="90"/>
      <c r="O11" s="37"/>
      <c r="S11" s="11"/>
      <c r="T11" s="37"/>
      <c r="U11" s="11"/>
      <c r="W11" s="11"/>
      <c r="X11" s="91"/>
      <c r="Y11" s="92"/>
    </row>
    <row r="12" spans="1:29" x14ac:dyDescent="0.3">
      <c r="A12" s="508"/>
      <c r="B12" s="87" t="s">
        <v>87</v>
      </c>
      <c r="C12" s="87" t="s">
        <v>98</v>
      </c>
      <c r="D12" s="37">
        <v>0</v>
      </c>
      <c r="E12" s="37"/>
      <c r="F12">
        <f>73+17</f>
        <v>90</v>
      </c>
      <c r="G12"/>
      <c r="H12" s="178">
        <f>HistoricAbund_Calcs.!F111</f>
        <v>8027.0270270270266</v>
      </c>
      <c r="L12" s="8"/>
      <c r="M12" s="23"/>
      <c r="N12" s="23"/>
      <c r="O12" s="23"/>
      <c r="S12" s="11"/>
      <c r="T12" s="11"/>
      <c r="U12" s="11"/>
      <c r="W12" s="93" t="s">
        <v>75</v>
      </c>
      <c r="X12" s="93">
        <f>AB12</f>
        <v>500</v>
      </c>
      <c r="Y12" s="93" t="s">
        <v>75</v>
      </c>
      <c r="AB12">
        <f>HabitatPotential_MAT!G78</f>
        <v>500</v>
      </c>
    </row>
    <row r="13" spans="1:29" x14ac:dyDescent="0.3">
      <c r="A13" s="508"/>
      <c r="B13" s="87" t="s">
        <v>87</v>
      </c>
      <c r="C13" s="87" t="s">
        <v>309</v>
      </c>
      <c r="D13" s="37">
        <v>0</v>
      </c>
      <c r="E13" s="37"/>
      <c r="F13"/>
      <c r="G13"/>
      <c r="H13" s="178">
        <f>HistoricAbund_Calcs.!F112</f>
        <v>49462.83783783784</v>
      </c>
      <c r="L13" s="8"/>
      <c r="M13" s="8"/>
      <c r="N13" s="57"/>
      <c r="O13" s="23"/>
      <c r="S13" s="11"/>
      <c r="T13" s="11"/>
      <c r="U13" s="11"/>
      <c r="W13" s="93" t="s">
        <v>75</v>
      </c>
      <c r="X13" s="93" t="s">
        <v>75</v>
      </c>
      <c r="Y13" s="93" t="s">
        <v>75</v>
      </c>
    </row>
    <row r="14" spans="1:29" x14ac:dyDescent="0.3">
      <c r="A14" s="508"/>
      <c r="B14" s="87" t="s">
        <v>87</v>
      </c>
      <c r="C14" s="87" t="s">
        <v>100</v>
      </c>
      <c r="D14" s="11">
        <v>0</v>
      </c>
      <c r="E14"/>
      <c r="F14" s="11">
        <v>277</v>
      </c>
      <c r="H14" s="178">
        <f>HistoricAbund_Calcs.!F110</f>
        <v>12040.540540540542</v>
      </c>
      <c r="L14" s="8"/>
      <c r="M14" s="8"/>
      <c r="N14" s="11"/>
      <c r="S14" s="11"/>
      <c r="T14" s="11"/>
      <c r="U14" s="11"/>
      <c r="W14" s="325">
        <f>F14</f>
        <v>277</v>
      </c>
      <c r="X14" s="93">
        <v>1000</v>
      </c>
      <c r="Y14" s="93" t="s">
        <v>75</v>
      </c>
      <c r="AB14">
        <f>HabitatPotential_MAT!G77</f>
        <v>1000</v>
      </c>
    </row>
    <row r="15" spans="1:29" x14ac:dyDescent="0.3">
      <c r="A15" s="508"/>
      <c r="B15" s="87" t="s">
        <v>87</v>
      </c>
      <c r="C15" s="87" t="s">
        <v>200</v>
      </c>
      <c r="H15" s="178">
        <v>0</v>
      </c>
      <c r="L15" s="8"/>
      <c r="M15" s="8"/>
      <c r="N15" s="11"/>
      <c r="S15" s="11"/>
      <c r="T15" s="11"/>
      <c r="U15" s="11"/>
      <c r="W15" s="93"/>
      <c r="X15" s="93"/>
      <c r="Y15" s="93"/>
    </row>
    <row r="16" spans="1:29" x14ac:dyDescent="0.3">
      <c r="A16" s="508"/>
      <c r="B16" s="87" t="s">
        <v>87</v>
      </c>
      <c r="C16" s="87" t="s">
        <v>201</v>
      </c>
      <c r="H16" s="178">
        <f>HistoricAbund_Calcs.!F113</f>
        <v>65293.91891891892</v>
      </c>
      <c r="L16" s="8"/>
      <c r="M16" s="8"/>
      <c r="N16" s="11"/>
      <c r="S16" s="11"/>
      <c r="T16" s="11"/>
      <c r="U16" s="11"/>
      <c r="W16" s="93"/>
      <c r="X16" s="93"/>
      <c r="Y16" s="93"/>
    </row>
    <row r="17" spans="1:28" x14ac:dyDescent="0.3">
      <c r="A17" s="508"/>
      <c r="B17" s="87" t="s">
        <v>89</v>
      </c>
      <c r="C17" s="87" t="s">
        <v>101</v>
      </c>
      <c r="D17" s="11">
        <v>0</v>
      </c>
      <c r="F17" s="11">
        <f>31+11</f>
        <v>42</v>
      </c>
      <c r="H17" s="178">
        <f>HistoricAbund_Calcs.!F116</f>
        <v>22297.2972972973</v>
      </c>
      <c r="L17" s="8"/>
      <c r="M17" s="8"/>
      <c r="N17" s="11"/>
      <c r="S17" s="11"/>
      <c r="T17" s="11"/>
      <c r="U17" s="11"/>
      <c r="W17" s="325">
        <f>F17</f>
        <v>42</v>
      </c>
      <c r="X17" s="93">
        <f>AB17</f>
        <v>1000</v>
      </c>
      <c r="Y17" s="93" t="s">
        <v>75</v>
      </c>
      <c r="AB17">
        <f>HabitatPotential_MAT!G82</f>
        <v>1000</v>
      </c>
    </row>
    <row r="18" spans="1:28" x14ac:dyDescent="0.3">
      <c r="A18" s="508"/>
      <c r="B18" s="87" t="s">
        <v>89</v>
      </c>
      <c r="C18" s="87" t="s">
        <v>102</v>
      </c>
      <c r="D18" s="11">
        <v>0</v>
      </c>
      <c r="F18" s="11">
        <f>68+56+25+6</f>
        <v>155</v>
      </c>
      <c r="H18" s="178">
        <f>HistoricAbund_Calcs.!F115</f>
        <v>40135.13513513514</v>
      </c>
      <c r="L18" s="8"/>
      <c r="M18" s="8"/>
      <c r="N18" s="57"/>
      <c r="S18" s="11"/>
      <c r="T18" s="11"/>
      <c r="U18" s="11"/>
      <c r="W18" s="325">
        <f>F18</f>
        <v>155</v>
      </c>
      <c r="X18" s="93">
        <f>AB18</f>
        <v>1000</v>
      </c>
      <c r="Y18" s="93" t="s">
        <v>75</v>
      </c>
      <c r="AB18">
        <f>HabitatPotential_MAT!G81</f>
        <v>1000</v>
      </c>
    </row>
    <row r="19" spans="1:28" x14ac:dyDescent="0.3">
      <c r="A19" s="508"/>
      <c r="B19" s="87" t="s">
        <v>117</v>
      </c>
      <c r="C19" s="87" t="s">
        <v>118</v>
      </c>
      <c r="D19" s="11">
        <v>0</v>
      </c>
      <c r="H19" s="178"/>
      <c r="L19" s="8"/>
      <c r="M19" s="8"/>
      <c r="N19" s="57"/>
      <c r="S19" s="11"/>
      <c r="T19" s="11"/>
      <c r="U19" s="11"/>
      <c r="W19" s="93"/>
      <c r="X19" s="93"/>
      <c r="Y19" s="93"/>
    </row>
    <row r="20" spans="1:28" s="40" customFormat="1" x14ac:dyDescent="0.3">
      <c r="A20" s="508"/>
      <c r="B20" s="32" t="s">
        <v>14</v>
      </c>
      <c r="C20" s="32"/>
      <c r="D20" s="33"/>
      <c r="E20" s="33"/>
      <c r="F20" s="33"/>
      <c r="G20" s="33"/>
      <c r="H20" s="32"/>
      <c r="I20" s="33"/>
      <c r="J20" s="32"/>
      <c r="K20" s="32"/>
      <c r="L20" s="32"/>
      <c r="M20" s="32"/>
      <c r="N20" s="33"/>
      <c r="O20" s="32"/>
      <c r="P20" s="32"/>
      <c r="Q20" s="32"/>
      <c r="R20" s="32"/>
      <c r="S20" s="32"/>
      <c r="T20" s="32"/>
      <c r="U20" s="32"/>
    </row>
    <row r="22" spans="1:28" x14ac:dyDescent="0.3">
      <c r="A22" s="508" t="s">
        <v>106</v>
      </c>
      <c r="B22" s="87" t="s">
        <v>93</v>
      </c>
      <c r="C22" s="87" t="s">
        <v>94</v>
      </c>
      <c r="D22" s="37"/>
      <c r="E22" s="37"/>
      <c r="F22"/>
      <c r="G22"/>
      <c r="L22" s="75"/>
      <c r="M22" s="23"/>
      <c r="N22" s="23"/>
      <c r="S22" s="11"/>
      <c r="T22" s="11"/>
      <c r="U22" s="11"/>
    </row>
    <row r="23" spans="1:28" x14ac:dyDescent="0.3">
      <c r="A23" s="508"/>
      <c r="B23" s="87" t="s">
        <v>93</v>
      </c>
      <c r="C23" s="87" t="s">
        <v>95</v>
      </c>
      <c r="D23" s="37"/>
      <c r="E23" s="37"/>
      <c r="F23"/>
      <c r="G23"/>
      <c r="L23" s="36"/>
      <c r="M23" s="8"/>
      <c r="N23" s="11"/>
      <c r="S23" s="11"/>
      <c r="T23" s="11"/>
      <c r="U23" s="11"/>
    </row>
    <row r="24" spans="1:28" x14ac:dyDescent="0.3">
      <c r="A24" s="508"/>
      <c r="B24" s="87" t="s">
        <v>93</v>
      </c>
      <c r="C24" s="87" t="s">
        <v>96</v>
      </c>
      <c r="F24"/>
      <c r="G24"/>
      <c r="L24" s="36"/>
      <c r="M24" s="8"/>
      <c r="N24" s="11"/>
      <c r="S24" s="11"/>
      <c r="T24" s="37"/>
      <c r="U24" s="11"/>
    </row>
    <row r="25" spans="1:28" x14ac:dyDescent="0.3">
      <c r="A25" s="508"/>
      <c r="B25" s="87" t="s">
        <v>93</v>
      </c>
      <c r="C25" s="87" t="s">
        <v>97</v>
      </c>
      <c r="F25"/>
      <c r="G25"/>
      <c r="L25" s="36"/>
      <c r="M25" s="8"/>
      <c r="N25" s="11"/>
      <c r="O25" s="37"/>
      <c r="S25" s="11"/>
      <c r="T25" s="37"/>
      <c r="U25" s="11"/>
    </row>
    <row r="26" spans="1:28" x14ac:dyDescent="0.3">
      <c r="A26" s="508"/>
      <c r="B26" s="87" t="s">
        <v>87</v>
      </c>
      <c r="C26" s="87" t="s">
        <v>98</v>
      </c>
      <c r="F26"/>
      <c r="G26"/>
      <c r="L26" s="36"/>
      <c r="M26" s="8"/>
      <c r="N26" s="11"/>
      <c r="S26" s="11"/>
      <c r="T26" s="11"/>
      <c r="U26" s="11"/>
    </row>
    <row r="27" spans="1:28" x14ac:dyDescent="0.3">
      <c r="A27" s="508"/>
      <c r="B27" s="87" t="s">
        <v>87</v>
      </c>
      <c r="C27" s="87" t="s">
        <v>99</v>
      </c>
      <c r="D27" s="37"/>
      <c r="E27" s="37"/>
      <c r="F27"/>
      <c r="G27"/>
      <c r="L27" s="36"/>
      <c r="M27" s="23"/>
      <c r="N27" s="23"/>
      <c r="S27" s="11"/>
      <c r="T27" s="11"/>
      <c r="U27" s="11"/>
    </row>
    <row r="28" spans="1:28" x14ac:dyDescent="0.3">
      <c r="A28" s="508"/>
      <c r="B28" s="87" t="s">
        <v>87</v>
      </c>
      <c r="C28" s="87" t="s">
        <v>100</v>
      </c>
      <c r="D28" s="37"/>
      <c r="E28" s="37"/>
      <c r="F28"/>
      <c r="G28"/>
      <c r="L28" s="36"/>
      <c r="M28" s="8"/>
      <c r="N28" s="8"/>
      <c r="S28" s="11"/>
      <c r="T28" s="11"/>
      <c r="U28" s="11"/>
    </row>
    <row r="29" spans="1:28" x14ac:dyDescent="0.3">
      <c r="A29" s="508"/>
      <c r="B29" s="87" t="s">
        <v>89</v>
      </c>
      <c r="C29" s="87" t="s">
        <v>101</v>
      </c>
      <c r="L29" s="8"/>
      <c r="M29" s="8"/>
      <c r="N29" s="11"/>
      <c r="S29" s="11"/>
      <c r="T29" s="11"/>
      <c r="U29" s="11"/>
    </row>
    <row r="30" spans="1:28" x14ac:dyDescent="0.3">
      <c r="A30" s="508"/>
      <c r="B30" s="87" t="s">
        <v>89</v>
      </c>
      <c r="C30" s="87" t="s">
        <v>102</v>
      </c>
      <c r="L30" s="8"/>
      <c r="M30" s="8"/>
      <c r="N30" s="11"/>
      <c r="S30" s="11"/>
      <c r="T30" s="11"/>
      <c r="U30" s="11"/>
    </row>
    <row r="31" spans="1:28" x14ac:dyDescent="0.3">
      <c r="A31" s="508"/>
      <c r="B31" s="87" t="s">
        <v>117</v>
      </c>
      <c r="C31" s="87" t="s">
        <v>118</v>
      </c>
      <c r="L31" s="8"/>
      <c r="M31" s="8"/>
      <c r="N31" s="11"/>
      <c r="S31" s="11"/>
      <c r="T31" s="11"/>
      <c r="U31" s="11"/>
    </row>
    <row r="32" spans="1:28" x14ac:dyDescent="0.3">
      <c r="A32" s="508"/>
      <c r="B32" s="32" t="s">
        <v>14</v>
      </c>
      <c r="C32" s="32"/>
      <c r="D32" s="33"/>
      <c r="E32" s="33"/>
      <c r="F32" s="33"/>
      <c r="G32" s="33"/>
      <c r="H32" s="32"/>
      <c r="I32" s="33"/>
      <c r="J32" s="32"/>
      <c r="K32" s="32"/>
      <c r="L32" s="32"/>
      <c r="M32" s="32"/>
      <c r="N32" s="33"/>
      <c r="O32" s="32"/>
      <c r="P32" s="32"/>
      <c r="Q32" s="32"/>
      <c r="R32" s="32"/>
      <c r="S32" s="32"/>
      <c r="T32" s="32"/>
      <c r="U32" s="32"/>
    </row>
    <row r="33" spans="2:30" x14ac:dyDescent="0.3">
      <c r="L33" s="8"/>
      <c r="M33" s="8"/>
      <c r="N33" s="11"/>
      <c r="S33" s="11"/>
      <c r="T33" s="11"/>
      <c r="U33" s="11"/>
    </row>
    <row r="34" spans="2:30" x14ac:dyDescent="0.3">
      <c r="D34" s="37"/>
      <c r="E34" s="37"/>
      <c r="F34" s="37"/>
      <c r="G34" s="37"/>
      <c r="L34" s="8"/>
      <c r="M34" s="23"/>
      <c r="N34" s="23"/>
      <c r="S34" s="11"/>
      <c r="T34" s="11"/>
      <c r="U34" s="11"/>
    </row>
    <row r="35" spans="2:30" x14ac:dyDescent="0.3">
      <c r="D35" s="37"/>
      <c r="E35" s="37"/>
      <c r="F35" s="37"/>
      <c r="G35" s="37"/>
      <c r="L35" s="8"/>
      <c r="M35" s="8"/>
      <c r="N35" s="11"/>
      <c r="S35" s="11"/>
      <c r="T35" s="37"/>
      <c r="U35" s="37"/>
    </row>
    <row r="36" spans="2:30" x14ac:dyDescent="0.3">
      <c r="D36" s="37"/>
      <c r="E36" s="37"/>
      <c r="F36" s="37"/>
      <c r="G36" s="37"/>
      <c r="L36" s="8"/>
      <c r="M36" s="8"/>
      <c r="N36" s="11"/>
      <c r="S36" s="11"/>
      <c r="T36" s="11"/>
      <c r="U36" s="11"/>
    </row>
    <row r="37" spans="2:30" x14ac:dyDescent="0.3">
      <c r="D37" s="37"/>
      <c r="E37" s="37"/>
      <c r="F37" s="37"/>
      <c r="G37" s="37"/>
      <c r="L37" s="8"/>
      <c r="M37" s="8"/>
      <c r="N37" s="11"/>
      <c r="S37" s="11"/>
      <c r="T37" s="11"/>
      <c r="U37" s="11"/>
    </row>
    <row r="38" spans="2:30" x14ac:dyDescent="0.3">
      <c r="D38" s="37"/>
      <c r="E38" s="37"/>
      <c r="F38" s="37"/>
      <c r="G38" s="37"/>
      <c r="L38" s="8"/>
      <c r="M38" s="8"/>
      <c r="N38" s="11"/>
      <c r="S38" s="11"/>
      <c r="T38" s="11"/>
      <c r="U38" s="11"/>
    </row>
    <row r="39" spans="2:30" x14ac:dyDescent="0.3">
      <c r="H39" s="11"/>
      <c r="J39" s="11"/>
      <c r="K39" s="11"/>
      <c r="L39" s="8"/>
      <c r="M39" s="8"/>
      <c r="N39" s="11"/>
      <c r="S39" s="11"/>
      <c r="T39" s="11"/>
      <c r="U39" s="11"/>
      <c r="W39" s="11"/>
      <c r="Y39" s="11"/>
      <c r="AA39" s="56"/>
      <c r="AB39" s="56"/>
      <c r="AC39" s="56"/>
    </row>
    <row r="40" spans="2:30" x14ac:dyDescent="0.3">
      <c r="H40" s="11"/>
      <c r="J40" s="11"/>
      <c r="K40" s="11"/>
      <c r="L40" s="8"/>
      <c r="M40" s="8"/>
      <c r="N40" s="11"/>
      <c r="S40" s="37"/>
      <c r="T40" s="11"/>
      <c r="U40" s="11"/>
      <c r="W40" s="11"/>
      <c r="Y40" s="11"/>
      <c r="AA40" s="56"/>
      <c r="AB40" s="56"/>
      <c r="AC40" s="56"/>
    </row>
    <row r="41" spans="2:30" x14ac:dyDescent="0.3">
      <c r="H41" s="11"/>
      <c r="J41" s="11"/>
      <c r="K41" s="11"/>
      <c r="L41" s="8"/>
      <c r="M41" s="8"/>
      <c r="N41" s="11"/>
      <c r="S41" s="37"/>
      <c r="T41" s="11"/>
      <c r="U41" s="11"/>
      <c r="W41" s="11"/>
      <c r="Y41" s="11"/>
      <c r="AA41" s="56"/>
      <c r="AB41" s="56"/>
      <c r="AC41" s="56"/>
    </row>
    <row r="42" spans="2:30" x14ac:dyDescent="0.3">
      <c r="L42" s="8"/>
      <c r="M42" s="8"/>
      <c r="N42" s="11"/>
      <c r="S42" s="11"/>
    </row>
    <row r="43" spans="2:30" x14ac:dyDescent="0.3">
      <c r="B43" s="40"/>
      <c r="C43" s="40"/>
      <c r="D43" s="76"/>
      <c r="E43" s="76"/>
      <c r="F43" s="76"/>
      <c r="G43" s="76"/>
      <c r="H43" s="40"/>
      <c r="I43" s="76"/>
      <c r="J43" s="40"/>
      <c r="K43" s="40"/>
      <c r="L43" s="77"/>
      <c r="M43" s="77"/>
      <c r="N43" s="76"/>
      <c r="O43" s="40"/>
      <c r="P43" s="40"/>
      <c r="Q43" s="40"/>
      <c r="R43" s="40"/>
      <c r="S43" s="40"/>
      <c r="T43" s="40"/>
      <c r="U43" s="40"/>
      <c r="V43" s="40"/>
      <c r="W43" s="40"/>
      <c r="X43" s="40"/>
      <c r="Y43" s="40"/>
      <c r="Z43" s="40"/>
      <c r="AA43" s="40"/>
      <c r="AB43" s="40"/>
      <c r="AC43" s="40"/>
      <c r="AD43" s="40"/>
    </row>
    <row r="44" spans="2:30" x14ac:dyDescent="0.3">
      <c r="B44" s="40"/>
      <c r="C44" s="40"/>
      <c r="D44" s="76"/>
      <c r="E44" s="76"/>
      <c r="F44" s="76"/>
      <c r="G44" s="76"/>
      <c r="H44" s="40"/>
      <c r="I44" s="76"/>
      <c r="J44" s="40"/>
      <c r="K44" s="40"/>
      <c r="L44" s="77"/>
      <c r="M44" s="77"/>
      <c r="N44" s="76"/>
      <c r="O44" s="40"/>
      <c r="P44" s="40"/>
      <c r="Q44" s="40"/>
      <c r="R44" s="40"/>
      <c r="S44" s="40"/>
      <c r="T44" s="40"/>
      <c r="U44" s="40"/>
      <c r="V44" s="40"/>
      <c r="W44" s="40"/>
      <c r="X44" s="40"/>
      <c r="Y44" s="40"/>
      <c r="Z44" s="40"/>
      <c r="AA44" s="40"/>
      <c r="AB44" s="40"/>
      <c r="AC44" s="40"/>
      <c r="AD44" s="40"/>
    </row>
    <row r="45" spans="2:30" x14ac:dyDescent="0.3">
      <c r="B45" s="40"/>
      <c r="C45" s="40"/>
      <c r="D45" s="64"/>
      <c r="E45" s="64"/>
      <c r="F45" s="64"/>
      <c r="G45" s="64"/>
      <c r="H45" s="40"/>
      <c r="I45" s="76"/>
      <c r="J45" s="40"/>
      <c r="K45" s="40"/>
      <c r="L45" s="77"/>
      <c r="M45" s="77"/>
      <c r="N45" s="76"/>
      <c r="O45" s="40"/>
      <c r="P45" s="40"/>
      <c r="Q45" s="40"/>
      <c r="R45" s="40"/>
      <c r="S45" s="40"/>
      <c r="T45" s="40"/>
      <c r="U45" s="40"/>
      <c r="V45" s="40"/>
      <c r="W45" s="40"/>
      <c r="X45" s="40"/>
      <c r="Y45" s="40"/>
      <c r="Z45" s="40"/>
      <c r="AA45" s="40"/>
      <c r="AB45" s="40"/>
      <c r="AC45" s="40"/>
      <c r="AD45" s="40"/>
    </row>
    <row r="46" spans="2:30" x14ac:dyDescent="0.3">
      <c r="B46" s="32" t="s">
        <v>14</v>
      </c>
      <c r="C46" s="78"/>
      <c r="D46" s="33"/>
      <c r="E46" s="33"/>
      <c r="F46" s="33"/>
      <c r="G46" s="33"/>
      <c r="H46" s="78"/>
      <c r="I46" s="79"/>
      <c r="J46" s="78"/>
      <c r="K46" s="78"/>
      <c r="L46" s="78"/>
      <c r="M46" s="78"/>
      <c r="N46" s="78"/>
      <c r="O46" s="78"/>
      <c r="P46" s="78"/>
      <c r="Q46" s="78"/>
      <c r="R46" s="78"/>
      <c r="S46" s="78"/>
      <c r="T46" s="78"/>
      <c r="U46" s="78"/>
    </row>
  </sheetData>
  <mergeCells count="2">
    <mergeCell ref="A6:A20"/>
    <mergeCell ref="A22:A32"/>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30"/>
  <sheetViews>
    <sheetView zoomScale="80" zoomScaleNormal="80" workbookViewId="0">
      <selection activeCell="L38" sqref="L38"/>
    </sheetView>
  </sheetViews>
  <sheetFormatPr defaultColWidth="8.88671875" defaultRowHeight="14.4" x14ac:dyDescent="0.3"/>
  <cols>
    <col min="1" max="1" width="21" bestFit="1" customWidth="1"/>
    <col min="2" max="2" width="35.33203125" bestFit="1" customWidth="1"/>
    <col min="3" max="3" width="21" bestFit="1" customWidth="1"/>
    <col min="4" max="5" width="24.6640625" customWidth="1"/>
    <col min="6" max="6" width="18.6640625" customWidth="1"/>
    <col min="7" max="7" width="22.6640625" bestFit="1" customWidth="1"/>
    <col min="8" max="8" width="13.109375" bestFit="1" customWidth="1"/>
    <col min="9" max="9" width="14.109375" bestFit="1" customWidth="1"/>
    <col min="10" max="10" width="25.5546875" customWidth="1"/>
  </cols>
  <sheetData>
    <row r="1" spans="1:8" ht="14.4" customHeight="1" x14ac:dyDescent="0.3">
      <c r="A1" s="520" t="s">
        <v>197</v>
      </c>
      <c r="B1" s="520"/>
      <c r="C1" s="520"/>
      <c r="D1" s="520"/>
      <c r="F1" s="520" t="s">
        <v>196</v>
      </c>
      <c r="G1" s="520"/>
    </row>
    <row r="2" spans="1:8" x14ac:dyDescent="0.3">
      <c r="A2" s="520"/>
      <c r="B2" s="520"/>
      <c r="C2" s="520"/>
      <c r="D2" s="520"/>
      <c r="F2" s="520"/>
      <c r="G2" s="520"/>
    </row>
    <row r="3" spans="1:8" x14ac:dyDescent="0.3">
      <c r="A3" s="520"/>
      <c r="B3" s="520"/>
      <c r="C3" s="520"/>
      <c r="D3" s="520"/>
      <c r="F3" s="520"/>
      <c r="G3" s="520"/>
    </row>
    <row r="4" spans="1:8" x14ac:dyDescent="0.3">
      <c r="A4" s="520"/>
      <c r="B4" s="520"/>
      <c r="C4" s="520"/>
      <c r="D4" s="520"/>
      <c r="F4" s="520"/>
      <c r="G4" s="520"/>
    </row>
    <row r="5" spans="1:8" x14ac:dyDescent="0.3">
      <c r="A5" s="520"/>
      <c r="B5" s="520"/>
      <c r="C5" s="520"/>
      <c r="D5" s="520"/>
      <c r="F5" s="520"/>
      <c r="G5" s="520"/>
    </row>
    <row r="6" spans="1:8" x14ac:dyDescent="0.3">
      <c r="A6" s="520"/>
      <c r="B6" s="520"/>
      <c r="C6" s="520"/>
      <c r="D6" s="520"/>
      <c r="F6" s="520"/>
      <c r="G6" s="520"/>
    </row>
    <row r="7" spans="1:8" x14ac:dyDescent="0.3">
      <c r="A7" s="520"/>
      <c r="B7" s="520"/>
      <c r="C7" s="520"/>
      <c r="D7" s="520"/>
      <c r="F7" s="520"/>
      <c r="G7" s="520"/>
    </row>
    <row r="8" spans="1:8" x14ac:dyDescent="0.3">
      <c r="A8" s="520"/>
      <c r="B8" s="520"/>
      <c r="C8" s="520"/>
      <c r="D8" s="520"/>
      <c r="F8" s="247"/>
      <c r="G8" s="247"/>
    </row>
    <row r="9" spans="1:8" x14ac:dyDescent="0.3">
      <c r="A9" s="520"/>
      <c r="B9" s="520"/>
      <c r="C9" s="520"/>
      <c r="D9" s="520"/>
      <c r="F9" s="247"/>
      <c r="G9" s="247"/>
    </row>
    <row r="10" spans="1:8" x14ac:dyDescent="0.3">
      <c r="A10" s="247"/>
      <c r="B10" s="247"/>
      <c r="C10" s="247"/>
      <c r="D10" s="247"/>
      <c r="E10" s="247"/>
      <c r="G10" s="247"/>
      <c r="H10" s="247"/>
    </row>
    <row r="11" spans="1:8" x14ac:dyDescent="0.3">
      <c r="A11" s="247"/>
      <c r="B11" s="247"/>
      <c r="C11" s="247"/>
      <c r="D11" s="247"/>
      <c r="E11" s="247"/>
      <c r="G11" s="247"/>
      <c r="H11" s="247"/>
    </row>
    <row r="12" spans="1:8" ht="15" customHeight="1" thickBot="1" x14ac:dyDescent="0.35">
      <c r="A12" t="s">
        <v>195</v>
      </c>
      <c r="C12" s="247"/>
    </row>
    <row r="13" spans="1:8" ht="14.4" customHeight="1" x14ac:dyDescent="0.3">
      <c r="A13" s="156" t="s">
        <v>180</v>
      </c>
      <c r="B13" s="155" t="s">
        <v>194</v>
      </c>
      <c r="C13" s="247"/>
    </row>
    <row r="14" spans="1:8" x14ac:dyDescent="0.3">
      <c r="A14" s="151" t="s">
        <v>178</v>
      </c>
      <c r="B14" s="145">
        <v>1500000</v>
      </c>
      <c r="C14" s="247"/>
    </row>
    <row r="15" spans="1:8" x14ac:dyDescent="0.3">
      <c r="A15" s="151" t="s">
        <v>183</v>
      </c>
      <c r="B15" s="145">
        <v>3510000</v>
      </c>
      <c r="C15" s="247"/>
    </row>
    <row r="16" spans="1:8" x14ac:dyDescent="0.3">
      <c r="A16" s="151" t="s">
        <v>176</v>
      </c>
      <c r="B16" s="145">
        <v>810000</v>
      </c>
      <c r="C16" s="247"/>
    </row>
    <row r="17" spans="1:8" x14ac:dyDescent="0.3">
      <c r="A17" s="151" t="s">
        <v>175</v>
      </c>
      <c r="B17" s="145">
        <v>2160000</v>
      </c>
      <c r="C17" s="247"/>
    </row>
    <row r="18" spans="1:8" x14ac:dyDescent="0.3">
      <c r="A18" s="151" t="s">
        <v>174</v>
      </c>
      <c r="B18" s="145">
        <v>1000000</v>
      </c>
      <c r="C18" s="247"/>
    </row>
    <row r="19" spans="1:8" x14ac:dyDescent="0.3">
      <c r="A19" s="151" t="s">
        <v>173</v>
      </c>
      <c r="B19" s="145">
        <v>1125000</v>
      </c>
      <c r="C19" s="247"/>
    </row>
    <row r="20" spans="1:8" x14ac:dyDescent="0.3">
      <c r="A20" s="151" t="s">
        <v>172</v>
      </c>
      <c r="B20" s="145">
        <v>2250000</v>
      </c>
      <c r="C20" s="247"/>
    </row>
    <row r="21" spans="1:8" x14ac:dyDescent="0.3">
      <c r="A21" s="151" t="s">
        <v>171</v>
      </c>
      <c r="B21" s="145">
        <v>1125000</v>
      </c>
      <c r="C21" s="247"/>
    </row>
    <row r="22" spans="1:8" x14ac:dyDescent="0.3">
      <c r="A22" s="151" t="s">
        <v>170</v>
      </c>
      <c r="B22" s="145">
        <v>600000</v>
      </c>
      <c r="C22" s="247"/>
    </row>
    <row r="23" spans="1:8" x14ac:dyDescent="0.3">
      <c r="A23" s="150" t="s">
        <v>89</v>
      </c>
      <c r="B23" s="148">
        <v>2700000</v>
      </c>
      <c r="C23" s="247"/>
    </row>
    <row r="24" spans="1:8" ht="15" thickBot="1" x14ac:dyDescent="0.35">
      <c r="A24" s="143" t="s">
        <v>42</v>
      </c>
      <c r="B24" s="141">
        <f>SUM(B14:B23)</f>
        <v>16780000</v>
      </c>
      <c r="C24" s="247"/>
    </row>
    <row r="25" spans="1:8" x14ac:dyDescent="0.3">
      <c r="C25" s="8"/>
      <c r="G25" s="62"/>
    </row>
    <row r="26" spans="1:8" ht="14.4" customHeight="1" thickBot="1" x14ac:dyDescent="0.35">
      <c r="A26" t="s">
        <v>188</v>
      </c>
      <c r="H26" s="115"/>
    </row>
    <row r="27" spans="1:8" x14ac:dyDescent="0.3">
      <c r="A27" s="156" t="s">
        <v>168</v>
      </c>
      <c r="B27" s="146" t="s">
        <v>310</v>
      </c>
      <c r="C27" s="146" t="s">
        <v>187</v>
      </c>
      <c r="D27" s="155" t="s">
        <v>186</v>
      </c>
      <c r="F27" s="174" t="s">
        <v>193</v>
      </c>
      <c r="G27" s="173" t="s">
        <v>192</v>
      </c>
      <c r="H27" s="115"/>
    </row>
    <row r="28" spans="1:8" x14ac:dyDescent="0.3">
      <c r="A28" s="154" t="s">
        <v>165</v>
      </c>
      <c r="B28" s="168">
        <f>0.55*G28</f>
        <v>0.13750000000000001</v>
      </c>
      <c r="C28" s="77">
        <v>18.5</v>
      </c>
      <c r="D28" s="167">
        <f>$B$24*B28</f>
        <v>2307250</v>
      </c>
      <c r="F28" s="172" t="s">
        <v>191</v>
      </c>
      <c r="G28" s="171">
        <v>0.25</v>
      </c>
      <c r="H28" s="115"/>
    </row>
    <row r="29" spans="1:8" x14ac:dyDescent="0.3">
      <c r="A29" s="154" t="s">
        <v>164</v>
      </c>
      <c r="B29" s="168">
        <f>0.55*G29</f>
        <v>0.35750000000000004</v>
      </c>
      <c r="C29" s="77">
        <v>18.5</v>
      </c>
      <c r="D29" s="167">
        <f t="shared" ref="D29:D30" si="0">$B$24*B29</f>
        <v>5998850.0000000009</v>
      </c>
      <c r="F29" s="172" t="s">
        <v>190</v>
      </c>
      <c r="G29" s="171">
        <v>0.65</v>
      </c>
      <c r="H29" s="115"/>
    </row>
    <row r="30" spans="1:8" ht="15" thickBot="1" x14ac:dyDescent="0.35">
      <c r="A30" s="154" t="s">
        <v>163</v>
      </c>
      <c r="B30" s="168">
        <f>0.55*G30</f>
        <v>5.5000000000000007E-2</v>
      </c>
      <c r="C30" s="77">
        <v>18.5</v>
      </c>
      <c r="D30" s="167">
        <f t="shared" si="0"/>
        <v>922900.00000000012</v>
      </c>
      <c r="F30" s="170" t="s">
        <v>189</v>
      </c>
      <c r="G30" s="169">
        <v>0.1</v>
      </c>
      <c r="H30" s="115"/>
    </row>
    <row r="31" spans="1:8" x14ac:dyDescent="0.3">
      <c r="A31" s="151" t="s">
        <v>166</v>
      </c>
      <c r="B31" s="8">
        <v>0.55000000000000004</v>
      </c>
      <c r="C31" s="8">
        <v>18.5</v>
      </c>
      <c r="D31" s="166">
        <f>$B$24*B31</f>
        <v>9229000</v>
      </c>
      <c r="H31" s="115"/>
    </row>
    <row r="32" spans="1:8" x14ac:dyDescent="0.3">
      <c r="A32" s="151" t="s">
        <v>162</v>
      </c>
      <c r="B32" s="8">
        <v>0.04</v>
      </c>
      <c r="C32" s="8">
        <v>8.9</v>
      </c>
      <c r="D32" s="166">
        <f>$B$24*B32</f>
        <v>671200</v>
      </c>
    </row>
    <row r="33" spans="1:9" x14ac:dyDescent="0.3">
      <c r="A33" s="151" t="s">
        <v>161</v>
      </c>
      <c r="B33" s="8">
        <v>7.0000000000000007E-2</v>
      </c>
      <c r="C33" s="8">
        <v>3.5</v>
      </c>
      <c r="D33" s="166">
        <f>$B$24*B33</f>
        <v>1174600</v>
      </c>
    </row>
    <row r="34" spans="1:9" x14ac:dyDescent="0.3">
      <c r="A34" s="150" t="s">
        <v>160</v>
      </c>
      <c r="B34" s="223">
        <v>0.31</v>
      </c>
      <c r="C34" s="223">
        <v>7.3</v>
      </c>
      <c r="D34" s="165">
        <f>$B$24*B34</f>
        <v>5201800</v>
      </c>
    </row>
    <row r="35" spans="1:9" ht="15" thickBot="1" x14ac:dyDescent="0.35">
      <c r="A35" s="143" t="s">
        <v>42</v>
      </c>
      <c r="B35" s="164">
        <f>SUM(B31:B34)</f>
        <v>0.9700000000000002</v>
      </c>
      <c r="C35" s="163"/>
      <c r="D35" s="159">
        <f>SUM(D31:D34)</f>
        <v>16276600</v>
      </c>
    </row>
    <row r="36" spans="1:9" ht="15" thickBot="1" x14ac:dyDescent="0.35">
      <c r="B36" s="121"/>
      <c r="C36" s="121"/>
      <c r="D36" s="8"/>
    </row>
    <row r="37" spans="1:9" x14ac:dyDescent="0.3">
      <c r="A37" s="162"/>
      <c r="B37" s="521" t="s">
        <v>185</v>
      </c>
      <c r="C37" s="521"/>
      <c r="D37" s="521"/>
      <c r="E37" s="521"/>
      <c r="F37" s="521"/>
      <c r="G37" s="521"/>
      <c r="H37" s="521"/>
      <c r="I37" s="522" t="s">
        <v>184</v>
      </c>
    </row>
    <row r="38" spans="1:9" x14ac:dyDescent="0.3">
      <c r="A38" s="144" t="s">
        <v>180</v>
      </c>
      <c r="B38" s="59" t="s">
        <v>165</v>
      </c>
      <c r="C38" s="59" t="s">
        <v>164</v>
      </c>
      <c r="D38" s="59" t="s">
        <v>163</v>
      </c>
      <c r="E38" s="59" t="s">
        <v>179</v>
      </c>
      <c r="F38" s="59" t="s">
        <v>162</v>
      </c>
      <c r="G38" s="59" t="s">
        <v>161</v>
      </c>
      <c r="H38" s="59" t="s">
        <v>160</v>
      </c>
      <c r="I38" s="523"/>
    </row>
    <row r="39" spans="1:9" x14ac:dyDescent="0.3">
      <c r="A39" s="151" t="s">
        <v>178</v>
      </c>
      <c r="B39" s="121">
        <f t="shared" ref="B39:B48" si="1">$B$28*B14</f>
        <v>206250.00000000003</v>
      </c>
      <c r="C39" s="121">
        <f t="shared" ref="C39:C48" si="2">$B$29*B14</f>
        <v>536250.00000000012</v>
      </c>
      <c r="D39" s="121">
        <f t="shared" ref="D39:D48" si="3">$B$30*B14</f>
        <v>82500.000000000015</v>
      </c>
      <c r="E39" s="121">
        <f t="shared" ref="E39:E48" si="4">SUM(B39:D39)</f>
        <v>825000.00000000012</v>
      </c>
      <c r="F39" s="121">
        <f t="shared" ref="F39:F48" si="5">B14*$B$32</f>
        <v>60000</v>
      </c>
      <c r="G39" s="121">
        <f t="shared" ref="G39:G48" si="6">B14*$B$33</f>
        <v>105000.00000000001</v>
      </c>
      <c r="H39" s="121">
        <f t="shared" ref="H39:H48" si="7">B14*$B$34</f>
        <v>465000</v>
      </c>
      <c r="I39" s="161">
        <f>SUM(E39:H39)</f>
        <v>1455000</v>
      </c>
    </row>
    <row r="40" spans="1:9" x14ac:dyDescent="0.3">
      <c r="A40" s="151" t="s">
        <v>183</v>
      </c>
      <c r="B40" s="121">
        <f t="shared" si="1"/>
        <v>482625.00000000006</v>
      </c>
      <c r="C40" s="121">
        <f t="shared" si="2"/>
        <v>1254825.0000000002</v>
      </c>
      <c r="D40" s="121">
        <f t="shared" si="3"/>
        <v>193050.00000000003</v>
      </c>
      <c r="E40" s="121">
        <f t="shared" si="4"/>
        <v>1930500.0000000002</v>
      </c>
      <c r="F40" s="121">
        <f t="shared" si="5"/>
        <v>140400</v>
      </c>
      <c r="G40" s="121">
        <f t="shared" si="6"/>
        <v>245700.00000000003</v>
      </c>
      <c r="H40" s="121">
        <f t="shared" si="7"/>
        <v>1088100</v>
      </c>
      <c r="I40" s="161">
        <f t="shared" ref="I40:I48" si="8">SUM(E40:H40)</f>
        <v>3404700.0000000005</v>
      </c>
    </row>
    <row r="41" spans="1:9" x14ac:dyDescent="0.3">
      <c r="A41" s="151" t="s">
        <v>176</v>
      </c>
      <c r="B41" s="121">
        <f t="shared" si="1"/>
        <v>111375.00000000001</v>
      </c>
      <c r="C41" s="121">
        <f t="shared" si="2"/>
        <v>289575.00000000006</v>
      </c>
      <c r="D41" s="121">
        <f t="shared" si="3"/>
        <v>44550.000000000007</v>
      </c>
      <c r="E41" s="121">
        <f t="shared" si="4"/>
        <v>445500.00000000006</v>
      </c>
      <c r="F41" s="121">
        <f t="shared" si="5"/>
        <v>32400</v>
      </c>
      <c r="G41" s="121">
        <f t="shared" si="6"/>
        <v>56700.000000000007</v>
      </c>
      <c r="H41" s="121">
        <f t="shared" si="7"/>
        <v>251100</v>
      </c>
      <c r="I41" s="161">
        <f t="shared" si="8"/>
        <v>785700.00000000012</v>
      </c>
    </row>
    <row r="42" spans="1:9" x14ac:dyDescent="0.3">
      <c r="A42" s="151" t="s">
        <v>175</v>
      </c>
      <c r="B42" s="121">
        <f t="shared" si="1"/>
        <v>297000</v>
      </c>
      <c r="C42" s="121">
        <f t="shared" si="2"/>
        <v>772200.00000000012</v>
      </c>
      <c r="D42" s="121">
        <f t="shared" si="3"/>
        <v>118800.00000000001</v>
      </c>
      <c r="E42" s="121">
        <f t="shared" si="4"/>
        <v>1188000</v>
      </c>
      <c r="F42" s="121">
        <f t="shared" si="5"/>
        <v>86400</v>
      </c>
      <c r="G42" s="121">
        <f t="shared" si="6"/>
        <v>151200</v>
      </c>
      <c r="H42" s="121">
        <f t="shared" si="7"/>
        <v>669600</v>
      </c>
      <c r="I42" s="161">
        <f t="shared" si="8"/>
        <v>2095200</v>
      </c>
    </row>
    <row r="43" spans="1:9" x14ac:dyDescent="0.3">
      <c r="A43" s="151" t="s">
        <v>174</v>
      </c>
      <c r="B43" s="121">
        <f t="shared" si="1"/>
        <v>137500</v>
      </c>
      <c r="C43" s="121">
        <f t="shared" si="2"/>
        <v>357500.00000000006</v>
      </c>
      <c r="D43" s="121">
        <f t="shared" si="3"/>
        <v>55000.000000000007</v>
      </c>
      <c r="E43" s="121">
        <f t="shared" si="4"/>
        <v>550000.00000000012</v>
      </c>
      <c r="F43" s="121">
        <f t="shared" si="5"/>
        <v>40000</v>
      </c>
      <c r="G43" s="121">
        <f t="shared" si="6"/>
        <v>70000</v>
      </c>
      <c r="H43" s="121">
        <f t="shared" si="7"/>
        <v>310000</v>
      </c>
      <c r="I43" s="161">
        <f t="shared" si="8"/>
        <v>970000.00000000012</v>
      </c>
    </row>
    <row r="44" spans="1:9" x14ac:dyDescent="0.3">
      <c r="A44" s="151" t="s">
        <v>173</v>
      </c>
      <c r="B44" s="121">
        <f t="shared" si="1"/>
        <v>154687.5</v>
      </c>
      <c r="C44" s="121">
        <f t="shared" si="2"/>
        <v>402187.50000000006</v>
      </c>
      <c r="D44" s="121">
        <f t="shared" si="3"/>
        <v>61875.000000000007</v>
      </c>
      <c r="E44" s="121">
        <f t="shared" si="4"/>
        <v>618750</v>
      </c>
      <c r="F44" s="121">
        <f t="shared" si="5"/>
        <v>45000</v>
      </c>
      <c r="G44" s="121">
        <f t="shared" si="6"/>
        <v>78750.000000000015</v>
      </c>
      <c r="H44" s="121">
        <f t="shared" si="7"/>
        <v>348750</v>
      </c>
      <c r="I44" s="161">
        <f t="shared" si="8"/>
        <v>1091250</v>
      </c>
    </row>
    <row r="45" spans="1:9" x14ac:dyDescent="0.3">
      <c r="A45" s="151" t="s">
        <v>172</v>
      </c>
      <c r="B45" s="121">
        <f t="shared" si="1"/>
        <v>309375</v>
      </c>
      <c r="C45" s="121">
        <f t="shared" si="2"/>
        <v>804375.00000000012</v>
      </c>
      <c r="D45" s="121">
        <f t="shared" si="3"/>
        <v>123750.00000000001</v>
      </c>
      <c r="E45" s="121">
        <f t="shared" si="4"/>
        <v>1237500</v>
      </c>
      <c r="F45" s="121">
        <f t="shared" si="5"/>
        <v>90000</v>
      </c>
      <c r="G45" s="121">
        <f t="shared" si="6"/>
        <v>157500.00000000003</v>
      </c>
      <c r="H45" s="121">
        <f t="shared" si="7"/>
        <v>697500</v>
      </c>
      <c r="I45" s="161">
        <f t="shared" si="8"/>
        <v>2182500</v>
      </c>
    </row>
    <row r="46" spans="1:9" x14ac:dyDescent="0.3">
      <c r="A46" s="151" t="s">
        <v>171</v>
      </c>
      <c r="B46" s="121">
        <f t="shared" si="1"/>
        <v>154687.5</v>
      </c>
      <c r="C46" s="121">
        <f t="shared" si="2"/>
        <v>402187.50000000006</v>
      </c>
      <c r="D46" s="121">
        <f t="shared" si="3"/>
        <v>61875.000000000007</v>
      </c>
      <c r="E46" s="121">
        <f t="shared" si="4"/>
        <v>618750</v>
      </c>
      <c r="F46" s="121">
        <f t="shared" si="5"/>
        <v>45000</v>
      </c>
      <c r="G46" s="121">
        <f t="shared" si="6"/>
        <v>78750.000000000015</v>
      </c>
      <c r="H46" s="121">
        <f t="shared" si="7"/>
        <v>348750</v>
      </c>
      <c r="I46" s="161">
        <f t="shared" si="8"/>
        <v>1091250</v>
      </c>
    </row>
    <row r="47" spans="1:9" x14ac:dyDescent="0.3">
      <c r="A47" s="151" t="s">
        <v>170</v>
      </c>
      <c r="B47" s="121">
        <f t="shared" si="1"/>
        <v>82500</v>
      </c>
      <c r="C47" s="121">
        <f t="shared" si="2"/>
        <v>214500.00000000003</v>
      </c>
      <c r="D47" s="121">
        <f t="shared" si="3"/>
        <v>33000.000000000007</v>
      </c>
      <c r="E47" s="121">
        <f t="shared" si="4"/>
        <v>330000</v>
      </c>
      <c r="F47" s="121">
        <f t="shared" si="5"/>
        <v>24000</v>
      </c>
      <c r="G47" s="121">
        <f t="shared" si="6"/>
        <v>42000.000000000007</v>
      </c>
      <c r="H47" s="121">
        <f t="shared" si="7"/>
        <v>186000</v>
      </c>
      <c r="I47" s="161">
        <f t="shared" si="8"/>
        <v>582000</v>
      </c>
    </row>
    <row r="48" spans="1:9" x14ac:dyDescent="0.3">
      <c r="A48" s="150" t="s">
        <v>89</v>
      </c>
      <c r="B48" s="149">
        <f t="shared" si="1"/>
        <v>371250.00000000006</v>
      </c>
      <c r="C48" s="149">
        <f t="shared" si="2"/>
        <v>965250.00000000012</v>
      </c>
      <c r="D48" s="149">
        <f t="shared" si="3"/>
        <v>148500.00000000003</v>
      </c>
      <c r="E48" s="149">
        <f t="shared" si="4"/>
        <v>1485000.0000000002</v>
      </c>
      <c r="F48" s="149">
        <f t="shared" si="5"/>
        <v>108000</v>
      </c>
      <c r="G48" s="149">
        <f t="shared" si="6"/>
        <v>189000.00000000003</v>
      </c>
      <c r="H48" s="149">
        <f t="shared" si="7"/>
        <v>837000</v>
      </c>
      <c r="I48" s="160">
        <f t="shared" si="8"/>
        <v>2619000</v>
      </c>
    </row>
    <row r="49" spans="1:9" ht="15" thickBot="1" x14ac:dyDescent="0.35">
      <c r="A49" s="143" t="s">
        <v>42</v>
      </c>
      <c r="B49" s="147">
        <f t="shared" ref="B49:D49" si="9">SUM(B39:B48)</f>
        <v>2307250</v>
      </c>
      <c r="C49" s="147">
        <f t="shared" si="9"/>
        <v>5998850.0000000009</v>
      </c>
      <c r="D49" s="147">
        <f t="shared" si="9"/>
        <v>922900.00000000012</v>
      </c>
      <c r="E49" s="147">
        <f>SUM(E39:E48)</f>
        <v>9229000</v>
      </c>
      <c r="F49" s="147">
        <f>SUM(F39:F48)</f>
        <v>671200</v>
      </c>
      <c r="G49" s="147">
        <f>SUM(G39:G48)</f>
        <v>1174600</v>
      </c>
      <c r="H49" s="147">
        <f>SUM(H39:H48)</f>
        <v>5201800</v>
      </c>
      <c r="I49" s="159">
        <f>SUM(E49:H49)</f>
        <v>16276600</v>
      </c>
    </row>
    <row r="50" spans="1:9" ht="15" thickBot="1" x14ac:dyDescent="0.35"/>
    <row r="51" spans="1:9" x14ac:dyDescent="0.3">
      <c r="A51" s="162"/>
      <c r="B51" s="521" t="s">
        <v>182</v>
      </c>
      <c r="C51" s="521"/>
      <c r="D51" s="521"/>
      <c r="E51" s="521"/>
      <c r="F51" s="521"/>
      <c r="G51" s="521"/>
      <c r="H51" s="521"/>
      <c r="I51" s="522" t="s">
        <v>181</v>
      </c>
    </row>
    <row r="52" spans="1:9" x14ac:dyDescent="0.3">
      <c r="A52" s="144" t="s">
        <v>180</v>
      </c>
      <c r="B52" s="59" t="s">
        <v>165</v>
      </c>
      <c r="C52" s="59" t="s">
        <v>164</v>
      </c>
      <c r="D52" s="59" t="s">
        <v>163</v>
      </c>
      <c r="E52" s="59" t="s">
        <v>179</v>
      </c>
      <c r="F52" s="59" t="s">
        <v>162</v>
      </c>
      <c r="G52" s="59" t="s">
        <v>161</v>
      </c>
      <c r="H52" s="59" t="s">
        <v>160</v>
      </c>
      <c r="I52" s="523"/>
    </row>
    <row r="53" spans="1:9" x14ac:dyDescent="0.3">
      <c r="A53" s="151" t="s">
        <v>178</v>
      </c>
      <c r="B53" s="249">
        <f t="shared" ref="B53:D62" si="10">B39/$C$28</f>
        <v>11148.64864864865</v>
      </c>
      <c r="C53" s="249">
        <f t="shared" si="10"/>
        <v>28986.486486486494</v>
      </c>
      <c r="D53" s="249">
        <f t="shared" si="10"/>
        <v>4459.45945945946</v>
      </c>
      <c r="E53" s="121">
        <f>SUM(B53:D53)</f>
        <v>44594.594594594608</v>
      </c>
      <c r="F53" s="121">
        <f t="shared" ref="F53:F62" si="11">F39/$C$32</f>
        <v>6741.5730337078649</v>
      </c>
      <c r="G53" s="121">
        <f t="shared" ref="G53:G62" si="12">G39/$C$33</f>
        <v>30000.000000000004</v>
      </c>
      <c r="H53" s="121">
        <f t="shared" ref="H53:H62" si="13">H39/$C$34</f>
        <v>63698.630136986299</v>
      </c>
      <c r="I53" s="250">
        <f>SUM(E53:H53)</f>
        <v>145034.79776528876</v>
      </c>
    </row>
    <row r="54" spans="1:9" x14ac:dyDescent="0.3">
      <c r="A54" s="151" t="s">
        <v>177</v>
      </c>
      <c r="B54" s="121">
        <f t="shared" si="10"/>
        <v>26087.83783783784</v>
      </c>
      <c r="C54" s="121">
        <f t="shared" si="10"/>
        <v>67828.378378378387</v>
      </c>
      <c r="D54" s="121">
        <f t="shared" si="10"/>
        <v>10435.135135135137</v>
      </c>
      <c r="E54" s="121">
        <f t="shared" ref="E54:E62" si="14">SUM(B54:D54)</f>
        <v>104351.35135135136</v>
      </c>
      <c r="F54" s="121">
        <f t="shared" si="11"/>
        <v>15775.280898876405</v>
      </c>
      <c r="G54" s="121">
        <f t="shared" si="12"/>
        <v>70200.000000000015</v>
      </c>
      <c r="H54" s="121">
        <f t="shared" si="13"/>
        <v>149054.79452054796</v>
      </c>
      <c r="I54" s="250">
        <f t="shared" ref="I54:I61" si="15">SUM(E54:H54)</f>
        <v>339381.42677077575</v>
      </c>
    </row>
    <row r="55" spans="1:9" x14ac:dyDescent="0.3">
      <c r="A55" s="151" t="s">
        <v>176</v>
      </c>
      <c r="B55" s="121">
        <f t="shared" si="10"/>
        <v>6020.2702702702709</v>
      </c>
      <c r="C55" s="121">
        <f t="shared" si="10"/>
        <v>15652.702702702705</v>
      </c>
      <c r="D55" s="121">
        <f t="shared" si="10"/>
        <v>2408.1081081081084</v>
      </c>
      <c r="E55" s="121">
        <f t="shared" si="14"/>
        <v>24081.081081081087</v>
      </c>
      <c r="F55" s="121">
        <f t="shared" si="11"/>
        <v>3640.4494382022472</v>
      </c>
      <c r="G55" s="121">
        <f t="shared" si="12"/>
        <v>16200.000000000002</v>
      </c>
      <c r="H55" s="121">
        <f t="shared" si="13"/>
        <v>34397.260273972606</v>
      </c>
      <c r="I55" s="250">
        <f t="shared" si="15"/>
        <v>78318.790793255932</v>
      </c>
    </row>
    <row r="56" spans="1:9" x14ac:dyDescent="0.3">
      <c r="A56" s="151" t="s">
        <v>175</v>
      </c>
      <c r="B56" s="121">
        <f t="shared" si="10"/>
        <v>16054.054054054053</v>
      </c>
      <c r="C56" s="121">
        <f t="shared" si="10"/>
        <v>41740.540540540547</v>
      </c>
      <c r="D56" s="121">
        <f t="shared" si="10"/>
        <v>6421.6216216216226</v>
      </c>
      <c r="E56" s="121">
        <f t="shared" si="14"/>
        <v>64216.21621621622</v>
      </c>
      <c r="F56" s="121">
        <f t="shared" si="11"/>
        <v>9707.8651685393252</v>
      </c>
      <c r="G56" s="121">
        <f t="shared" si="12"/>
        <v>43200</v>
      </c>
      <c r="H56" s="121">
        <f t="shared" si="13"/>
        <v>91726.027397260274</v>
      </c>
      <c r="I56" s="250">
        <f t="shared" si="15"/>
        <v>208850.1087820158</v>
      </c>
    </row>
    <row r="57" spans="1:9" x14ac:dyDescent="0.3">
      <c r="A57" s="151" t="s">
        <v>174</v>
      </c>
      <c r="B57" s="121">
        <f t="shared" si="10"/>
        <v>7432.4324324324325</v>
      </c>
      <c r="C57" s="121">
        <f t="shared" si="10"/>
        <v>19324.324324324327</v>
      </c>
      <c r="D57" s="121">
        <f t="shared" si="10"/>
        <v>2972.9729729729734</v>
      </c>
      <c r="E57" s="121">
        <f t="shared" si="14"/>
        <v>29729.729729729734</v>
      </c>
      <c r="F57" s="121">
        <f t="shared" si="11"/>
        <v>4494.3820224719102</v>
      </c>
      <c r="G57" s="121">
        <f t="shared" si="12"/>
        <v>20000</v>
      </c>
      <c r="H57" s="121">
        <f t="shared" si="13"/>
        <v>42465.753424657538</v>
      </c>
      <c r="I57" s="250">
        <f t="shared" si="15"/>
        <v>96689.865176859181</v>
      </c>
    </row>
    <row r="58" spans="1:9" x14ac:dyDescent="0.3">
      <c r="A58" s="151" t="s">
        <v>173</v>
      </c>
      <c r="B58" s="121">
        <f t="shared" si="10"/>
        <v>8361.4864864864867</v>
      </c>
      <c r="C58" s="121">
        <f t="shared" si="10"/>
        <v>21739.864864864867</v>
      </c>
      <c r="D58" s="121">
        <f t="shared" si="10"/>
        <v>3344.594594594595</v>
      </c>
      <c r="E58" s="121">
        <f t="shared" si="14"/>
        <v>33445.945945945947</v>
      </c>
      <c r="F58" s="121">
        <f t="shared" si="11"/>
        <v>5056.1797752808989</v>
      </c>
      <c r="G58" s="121">
        <f t="shared" si="12"/>
        <v>22500.000000000004</v>
      </c>
      <c r="H58" s="121">
        <f t="shared" si="13"/>
        <v>47773.972602739726</v>
      </c>
      <c r="I58" s="250">
        <f t="shared" si="15"/>
        <v>108776.09832396658</v>
      </c>
    </row>
    <row r="59" spans="1:9" x14ac:dyDescent="0.3">
      <c r="A59" s="151" t="s">
        <v>172</v>
      </c>
      <c r="B59" s="121">
        <f t="shared" si="10"/>
        <v>16722.972972972973</v>
      </c>
      <c r="C59" s="121">
        <f t="shared" si="10"/>
        <v>43479.729729729734</v>
      </c>
      <c r="D59" s="121">
        <f t="shared" si="10"/>
        <v>6689.1891891891901</v>
      </c>
      <c r="E59" s="121">
        <f t="shared" si="14"/>
        <v>66891.891891891893</v>
      </c>
      <c r="F59" s="121">
        <f t="shared" si="11"/>
        <v>10112.359550561798</v>
      </c>
      <c r="G59" s="121">
        <f t="shared" si="12"/>
        <v>45000.000000000007</v>
      </c>
      <c r="H59" s="121">
        <f t="shared" si="13"/>
        <v>95547.945205479453</v>
      </c>
      <c r="I59" s="250">
        <f t="shared" si="15"/>
        <v>217552.19664793316</v>
      </c>
    </row>
    <row r="60" spans="1:9" x14ac:dyDescent="0.3">
      <c r="A60" s="151" t="s">
        <v>171</v>
      </c>
      <c r="B60" s="121">
        <f t="shared" si="10"/>
        <v>8361.4864864864867</v>
      </c>
      <c r="C60" s="121">
        <f t="shared" si="10"/>
        <v>21739.864864864867</v>
      </c>
      <c r="D60" s="121">
        <f t="shared" si="10"/>
        <v>3344.594594594595</v>
      </c>
      <c r="E60" s="121">
        <f t="shared" si="14"/>
        <v>33445.945945945947</v>
      </c>
      <c r="F60" s="121">
        <f t="shared" si="11"/>
        <v>5056.1797752808989</v>
      </c>
      <c r="G60" s="121">
        <f t="shared" si="12"/>
        <v>22500.000000000004</v>
      </c>
      <c r="H60" s="121">
        <f t="shared" si="13"/>
        <v>47773.972602739726</v>
      </c>
      <c r="I60" s="250">
        <f t="shared" si="15"/>
        <v>108776.09832396658</v>
      </c>
    </row>
    <row r="61" spans="1:9" x14ac:dyDescent="0.3">
      <c r="A61" s="151" t="s">
        <v>170</v>
      </c>
      <c r="B61" s="121">
        <f t="shared" si="10"/>
        <v>4459.4594594594591</v>
      </c>
      <c r="C61" s="121">
        <f t="shared" si="10"/>
        <v>11594.594594594597</v>
      </c>
      <c r="D61" s="121">
        <f t="shared" si="10"/>
        <v>1783.7837837837842</v>
      </c>
      <c r="E61" s="121">
        <f t="shared" si="14"/>
        <v>17837.83783783784</v>
      </c>
      <c r="F61" s="121">
        <f t="shared" si="11"/>
        <v>2696.629213483146</v>
      </c>
      <c r="G61" s="121">
        <f t="shared" si="12"/>
        <v>12000.000000000002</v>
      </c>
      <c r="H61" s="121">
        <f t="shared" si="13"/>
        <v>25479.452054794521</v>
      </c>
      <c r="I61" s="250">
        <f t="shared" si="15"/>
        <v>58013.919106115507</v>
      </c>
    </row>
    <row r="62" spans="1:9" x14ac:dyDescent="0.3">
      <c r="A62" s="150" t="s">
        <v>89</v>
      </c>
      <c r="B62" s="149">
        <f t="shared" si="10"/>
        <v>20067.56756756757</v>
      </c>
      <c r="C62" s="149">
        <f t="shared" si="10"/>
        <v>52175.67567567568</v>
      </c>
      <c r="D62" s="149">
        <f t="shared" si="10"/>
        <v>8027.0270270270285</v>
      </c>
      <c r="E62" s="149">
        <f t="shared" si="14"/>
        <v>80270.270270270281</v>
      </c>
      <c r="F62" s="149">
        <f t="shared" si="11"/>
        <v>12134.831460674157</v>
      </c>
      <c r="G62" s="149">
        <f t="shared" si="12"/>
        <v>54000.000000000007</v>
      </c>
      <c r="H62" s="149">
        <f t="shared" si="13"/>
        <v>114657.53424657535</v>
      </c>
      <c r="I62" s="251">
        <f>SUM(E62:H62)</f>
        <v>261062.63597751979</v>
      </c>
    </row>
    <row r="63" spans="1:9" ht="15" thickBot="1" x14ac:dyDescent="0.35">
      <c r="A63" s="143" t="s">
        <v>42</v>
      </c>
      <c r="B63" s="147">
        <f t="shared" ref="B63:D63" si="16">SUM(B53:B62)</f>
        <v>124716.21621621623</v>
      </c>
      <c r="C63" s="147">
        <f t="shared" si="16"/>
        <v>324262.16216216225</v>
      </c>
      <c r="D63" s="147">
        <f t="shared" si="16"/>
        <v>49886.486486486501</v>
      </c>
      <c r="E63" s="147">
        <f>SUM(E53:E62)</f>
        <v>498864.86486486497</v>
      </c>
      <c r="F63" s="147">
        <f>SUM(F53:F62)</f>
        <v>75415.730337078654</v>
      </c>
      <c r="G63" s="147">
        <f>SUM(G53:G62)</f>
        <v>335600</v>
      </c>
      <c r="H63" s="147">
        <f>SUM(H53:H62)</f>
        <v>712575.34246575332</v>
      </c>
      <c r="I63" s="141">
        <f>SUM(I53:I62)</f>
        <v>1622455.9376676972</v>
      </c>
    </row>
    <row r="65" spans="1:11" ht="15" thickBot="1" x14ac:dyDescent="0.35">
      <c r="A65" t="s">
        <v>169</v>
      </c>
    </row>
    <row r="66" spans="1:11" x14ac:dyDescent="0.3">
      <c r="A66" s="156" t="s">
        <v>168</v>
      </c>
      <c r="B66" s="146" t="s">
        <v>167</v>
      </c>
      <c r="C66" s="146" t="s">
        <v>157</v>
      </c>
      <c r="D66" s="146" t="s">
        <v>156</v>
      </c>
      <c r="E66" s="146" t="s">
        <v>155</v>
      </c>
      <c r="F66" s="155" t="s">
        <v>154</v>
      </c>
    </row>
    <row r="67" spans="1:11" x14ac:dyDescent="0.3">
      <c r="A67" s="154" t="s">
        <v>165</v>
      </c>
      <c r="B67" s="153">
        <f>B63</f>
        <v>124716.21621621623</v>
      </c>
      <c r="C67" s="153">
        <f t="shared" ref="C67:C69" si="17">B67/0.85</f>
        <v>146724.96025437204</v>
      </c>
      <c r="D67" s="153">
        <f t="shared" ref="D67:D69" si="18">B67/0.66</f>
        <v>188963.96396396396</v>
      </c>
      <c r="E67" s="153">
        <f t="shared" ref="E67:E69" si="19">B67/0.5</f>
        <v>249432.43243243246</v>
      </c>
      <c r="F67" s="152">
        <f t="shared" ref="F67:F69" si="20">B67/0.33</f>
        <v>377927.92792792793</v>
      </c>
    </row>
    <row r="68" spans="1:11" x14ac:dyDescent="0.3">
      <c r="A68" s="154" t="s">
        <v>164</v>
      </c>
      <c r="B68" s="153">
        <f>C63</f>
        <v>324262.16216216225</v>
      </c>
      <c r="C68" s="153">
        <f t="shared" si="17"/>
        <v>381484.89666136738</v>
      </c>
      <c r="D68" s="153">
        <f t="shared" si="18"/>
        <v>491306.30630630639</v>
      </c>
      <c r="E68" s="153">
        <f t="shared" si="19"/>
        <v>648524.32432432449</v>
      </c>
      <c r="F68" s="152">
        <f t="shared" si="20"/>
        <v>982612.61261261278</v>
      </c>
    </row>
    <row r="69" spans="1:11" x14ac:dyDescent="0.3">
      <c r="A69" s="154" t="s">
        <v>163</v>
      </c>
      <c r="B69" s="153">
        <f>D63</f>
        <v>49886.486486486501</v>
      </c>
      <c r="C69" s="153">
        <f t="shared" si="17"/>
        <v>58689.984101748829</v>
      </c>
      <c r="D69" s="153">
        <f t="shared" si="18"/>
        <v>75585.585585585606</v>
      </c>
      <c r="E69" s="153">
        <f t="shared" si="19"/>
        <v>99772.972972973002</v>
      </c>
      <c r="F69" s="152">
        <f t="shared" si="20"/>
        <v>151171.17117117121</v>
      </c>
    </row>
    <row r="70" spans="1:11" x14ac:dyDescent="0.3">
      <c r="A70" s="151" t="s">
        <v>166</v>
      </c>
      <c r="B70" s="121">
        <f>SUM(B67:B69)</f>
        <v>498864.86486486497</v>
      </c>
      <c r="C70" s="121">
        <f>B70/0.85</f>
        <v>586899.84101748816</v>
      </c>
      <c r="D70" s="121">
        <f>B70/0.66</f>
        <v>755855.85585585597</v>
      </c>
      <c r="E70" s="121">
        <f>B70/0.5</f>
        <v>997729.72972972994</v>
      </c>
      <c r="F70" s="145">
        <f>B70/0.33</f>
        <v>1511711.7117117119</v>
      </c>
    </row>
    <row r="71" spans="1:11" x14ac:dyDescent="0.3">
      <c r="A71" s="151" t="s">
        <v>162</v>
      </c>
      <c r="B71" s="121">
        <f>F63</f>
        <v>75415.730337078654</v>
      </c>
      <c r="C71" s="121">
        <f t="shared" ref="C71:C73" si="21">B71/0.85</f>
        <v>88724.388631857248</v>
      </c>
      <c r="D71" s="121">
        <f>B71/0.66</f>
        <v>114266.25808648281</v>
      </c>
      <c r="E71" s="121">
        <f>B71/0.5</f>
        <v>150831.46067415731</v>
      </c>
      <c r="F71" s="145">
        <f>B71/0.33</f>
        <v>228532.51617296561</v>
      </c>
    </row>
    <row r="72" spans="1:11" x14ac:dyDescent="0.3">
      <c r="A72" s="151" t="s">
        <v>161</v>
      </c>
      <c r="B72" s="121">
        <f>G63</f>
        <v>335600</v>
      </c>
      <c r="C72" s="121">
        <f t="shared" si="21"/>
        <v>394823.5294117647</v>
      </c>
      <c r="D72" s="121">
        <f>B72/0.66</f>
        <v>508484.84848484845</v>
      </c>
      <c r="E72" s="121">
        <f>B72/0.5</f>
        <v>671200</v>
      </c>
      <c r="F72" s="145">
        <f>B72/0.33</f>
        <v>1016969.6969696969</v>
      </c>
    </row>
    <row r="73" spans="1:11" x14ac:dyDescent="0.3">
      <c r="A73" s="150" t="s">
        <v>160</v>
      </c>
      <c r="B73" s="149">
        <f>H63</f>
        <v>712575.34246575332</v>
      </c>
      <c r="C73" s="149">
        <f t="shared" si="21"/>
        <v>838323.93231265096</v>
      </c>
      <c r="D73" s="149">
        <f>B73/0.66</f>
        <v>1079659.609796596</v>
      </c>
      <c r="E73" s="149">
        <f>B73/0.5</f>
        <v>1425150.6849315066</v>
      </c>
      <c r="F73" s="148">
        <f>B73/0.33</f>
        <v>2159319.219593192</v>
      </c>
    </row>
    <row r="74" spans="1:11" ht="15" thickBot="1" x14ac:dyDescent="0.35">
      <c r="A74" s="143" t="s">
        <v>42</v>
      </c>
      <c r="B74" s="147">
        <f>SUM(B70:B73)</f>
        <v>1622455.937667697</v>
      </c>
      <c r="C74" s="147">
        <f>B74/0.85</f>
        <v>1908771.6913737613</v>
      </c>
      <c r="D74" s="147">
        <f>B74/0.66</f>
        <v>2458266.572223783</v>
      </c>
      <c r="E74" s="147">
        <f>B74/0.5</f>
        <v>3244911.8753353939</v>
      </c>
      <c r="F74" s="141">
        <f>B74/0.33</f>
        <v>4916533.144447566</v>
      </c>
    </row>
    <row r="76" spans="1:11" x14ac:dyDescent="0.3">
      <c r="A76" s="7"/>
      <c r="C76" s="224"/>
      <c r="D76" s="224"/>
      <c r="E76" s="224"/>
      <c r="F76" s="224"/>
      <c r="G76" s="224"/>
      <c r="H76" s="224"/>
      <c r="I76" s="224"/>
    </row>
    <row r="77" spans="1:11" ht="15" thickBot="1" x14ac:dyDescent="0.35">
      <c r="A77" s="510" t="s">
        <v>311</v>
      </c>
      <c r="B77" s="510"/>
      <c r="C77" s="510"/>
      <c r="D77" s="510"/>
      <c r="E77" s="510"/>
      <c r="F77" s="510"/>
      <c r="G77" s="510"/>
      <c r="H77" s="510"/>
      <c r="I77" s="510"/>
      <c r="J77" s="252"/>
      <c r="K77" s="252"/>
    </row>
    <row r="78" spans="1:11" x14ac:dyDescent="0.3">
      <c r="A78" s="253"/>
      <c r="B78" s="254"/>
      <c r="C78" s="511" t="s">
        <v>312</v>
      </c>
      <c r="D78" s="512"/>
      <c r="E78" s="512"/>
      <c r="F78" s="512"/>
      <c r="G78" s="513"/>
      <c r="H78" s="514" t="s">
        <v>150</v>
      </c>
      <c r="I78" s="514"/>
      <c r="J78" s="255" t="s">
        <v>313</v>
      </c>
      <c r="K78" s="515" t="s">
        <v>314</v>
      </c>
    </row>
    <row r="79" spans="1:11" x14ac:dyDescent="0.3">
      <c r="A79" s="256" t="s">
        <v>180</v>
      </c>
      <c r="B79" s="257" t="s">
        <v>315</v>
      </c>
      <c r="C79" s="258" t="s">
        <v>199</v>
      </c>
      <c r="D79" s="259" t="s">
        <v>86</v>
      </c>
      <c r="E79" s="259" t="s">
        <v>87</v>
      </c>
      <c r="F79" s="259" t="s">
        <v>307</v>
      </c>
      <c r="G79" s="260" t="s">
        <v>201</v>
      </c>
      <c r="H79" s="259" t="s">
        <v>89</v>
      </c>
      <c r="I79" s="259" t="s">
        <v>90</v>
      </c>
      <c r="J79" s="261" t="s">
        <v>316</v>
      </c>
      <c r="K79" s="516"/>
    </row>
    <row r="80" spans="1:11" x14ac:dyDescent="0.3">
      <c r="A80" s="196" t="s">
        <v>178</v>
      </c>
      <c r="B80" s="197">
        <f t="shared" ref="B80:B89" si="22">B53</f>
        <v>11148.64864864865</v>
      </c>
      <c r="C80" s="262"/>
      <c r="D80" s="263"/>
      <c r="E80" s="263"/>
      <c r="F80" s="263"/>
      <c r="G80" s="264"/>
      <c r="H80" s="263"/>
      <c r="I80" s="265">
        <v>1</v>
      </c>
      <c r="J80" s="266"/>
      <c r="K80" s="267">
        <f>SUM(C80:J80)</f>
        <v>1</v>
      </c>
    </row>
    <row r="81" spans="1:11" x14ac:dyDescent="0.3">
      <c r="A81" s="196" t="s">
        <v>177</v>
      </c>
      <c r="B81" s="197">
        <f t="shared" si="22"/>
        <v>26087.83783783784</v>
      </c>
      <c r="C81" s="262"/>
      <c r="D81" s="263"/>
      <c r="E81" s="263"/>
      <c r="F81" s="263"/>
      <c r="G81" s="264"/>
      <c r="H81" s="263"/>
      <c r="I81" s="263"/>
      <c r="J81" s="268">
        <v>1</v>
      </c>
      <c r="K81" s="267">
        <f t="shared" ref="K81:K90" si="23">SUM(C81:J81)</f>
        <v>1</v>
      </c>
    </row>
    <row r="82" spans="1:11" x14ac:dyDescent="0.3">
      <c r="A82" s="196" t="s">
        <v>176</v>
      </c>
      <c r="B82" s="197">
        <f t="shared" si="22"/>
        <v>6020.2702702702709</v>
      </c>
      <c r="C82" s="262"/>
      <c r="D82" s="263">
        <v>1</v>
      </c>
      <c r="E82" s="263"/>
      <c r="F82" s="263"/>
      <c r="G82" s="264"/>
      <c r="H82" s="263"/>
      <c r="I82" s="263"/>
      <c r="J82" s="266"/>
      <c r="K82" s="267">
        <f t="shared" si="23"/>
        <v>1</v>
      </c>
    </row>
    <row r="83" spans="1:11" x14ac:dyDescent="0.3">
      <c r="A83" s="196" t="s">
        <v>175</v>
      </c>
      <c r="B83" s="197">
        <f t="shared" si="22"/>
        <v>16054.054054054053</v>
      </c>
      <c r="C83" s="262"/>
      <c r="D83" s="263"/>
      <c r="E83" s="265">
        <v>0.25</v>
      </c>
      <c r="F83" s="265">
        <v>0.25</v>
      </c>
      <c r="G83" s="269">
        <v>0.5</v>
      </c>
      <c r="H83" s="263"/>
      <c r="I83" s="263"/>
      <c r="J83" s="266"/>
      <c r="K83" s="267">
        <f t="shared" si="23"/>
        <v>1</v>
      </c>
    </row>
    <row r="84" spans="1:11" x14ac:dyDescent="0.3">
      <c r="A84" s="196" t="s">
        <v>174</v>
      </c>
      <c r="B84" s="197">
        <f t="shared" si="22"/>
        <v>7432.4324324324325</v>
      </c>
      <c r="C84" s="262"/>
      <c r="D84" s="263"/>
      <c r="E84" s="263"/>
      <c r="F84" s="265">
        <v>0.5</v>
      </c>
      <c r="G84" s="269">
        <v>0.5</v>
      </c>
      <c r="H84" s="263"/>
      <c r="I84" s="263"/>
      <c r="J84" s="266"/>
      <c r="K84" s="267">
        <f t="shared" si="23"/>
        <v>1</v>
      </c>
    </row>
    <row r="85" spans="1:11" x14ac:dyDescent="0.3">
      <c r="A85" s="196" t="s">
        <v>173</v>
      </c>
      <c r="B85" s="197">
        <f t="shared" si="22"/>
        <v>8361.4864864864867</v>
      </c>
      <c r="C85" s="262"/>
      <c r="D85" s="263"/>
      <c r="E85" s="263"/>
      <c r="F85" s="263">
        <v>1</v>
      </c>
      <c r="G85" s="264"/>
      <c r="H85" s="263"/>
      <c r="I85" s="263"/>
      <c r="J85" s="266"/>
      <c r="K85" s="267">
        <f t="shared" si="23"/>
        <v>1</v>
      </c>
    </row>
    <row r="86" spans="1:11" x14ac:dyDescent="0.3">
      <c r="A86" s="196" t="s">
        <v>172</v>
      </c>
      <c r="B86" s="197">
        <f t="shared" si="22"/>
        <v>16722.972972972973</v>
      </c>
      <c r="C86" s="262"/>
      <c r="D86" s="263"/>
      <c r="E86" s="263"/>
      <c r="F86" s="265">
        <v>0.25</v>
      </c>
      <c r="G86" s="269">
        <v>0.75</v>
      </c>
      <c r="H86" s="263"/>
      <c r="I86" s="263"/>
      <c r="J86" s="266"/>
      <c r="K86" s="267">
        <f t="shared" si="23"/>
        <v>1</v>
      </c>
    </row>
    <row r="87" spans="1:11" x14ac:dyDescent="0.3">
      <c r="A87" s="196" t="s">
        <v>171</v>
      </c>
      <c r="B87" s="197">
        <f t="shared" si="22"/>
        <v>8361.4864864864867</v>
      </c>
      <c r="C87" s="262"/>
      <c r="D87" s="263"/>
      <c r="E87" s="263"/>
      <c r="F87" s="263"/>
      <c r="G87" s="264">
        <v>1</v>
      </c>
      <c r="H87" s="263"/>
      <c r="I87" s="263"/>
      <c r="J87" s="266"/>
      <c r="K87" s="267">
        <f t="shared" si="23"/>
        <v>1</v>
      </c>
    </row>
    <row r="88" spans="1:11" x14ac:dyDescent="0.3">
      <c r="A88" s="196" t="s">
        <v>170</v>
      </c>
      <c r="B88" s="197">
        <f t="shared" si="22"/>
        <v>4459.4594594594591</v>
      </c>
      <c r="C88" s="262"/>
      <c r="D88" s="263"/>
      <c r="E88" s="263"/>
      <c r="F88" s="263">
        <v>1</v>
      </c>
      <c r="G88" s="264"/>
      <c r="H88" s="263"/>
      <c r="I88" s="263"/>
      <c r="J88" s="266"/>
      <c r="K88" s="267">
        <f t="shared" si="23"/>
        <v>1</v>
      </c>
    </row>
    <row r="89" spans="1:11" x14ac:dyDescent="0.3">
      <c r="A89" s="270" t="s">
        <v>89</v>
      </c>
      <c r="B89" s="271">
        <f t="shared" si="22"/>
        <v>20067.56756756757</v>
      </c>
      <c r="C89" s="272"/>
      <c r="D89" s="273"/>
      <c r="E89" s="273"/>
      <c r="F89" s="273"/>
      <c r="G89" s="274"/>
      <c r="H89" s="275">
        <v>1</v>
      </c>
      <c r="I89" s="273"/>
      <c r="J89" s="276"/>
      <c r="K89" s="277">
        <f t="shared" si="23"/>
        <v>1</v>
      </c>
    </row>
    <row r="90" spans="1:11" ht="15" thickBot="1" x14ac:dyDescent="0.35">
      <c r="A90" s="278" t="s">
        <v>42</v>
      </c>
      <c r="B90" s="279">
        <f>SUM(B80:B89)</f>
        <v>124716.21621621623</v>
      </c>
      <c r="C90" s="280">
        <f>SUM(C80:C89)</f>
        <v>0</v>
      </c>
      <c r="D90" s="280">
        <f t="shared" ref="D90:J90" si="24">SUM(D80:D89)</f>
        <v>1</v>
      </c>
      <c r="E90" s="280">
        <f t="shared" si="24"/>
        <v>0.25</v>
      </c>
      <c r="F90" s="280">
        <f t="shared" si="24"/>
        <v>3</v>
      </c>
      <c r="G90" s="281">
        <f t="shared" si="24"/>
        <v>2.75</v>
      </c>
      <c r="H90" s="280">
        <f t="shared" si="24"/>
        <v>1</v>
      </c>
      <c r="I90" s="281">
        <f t="shared" si="24"/>
        <v>1</v>
      </c>
      <c r="J90" s="281">
        <f t="shared" si="24"/>
        <v>1</v>
      </c>
      <c r="K90" s="282">
        <f t="shared" si="23"/>
        <v>10</v>
      </c>
    </row>
    <row r="91" spans="1:11" x14ac:dyDescent="0.3">
      <c r="A91" s="7"/>
      <c r="B91" s="236"/>
      <c r="C91" s="283"/>
      <c r="D91" s="283"/>
      <c r="E91" s="283"/>
      <c r="F91" s="283"/>
      <c r="G91" s="283"/>
      <c r="H91" s="283"/>
      <c r="I91" s="283"/>
      <c r="J91" s="283"/>
      <c r="K91" s="119"/>
    </row>
    <row r="92" spans="1:11" ht="15" thickBot="1" x14ac:dyDescent="0.35">
      <c r="A92" s="510" t="s">
        <v>317</v>
      </c>
      <c r="B92" s="510"/>
      <c r="C92" s="510"/>
      <c r="D92" s="510"/>
      <c r="E92" s="510"/>
      <c r="F92" s="510"/>
      <c r="G92" s="510"/>
      <c r="H92" s="510"/>
      <c r="I92" s="510"/>
      <c r="J92" s="252"/>
      <c r="K92" s="252"/>
    </row>
    <row r="93" spans="1:11" x14ac:dyDescent="0.3">
      <c r="A93" s="253"/>
      <c r="B93" s="284"/>
      <c r="C93" s="512" t="s">
        <v>312</v>
      </c>
      <c r="D93" s="512"/>
      <c r="E93" s="512"/>
      <c r="F93" s="512"/>
      <c r="G93" s="513"/>
      <c r="H93" s="514" t="s">
        <v>150</v>
      </c>
      <c r="I93" s="517"/>
      <c r="J93" s="285" t="s">
        <v>313</v>
      </c>
      <c r="K93" s="518" t="s">
        <v>314</v>
      </c>
    </row>
    <row r="94" spans="1:11" x14ac:dyDescent="0.3">
      <c r="A94" s="256" t="s">
        <v>180</v>
      </c>
      <c r="B94" s="286" t="s">
        <v>315</v>
      </c>
      <c r="C94" s="259" t="s">
        <v>199</v>
      </c>
      <c r="D94" s="259" t="s">
        <v>86</v>
      </c>
      <c r="E94" s="259" t="s">
        <v>87</v>
      </c>
      <c r="F94" s="259" t="s">
        <v>307</v>
      </c>
      <c r="G94" s="260" t="s">
        <v>201</v>
      </c>
      <c r="H94" s="259" t="s">
        <v>89</v>
      </c>
      <c r="I94" s="260" t="s">
        <v>90</v>
      </c>
      <c r="J94" s="287" t="s">
        <v>316</v>
      </c>
      <c r="K94" s="519"/>
    </row>
    <row r="95" spans="1:11" x14ac:dyDescent="0.3">
      <c r="A95" s="196" t="s">
        <v>178</v>
      </c>
      <c r="B95" s="288">
        <f>B80</f>
        <v>11148.64864864865</v>
      </c>
      <c r="C95" s="289">
        <f>$B80*C80</f>
        <v>0</v>
      </c>
      <c r="D95" s="289">
        <f t="shared" ref="D95:J95" si="25">$B80*D80</f>
        <v>0</v>
      </c>
      <c r="E95" s="289">
        <f t="shared" si="25"/>
        <v>0</v>
      </c>
      <c r="F95" s="289">
        <f t="shared" si="25"/>
        <v>0</v>
      </c>
      <c r="G95" s="290">
        <f t="shared" si="25"/>
        <v>0</v>
      </c>
      <c r="H95" s="289">
        <f t="shared" si="25"/>
        <v>0</v>
      </c>
      <c r="I95" s="290">
        <f t="shared" si="25"/>
        <v>11148.64864864865</v>
      </c>
      <c r="J95" s="290">
        <f t="shared" si="25"/>
        <v>0</v>
      </c>
      <c r="K95" s="291">
        <f>SUM(C95:J95)</f>
        <v>11148.64864864865</v>
      </c>
    </row>
    <row r="96" spans="1:11" x14ac:dyDescent="0.3">
      <c r="A96" s="196" t="s">
        <v>177</v>
      </c>
      <c r="B96" s="288">
        <f t="shared" ref="B96:B104" si="26">B81</f>
        <v>26087.83783783784</v>
      </c>
      <c r="C96" s="289">
        <f t="shared" ref="C96:J104" si="27">$B81*C81</f>
        <v>0</v>
      </c>
      <c r="D96" s="289">
        <f t="shared" si="27"/>
        <v>0</v>
      </c>
      <c r="E96" s="289">
        <f t="shared" si="27"/>
        <v>0</v>
      </c>
      <c r="F96" s="289">
        <f t="shared" si="27"/>
        <v>0</v>
      </c>
      <c r="G96" s="290">
        <f t="shared" si="27"/>
        <v>0</v>
      </c>
      <c r="H96" s="289">
        <f t="shared" si="27"/>
        <v>0</v>
      </c>
      <c r="I96" s="290">
        <f t="shared" si="27"/>
        <v>0</v>
      </c>
      <c r="J96" s="290">
        <f t="shared" si="27"/>
        <v>26087.83783783784</v>
      </c>
      <c r="K96" s="291">
        <f t="shared" ref="K96:K105" si="28">SUM(C96:J96)</f>
        <v>26087.83783783784</v>
      </c>
    </row>
    <row r="97" spans="1:11" x14ac:dyDescent="0.3">
      <c r="A97" s="196" t="s">
        <v>176</v>
      </c>
      <c r="B97" s="288">
        <f t="shared" si="26"/>
        <v>6020.2702702702709</v>
      </c>
      <c r="C97" s="289">
        <f t="shared" si="27"/>
        <v>0</v>
      </c>
      <c r="D97" s="289">
        <f>$B82*D82</f>
        <v>6020.2702702702709</v>
      </c>
      <c r="E97" s="289">
        <f t="shared" si="27"/>
        <v>0</v>
      </c>
      <c r="F97" s="289">
        <f t="shared" si="27"/>
        <v>0</v>
      </c>
      <c r="G97" s="290">
        <f t="shared" si="27"/>
        <v>0</v>
      </c>
      <c r="H97" s="289">
        <f t="shared" si="27"/>
        <v>0</v>
      </c>
      <c r="I97" s="290">
        <f t="shared" si="27"/>
        <v>0</v>
      </c>
      <c r="J97" s="290">
        <f t="shared" si="27"/>
        <v>0</v>
      </c>
      <c r="K97" s="291">
        <f t="shared" si="28"/>
        <v>6020.2702702702709</v>
      </c>
    </row>
    <row r="98" spans="1:11" x14ac:dyDescent="0.3">
      <c r="A98" s="196" t="s">
        <v>175</v>
      </c>
      <c r="B98" s="288">
        <f t="shared" si="26"/>
        <v>16054.054054054053</v>
      </c>
      <c r="C98" s="289">
        <f t="shared" si="27"/>
        <v>0</v>
      </c>
      <c r="D98" s="289">
        <f t="shared" si="27"/>
        <v>0</v>
      </c>
      <c r="E98" s="289">
        <f t="shared" si="27"/>
        <v>4013.5135135135133</v>
      </c>
      <c r="F98" s="289">
        <f t="shared" si="27"/>
        <v>4013.5135135135133</v>
      </c>
      <c r="G98" s="290">
        <f t="shared" si="27"/>
        <v>8027.0270270270266</v>
      </c>
      <c r="H98" s="289">
        <f t="shared" si="27"/>
        <v>0</v>
      </c>
      <c r="I98" s="290">
        <f t="shared" si="27"/>
        <v>0</v>
      </c>
      <c r="J98" s="290">
        <f t="shared" si="27"/>
        <v>0</v>
      </c>
      <c r="K98" s="291">
        <f t="shared" si="28"/>
        <v>16054.054054054053</v>
      </c>
    </row>
    <row r="99" spans="1:11" x14ac:dyDescent="0.3">
      <c r="A99" s="196" t="s">
        <v>174</v>
      </c>
      <c r="B99" s="288">
        <f t="shared" si="26"/>
        <v>7432.4324324324325</v>
      </c>
      <c r="C99" s="289">
        <f t="shared" si="27"/>
        <v>0</v>
      </c>
      <c r="D99" s="289">
        <f t="shared" si="27"/>
        <v>0</v>
      </c>
      <c r="E99" s="289">
        <f t="shared" si="27"/>
        <v>0</v>
      </c>
      <c r="F99" s="289">
        <f t="shared" si="27"/>
        <v>3716.2162162162163</v>
      </c>
      <c r="G99" s="290">
        <f t="shared" si="27"/>
        <v>3716.2162162162163</v>
      </c>
      <c r="H99" s="289">
        <f t="shared" si="27"/>
        <v>0</v>
      </c>
      <c r="I99" s="290">
        <f t="shared" si="27"/>
        <v>0</v>
      </c>
      <c r="J99" s="290">
        <f t="shared" si="27"/>
        <v>0</v>
      </c>
      <c r="K99" s="291">
        <f t="shared" si="28"/>
        <v>7432.4324324324325</v>
      </c>
    </row>
    <row r="100" spans="1:11" x14ac:dyDescent="0.3">
      <c r="A100" s="196" t="s">
        <v>173</v>
      </c>
      <c r="B100" s="288">
        <f t="shared" si="26"/>
        <v>8361.4864864864867</v>
      </c>
      <c r="C100" s="289">
        <f t="shared" si="27"/>
        <v>0</v>
      </c>
      <c r="D100" s="289">
        <f t="shared" si="27"/>
        <v>0</v>
      </c>
      <c r="E100" s="289">
        <f t="shared" si="27"/>
        <v>0</v>
      </c>
      <c r="F100" s="289">
        <f t="shared" si="27"/>
        <v>8361.4864864864867</v>
      </c>
      <c r="G100" s="290">
        <f t="shared" si="27"/>
        <v>0</v>
      </c>
      <c r="H100" s="289">
        <f t="shared" si="27"/>
        <v>0</v>
      </c>
      <c r="I100" s="290">
        <f t="shared" si="27"/>
        <v>0</v>
      </c>
      <c r="J100" s="290">
        <f t="shared" si="27"/>
        <v>0</v>
      </c>
      <c r="K100" s="291">
        <f t="shared" si="28"/>
        <v>8361.4864864864867</v>
      </c>
    </row>
    <row r="101" spans="1:11" x14ac:dyDescent="0.3">
      <c r="A101" s="196" t="s">
        <v>172</v>
      </c>
      <c r="B101" s="288">
        <f t="shared" si="26"/>
        <v>16722.972972972973</v>
      </c>
      <c r="C101" s="289">
        <f t="shared" si="27"/>
        <v>0</v>
      </c>
      <c r="D101" s="289">
        <f t="shared" si="27"/>
        <v>0</v>
      </c>
      <c r="E101" s="289">
        <f t="shared" si="27"/>
        <v>0</v>
      </c>
      <c r="F101" s="289">
        <f t="shared" si="27"/>
        <v>4180.7432432432433</v>
      </c>
      <c r="G101" s="290">
        <f t="shared" si="27"/>
        <v>12542.22972972973</v>
      </c>
      <c r="H101" s="289">
        <f t="shared" si="27"/>
        <v>0</v>
      </c>
      <c r="I101" s="290">
        <f t="shared" si="27"/>
        <v>0</v>
      </c>
      <c r="J101" s="290">
        <f t="shared" si="27"/>
        <v>0</v>
      </c>
      <c r="K101" s="291">
        <f t="shared" si="28"/>
        <v>16722.972972972973</v>
      </c>
    </row>
    <row r="102" spans="1:11" x14ac:dyDescent="0.3">
      <c r="A102" s="196" t="s">
        <v>171</v>
      </c>
      <c r="B102" s="288">
        <f t="shared" si="26"/>
        <v>8361.4864864864867</v>
      </c>
      <c r="C102" s="289">
        <f t="shared" si="27"/>
        <v>0</v>
      </c>
      <c r="D102" s="289">
        <f t="shared" si="27"/>
        <v>0</v>
      </c>
      <c r="E102" s="289">
        <f t="shared" si="27"/>
        <v>0</v>
      </c>
      <c r="F102" s="289">
        <f t="shared" si="27"/>
        <v>0</v>
      </c>
      <c r="G102" s="290">
        <f t="shared" si="27"/>
        <v>8361.4864864864867</v>
      </c>
      <c r="H102" s="289">
        <f t="shared" si="27"/>
        <v>0</v>
      </c>
      <c r="I102" s="290">
        <f t="shared" si="27"/>
        <v>0</v>
      </c>
      <c r="J102" s="290">
        <f t="shared" si="27"/>
        <v>0</v>
      </c>
      <c r="K102" s="291">
        <f t="shared" si="28"/>
        <v>8361.4864864864867</v>
      </c>
    </row>
    <row r="103" spans="1:11" x14ac:dyDescent="0.3">
      <c r="A103" s="196" t="s">
        <v>170</v>
      </c>
      <c r="B103" s="288">
        <f t="shared" si="26"/>
        <v>4459.4594594594591</v>
      </c>
      <c r="C103" s="289">
        <f t="shared" si="27"/>
        <v>0</v>
      </c>
      <c r="D103" s="289">
        <f t="shared" si="27"/>
        <v>0</v>
      </c>
      <c r="E103" s="289">
        <f t="shared" si="27"/>
        <v>0</v>
      </c>
      <c r="F103" s="289">
        <f t="shared" si="27"/>
        <v>4459.4594594594591</v>
      </c>
      <c r="G103" s="290">
        <f t="shared" si="27"/>
        <v>0</v>
      </c>
      <c r="H103" s="289">
        <f t="shared" si="27"/>
        <v>0</v>
      </c>
      <c r="I103" s="290">
        <f t="shared" si="27"/>
        <v>0</v>
      </c>
      <c r="J103" s="290">
        <f t="shared" si="27"/>
        <v>0</v>
      </c>
      <c r="K103" s="291">
        <f t="shared" si="28"/>
        <v>4459.4594594594591</v>
      </c>
    </row>
    <row r="104" spans="1:11" x14ac:dyDescent="0.3">
      <c r="A104" s="270" t="s">
        <v>89</v>
      </c>
      <c r="B104" s="292">
        <f t="shared" si="26"/>
        <v>20067.56756756757</v>
      </c>
      <c r="C104" s="293">
        <f t="shared" si="27"/>
        <v>0</v>
      </c>
      <c r="D104" s="293">
        <f t="shared" si="27"/>
        <v>0</v>
      </c>
      <c r="E104" s="293">
        <f t="shared" si="27"/>
        <v>0</v>
      </c>
      <c r="F104" s="293">
        <f t="shared" si="27"/>
        <v>0</v>
      </c>
      <c r="G104" s="294">
        <f t="shared" si="27"/>
        <v>0</v>
      </c>
      <c r="H104" s="293">
        <f t="shared" si="27"/>
        <v>20067.56756756757</v>
      </c>
      <c r="I104" s="294">
        <f t="shared" si="27"/>
        <v>0</v>
      </c>
      <c r="J104" s="294">
        <f t="shared" si="27"/>
        <v>0</v>
      </c>
      <c r="K104" s="295">
        <f t="shared" si="28"/>
        <v>20067.56756756757</v>
      </c>
    </row>
    <row r="105" spans="1:11" ht="15" thickBot="1" x14ac:dyDescent="0.35">
      <c r="A105" s="278" t="s">
        <v>42</v>
      </c>
      <c r="B105" s="279">
        <f>SUM(B95:B104)</f>
        <v>124716.21621621623</v>
      </c>
      <c r="C105" s="296">
        <f>SUM(C95:C104)</f>
        <v>0</v>
      </c>
      <c r="D105" s="296">
        <f t="shared" ref="D105:J105" si="29">SUM(D95:D104)</f>
        <v>6020.2702702702709</v>
      </c>
      <c r="E105" s="296">
        <f t="shared" si="29"/>
        <v>4013.5135135135133</v>
      </c>
      <c r="F105" s="296">
        <f t="shared" si="29"/>
        <v>24731.41891891892</v>
      </c>
      <c r="G105" s="297">
        <f t="shared" si="29"/>
        <v>32646.95945945946</v>
      </c>
      <c r="H105" s="296">
        <f t="shared" si="29"/>
        <v>20067.56756756757</v>
      </c>
      <c r="I105" s="297">
        <f t="shared" si="29"/>
        <v>11148.64864864865</v>
      </c>
      <c r="J105" s="297">
        <f t="shared" si="29"/>
        <v>26087.83783783784</v>
      </c>
      <c r="K105" s="298">
        <f t="shared" si="28"/>
        <v>124716.21621621623</v>
      </c>
    </row>
    <row r="108" spans="1:11" ht="15" thickBot="1" x14ac:dyDescent="0.35">
      <c r="A108" t="s">
        <v>318</v>
      </c>
    </row>
    <row r="109" spans="1:11" x14ac:dyDescent="0.3">
      <c r="A109" s="299" t="s">
        <v>58</v>
      </c>
      <c r="B109" s="139" t="s">
        <v>1</v>
      </c>
      <c r="C109" s="139" t="s">
        <v>158</v>
      </c>
      <c r="D109" s="138" t="s">
        <v>157</v>
      </c>
      <c r="E109" s="138" t="s">
        <v>156</v>
      </c>
      <c r="F109" s="138" t="s">
        <v>155</v>
      </c>
      <c r="G109" s="137" t="s">
        <v>154</v>
      </c>
      <c r="I109" s="119"/>
    </row>
    <row r="110" spans="1:11" x14ac:dyDescent="0.3">
      <c r="A110" s="509" t="s">
        <v>153</v>
      </c>
      <c r="B110" s="132" t="s">
        <v>152</v>
      </c>
      <c r="C110" s="131">
        <f>D105</f>
        <v>6020.2702702702709</v>
      </c>
      <c r="D110" s="131">
        <f>C110/0.85</f>
        <v>7082.6709062003192</v>
      </c>
      <c r="E110" s="131">
        <f>C110/0.66</f>
        <v>9121.6216216216217</v>
      </c>
      <c r="F110" s="131">
        <f>C110/0.5</f>
        <v>12040.540540540542</v>
      </c>
      <c r="G110" s="130">
        <f>C110/0.33</f>
        <v>18243.243243243243</v>
      </c>
      <c r="I110" s="140"/>
    </row>
    <row r="111" spans="1:11" x14ac:dyDescent="0.3">
      <c r="A111" s="509"/>
      <c r="B111" s="132" t="s">
        <v>319</v>
      </c>
      <c r="C111" s="131">
        <f>E105</f>
        <v>4013.5135135135133</v>
      </c>
      <c r="D111" s="131">
        <f t="shared" ref="D111:D122" si="30">C111/0.85</f>
        <v>4721.7806041335452</v>
      </c>
      <c r="E111" s="131">
        <f t="shared" ref="E111:E122" si="31">C111/0.66</f>
        <v>6081.0810810810808</v>
      </c>
      <c r="F111" s="131">
        <f t="shared" ref="F111:F122" si="32">C111/0.5</f>
        <v>8027.0270270270266</v>
      </c>
      <c r="G111" s="130">
        <f t="shared" ref="G111:G122" si="33">C111/0.33</f>
        <v>12162.162162162162</v>
      </c>
      <c r="I111" s="140"/>
    </row>
    <row r="112" spans="1:11" x14ac:dyDescent="0.3">
      <c r="A112" s="509"/>
      <c r="B112" s="132" t="s">
        <v>320</v>
      </c>
      <c r="C112" s="131">
        <f>F105</f>
        <v>24731.41891891892</v>
      </c>
      <c r="D112" s="131">
        <f t="shared" si="30"/>
        <v>29095.786963434024</v>
      </c>
      <c r="E112" s="131">
        <f t="shared" si="31"/>
        <v>37471.846846846849</v>
      </c>
      <c r="F112" s="131">
        <f t="shared" si="32"/>
        <v>49462.83783783784</v>
      </c>
      <c r="G112" s="130">
        <f t="shared" si="33"/>
        <v>74943.693693693698</v>
      </c>
      <c r="I112" s="140"/>
    </row>
    <row r="113" spans="1:9" x14ac:dyDescent="0.3">
      <c r="A113" s="248"/>
      <c r="B113" s="132" t="s">
        <v>321</v>
      </c>
      <c r="C113" s="131">
        <f>G105</f>
        <v>32646.95945945946</v>
      </c>
      <c r="D113" s="131">
        <f t="shared" si="30"/>
        <v>38408.187599364072</v>
      </c>
      <c r="E113" s="131">
        <f t="shared" si="31"/>
        <v>49465.090090090089</v>
      </c>
      <c r="F113" s="131">
        <f t="shared" si="32"/>
        <v>65293.91891891892</v>
      </c>
      <c r="G113" s="130">
        <f t="shared" si="33"/>
        <v>98930.180180180178</v>
      </c>
      <c r="I113" s="140"/>
    </row>
    <row r="114" spans="1:9" x14ac:dyDescent="0.3">
      <c r="A114" s="129" t="s">
        <v>151</v>
      </c>
      <c r="B114" s="128"/>
      <c r="C114" s="127">
        <f>SUM(C110:C113)</f>
        <v>67412.16216216216</v>
      </c>
      <c r="D114" s="127">
        <f>SUM(D110:D113)</f>
        <v>79308.426073131966</v>
      </c>
      <c r="E114" s="127">
        <f>SUM(E110:E113)</f>
        <v>102139.63963963964</v>
      </c>
      <c r="F114" s="127">
        <f t="shared" ref="F114:G114" si="34">SUM(F110:F113)</f>
        <v>134824.32432432432</v>
      </c>
      <c r="G114" s="126">
        <f t="shared" si="34"/>
        <v>204279.27927927929</v>
      </c>
      <c r="H114" s="11"/>
      <c r="I114" s="140"/>
    </row>
    <row r="115" spans="1:9" x14ac:dyDescent="0.3">
      <c r="A115" s="509" t="s">
        <v>150</v>
      </c>
      <c r="B115" s="132" t="s">
        <v>149</v>
      </c>
      <c r="C115" s="131">
        <f>H105</f>
        <v>20067.56756756757</v>
      </c>
      <c r="D115" s="131">
        <f t="shared" si="30"/>
        <v>23608.903020667731</v>
      </c>
      <c r="E115" s="131">
        <f t="shared" si="31"/>
        <v>30405.405405405407</v>
      </c>
      <c r="F115" s="131">
        <f t="shared" si="32"/>
        <v>40135.13513513514</v>
      </c>
      <c r="G115" s="130">
        <f t="shared" si="33"/>
        <v>60810.810810810814</v>
      </c>
      <c r="I115" s="140"/>
    </row>
    <row r="116" spans="1:9" x14ac:dyDescent="0.3">
      <c r="A116" s="509"/>
      <c r="B116" s="132" t="s">
        <v>148</v>
      </c>
      <c r="C116" s="131">
        <f>I105</f>
        <v>11148.64864864865</v>
      </c>
      <c r="D116" s="131">
        <f>C116/0.85</f>
        <v>13116.057233704294</v>
      </c>
      <c r="E116" s="131">
        <f t="shared" si="31"/>
        <v>16891.891891891893</v>
      </c>
      <c r="F116" s="131">
        <f t="shared" si="32"/>
        <v>22297.2972972973</v>
      </c>
      <c r="G116" s="130">
        <f t="shared" si="33"/>
        <v>33783.783783783787</v>
      </c>
      <c r="I116" s="140"/>
    </row>
    <row r="117" spans="1:9" x14ac:dyDescent="0.3">
      <c r="A117" s="129" t="s">
        <v>147</v>
      </c>
      <c r="B117" s="128"/>
      <c r="C117" s="127">
        <f t="shared" ref="C117:G117" si="35">SUM(C115:C116)</f>
        <v>31216.21621621622</v>
      </c>
      <c r="D117" s="127">
        <f t="shared" si="35"/>
        <v>36724.960254372025</v>
      </c>
      <c r="E117" s="127">
        <f t="shared" si="35"/>
        <v>47297.2972972973</v>
      </c>
      <c r="F117" s="127">
        <f t="shared" si="35"/>
        <v>62432.432432432441</v>
      </c>
      <c r="G117" s="126">
        <f t="shared" si="35"/>
        <v>94594.5945945946</v>
      </c>
      <c r="I117" s="140"/>
    </row>
    <row r="118" spans="1:9" x14ac:dyDescent="0.3">
      <c r="A118" s="136" t="s">
        <v>146</v>
      </c>
      <c r="B118" s="135"/>
      <c r="C118" s="134">
        <f t="shared" ref="C118:G118" si="36">C117+C114</f>
        <v>98628.378378378373</v>
      </c>
      <c r="D118" s="134">
        <f t="shared" si="36"/>
        <v>116033.38632750399</v>
      </c>
      <c r="E118" s="134">
        <f t="shared" si="36"/>
        <v>149436.93693693695</v>
      </c>
      <c r="F118" s="134">
        <f t="shared" si="36"/>
        <v>197256.75675675675</v>
      </c>
      <c r="G118" s="133">
        <f t="shared" si="36"/>
        <v>298873.8738738739</v>
      </c>
      <c r="I118" s="140"/>
    </row>
    <row r="119" spans="1:9" x14ac:dyDescent="0.3">
      <c r="A119" s="509" t="s">
        <v>145</v>
      </c>
      <c r="B119" s="132" t="s">
        <v>144</v>
      </c>
      <c r="C119" s="131">
        <f>(2421/(2421+832+3444+7908))*$B$54</f>
        <v>4324.4543242317977</v>
      </c>
      <c r="D119" s="131">
        <f t="shared" si="30"/>
        <v>5087.5933226256448</v>
      </c>
      <c r="E119" s="131">
        <f t="shared" si="31"/>
        <v>6552.2035215633296</v>
      </c>
      <c r="F119" s="131">
        <f t="shared" si="32"/>
        <v>8648.9086484635955</v>
      </c>
      <c r="G119" s="130">
        <f t="shared" si="33"/>
        <v>13104.407043126659</v>
      </c>
      <c r="I119" s="140"/>
    </row>
    <row r="120" spans="1:9" x14ac:dyDescent="0.3">
      <c r="A120" s="509"/>
      <c r="B120" s="132" t="s">
        <v>143</v>
      </c>
      <c r="C120" s="131">
        <f>(832/(2421+832+3444+7908))*$B$54</f>
        <v>1486.1404369107213</v>
      </c>
      <c r="D120" s="131">
        <f t="shared" si="30"/>
        <v>1748.4005140126133</v>
      </c>
      <c r="E120" s="131">
        <f t="shared" si="31"/>
        <v>2251.7279347132139</v>
      </c>
      <c r="F120" s="131">
        <f t="shared" si="32"/>
        <v>2972.2808738214426</v>
      </c>
      <c r="G120" s="130">
        <f t="shared" si="33"/>
        <v>4503.4558694264279</v>
      </c>
      <c r="I120" s="140"/>
    </row>
    <row r="121" spans="1:9" x14ac:dyDescent="0.3">
      <c r="A121" s="509"/>
      <c r="B121" s="132" t="s">
        <v>142</v>
      </c>
      <c r="C121" s="131">
        <f>(3444/(2421+832+3444+7908))*$B$54</f>
        <v>6151.7640200967835</v>
      </c>
      <c r="D121" s="131">
        <f t="shared" si="30"/>
        <v>7237.3694354079807</v>
      </c>
      <c r="E121" s="131">
        <f t="shared" si="31"/>
        <v>9320.8545759042172</v>
      </c>
      <c r="F121" s="131">
        <f t="shared" si="32"/>
        <v>12303.528040193567</v>
      </c>
      <c r="G121" s="130">
        <f t="shared" si="33"/>
        <v>18641.709151808434</v>
      </c>
      <c r="I121" s="140"/>
    </row>
    <row r="122" spans="1:9" x14ac:dyDescent="0.3">
      <c r="A122" s="509"/>
      <c r="B122" s="132" t="s">
        <v>141</v>
      </c>
      <c r="C122" s="131">
        <f>(7908/(2421+832+3444+7908))*$B$54</f>
        <v>14125.479056598537</v>
      </c>
      <c r="D122" s="131">
        <f t="shared" si="30"/>
        <v>16618.210654821807</v>
      </c>
      <c r="E122" s="131">
        <f t="shared" si="31"/>
        <v>21402.240994846266</v>
      </c>
      <c r="F122" s="131">
        <f t="shared" si="32"/>
        <v>28250.958113197074</v>
      </c>
      <c r="G122" s="130">
        <f t="shared" si="33"/>
        <v>42804.481989692533</v>
      </c>
      <c r="I122" s="140"/>
    </row>
    <row r="123" spans="1:9" x14ac:dyDescent="0.3">
      <c r="A123" s="129" t="s">
        <v>140</v>
      </c>
      <c r="B123" s="128"/>
      <c r="C123" s="127">
        <f t="shared" ref="C123" si="37">SUM(C119:C122)</f>
        <v>26087.83783783784</v>
      </c>
      <c r="D123" s="127">
        <f t="shared" ref="D123" si="38">SUM(D119:D122)</f>
        <v>30691.573926868045</v>
      </c>
      <c r="E123" s="127">
        <f>SUM(E119:E122)</f>
        <v>39527.027027027027</v>
      </c>
      <c r="F123" s="127">
        <f t="shared" ref="F123:G123" si="39">SUM(F119:F122)</f>
        <v>52175.67567567568</v>
      </c>
      <c r="G123" s="126">
        <f t="shared" si="39"/>
        <v>79054.054054054053</v>
      </c>
      <c r="I123" s="140"/>
    </row>
    <row r="124" spans="1:9" ht="15" thickBot="1" x14ac:dyDescent="0.35">
      <c r="A124" s="125" t="s">
        <v>159</v>
      </c>
      <c r="B124" s="124"/>
      <c r="C124" s="123">
        <f>C114+C117+C123</f>
        <v>124716.21621621621</v>
      </c>
      <c r="D124" s="123">
        <f>D114+D117+D123</f>
        <v>146724.96025437204</v>
      </c>
      <c r="E124" s="123">
        <f t="shared" ref="E124:G124" si="40">E114+E117+E123</f>
        <v>188963.96396396396</v>
      </c>
      <c r="F124" s="123">
        <f t="shared" si="40"/>
        <v>249432.43243243243</v>
      </c>
      <c r="G124" s="122">
        <f t="shared" si="40"/>
        <v>377927.92792792793</v>
      </c>
      <c r="I124" s="140"/>
    </row>
    <row r="128" spans="1:9" x14ac:dyDescent="0.3">
      <c r="C128" s="121"/>
      <c r="D128" s="121"/>
      <c r="E128" s="121"/>
      <c r="F128" s="121"/>
      <c r="G128" s="121"/>
    </row>
    <row r="129" spans="2:6" x14ac:dyDescent="0.3">
      <c r="B129" s="119"/>
      <c r="F129" s="120"/>
    </row>
    <row r="130" spans="2:6" x14ac:dyDescent="0.3">
      <c r="B130" s="119"/>
    </row>
  </sheetData>
  <mergeCells count="17">
    <mergeCell ref="A1:D9"/>
    <mergeCell ref="F1:G7"/>
    <mergeCell ref="B37:H37"/>
    <mergeCell ref="I37:I38"/>
    <mergeCell ref="B51:H51"/>
    <mergeCell ref="I51:I52"/>
    <mergeCell ref="K78:K79"/>
    <mergeCell ref="A92:I92"/>
    <mergeCell ref="C93:G93"/>
    <mergeCell ref="H93:I93"/>
    <mergeCell ref="K93:K94"/>
    <mergeCell ref="A110:A112"/>
    <mergeCell ref="A115:A116"/>
    <mergeCell ref="A119:A122"/>
    <mergeCell ref="A77:I77"/>
    <mergeCell ref="C78:G78"/>
    <mergeCell ref="H78:I78"/>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83"/>
  <sheetViews>
    <sheetView topLeftCell="A58" workbookViewId="0">
      <selection activeCell="E64" sqref="E64"/>
    </sheetView>
  </sheetViews>
  <sheetFormatPr defaultRowHeight="14.4" x14ac:dyDescent="0.3"/>
  <cols>
    <col min="2" max="2" width="21.33203125" customWidth="1"/>
    <col min="3" max="3" width="10.109375" customWidth="1"/>
    <col min="4" max="4" width="13.5546875" customWidth="1"/>
    <col min="5" max="5" width="18.88671875" customWidth="1"/>
    <col min="6" max="6" width="18.33203125" customWidth="1"/>
    <col min="7" max="7" width="13.6640625" customWidth="1"/>
    <col min="9" max="9" width="15.6640625" bestFit="1" customWidth="1"/>
    <col min="10" max="10" width="14.88671875" customWidth="1"/>
    <col min="11" max="11" width="15.33203125" customWidth="1"/>
    <col min="12" max="12" width="16.6640625" bestFit="1" customWidth="1"/>
    <col min="13" max="14" width="12.5546875" bestFit="1" customWidth="1"/>
  </cols>
  <sheetData>
    <row r="1" spans="2:14" x14ac:dyDescent="0.3">
      <c r="B1" s="530" t="s">
        <v>254</v>
      </c>
      <c r="C1" s="530"/>
      <c r="D1" s="530"/>
      <c r="E1" s="530"/>
      <c r="F1" s="530"/>
      <c r="G1" s="530"/>
      <c r="I1" s="530" t="s">
        <v>255</v>
      </c>
      <c r="J1" s="530"/>
      <c r="K1" s="530"/>
      <c r="L1" s="530"/>
      <c r="M1" s="530"/>
      <c r="N1" s="530"/>
    </row>
    <row r="2" spans="2:14" x14ac:dyDescent="0.3">
      <c r="B2" s="530"/>
      <c r="C2" s="530"/>
      <c r="D2" s="530"/>
      <c r="E2" s="530"/>
      <c r="F2" s="530"/>
      <c r="G2" s="530"/>
      <c r="I2" s="530"/>
      <c r="J2" s="530"/>
      <c r="K2" s="530"/>
      <c r="L2" s="530"/>
      <c r="M2" s="530"/>
      <c r="N2" s="530"/>
    </row>
    <row r="3" spans="2:14" x14ac:dyDescent="0.3">
      <c r="B3" s="530"/>
      <c r="C3" s="530"/>
      <c r="D3" s="530"/>
      <c r="E3" s="530"/>
      <c r="F3" s="530"/>
      <c r="G3" s="530"/>
      <c r="I3" s="530"/>
      <c r="J3" s="530"/>
      <c r="K3" s="530"/>
      <c r="L3" s="530"/>
      <c r="M3" s="530"/>
      <c r="N3" s="530"/>
    </row>
    <row r="4" spans="2:14" x14ac:dyDescent="0.3">
      <c r="B4" s="58" t="s">
        <v>256</v>
      </c>
      <c r="C4" s="59" t="s">
        <v>257</v>
      </c>
      <c r="D4" s="59" t="s">
        <v>16</v>
      </c>
      <c r="E4" s="59" t="s">
        <v>258</v>
      </c>
      <c r="F4" s="59" t="s">
        <v>18</v>
      </c>
      <c r="G4" s="59" t="s">
        <v>42</v>
      </c>
      <c r="I4" s="58" t="s">
        <v>256</v>
      </c>
      <c r="J4" s="59" t="s">
        <v>257</v>
      </c>
      <c r="K4" s="59" t="s">
        <v>16</v>
      </c>
      <c r="L4" s="59" t="s">
        <v>258</v>
      </c>
      <c r="M4" s="59" t="s">
        <v>18</v>
      </c>
      <c r="N4" s="59" t="s">
        <v>42</v>
      </c>
    </row>
    <row r="5" spans="2:14" x14ac:dyDescent="0.3">
      <c r="B5" s="7" t="s">
        <v>86</v>
      </c>
      <c r="C5" s="71">
        <v>0</v>
      </c>
      <c r="D5" s="224">
        <f>SUM(D6:D8)</f>
        <v>88554</v>
      </c>
      <c r="E5" s="224">
        <f>SUM(E6:E8)</f>
        <v>178873</v>
      </c>
      <c r="F5" s="224">
        <f t="shared" ref="F5" si="0">SUM(F6:F8)</f>
        <v>531963</v>
      </c>
      <c r="G5" s="224">
        <f>SUM(G6:G8)</f>
        <v>799390</v>
      </c>
      <c r="I5" s="225" t="s">
        <v>86</v>
      </c>
      <c r="J5" s="224">
        <v>0</v>
      </c>
      <c r="K5" s="224">
        <v>261476</v>
      </c>
      <c r="L5" s="224">
        <v>102103</v>
      </c>
      <c r="M5" s="224">
        <v>1663945</v>
      </c>
      <c r="N5" s="224">
        <v>2027524</v>
      </c>
    </row>
    <row r="6" spans="2:14" x14ac:dyDescent="0.3">
      <c r="B6" t="s">
        <v>259</v>
      </c>
      <c r="C6" s="8">
        <v>0</v>
      </c>
      <c r="D6" s="226">
        <v>43404</v>
      </c>
      <c r="E6" s="226">
        <v>117544</v>
      </c>
      <c r="F6" s="226">
        <v>304175</v>
      </c>
      <c r="G6" s="226">
        <v>465123</v>
      </c>
      <c r="I6" s="100" t="s">
        <v>259</v>
      </c>
      <c r="J6" s="121">
        <v>0</v>
      </c>
      <c r="K6" s="121">
        <v>117571</v>
      </c>
      <c r="L6" s="121">
        <v>83154</v>
      </c>
      <c r="M6" s="121">
        <v>844640</v>
      </c>
      <c r="N6" s="121">
        <v>1045365</v>
      </c>
    </row>
    <row r="7" spans="2:14" x14ac:dyDescent="0.3">
      <c r="B7" t="s">
        <v>260</v>
      </c>
      <c r="C7" s="8">
        <v>0</v>
      </c>
      <c r="D7" s="226">
        <v>18481</v>
      </c>
      <c r="E7" s="226">
        <v>21135</v>
      </c>
      <c r="F7" s="226">
        <v>135846</v>
      </c>
      <c r="G7" s="226">
        <v>175462</v>
      </c>
      <c r="I7" s="100" t="s">
        <v>260</v>
      </c>
      <c r="J7" s="121">
        <v>0</v>
      </c>
      <c r="K7" s="121">
        <v>74909</v>
      </c>
      <c r="L7" s="121">
        <v>13347</v>
      </c>
      <c r="M7" s="121">
        <v>257401</v>
      </c>
      <c r="N7" s="121">
        <v>345657</v>
      </c>
    </row>
    <row r="8" spans="2:14" x14ac:dyDescent="0.3">
      <c r="B8" t="s">
        <v>261</v>
      </c>
      <c r="C8" s="8">
        <v>0</v>
      </c>
      <c r="D8" s="226">
        <v>26669</v>
      </c>
      <c r="E8" s="226">
        <v>40194</v>
      </c>
      <c r="F8" s="226">
        <v>91942</v>
      </c>
      <c r="G8" s="226">
        <v>158805</v>
      </c>
      <c r="I8" s="100" t="s">
        <v>261</v>
      </c>
      <c r="J8" s="121">
        <v>0</v>
      </c>
      <c r="K8" s="121">
        <v>68996</v>
      </c>
      <c r="L8" s="121">
        <v>5602</v>
      </c>
      <c r="M8" s="121">
        <v>561904</v>
      </c>
      <c r="N8" s="121">
        <v>636502</v>
      </c>
    </row>
    <row r="9" spans="2:14" x14ac:dyDescent="0.3">
      <c r="B9" s="7" t="s">
        <v>89</v>
      </c>
      <c r="C9" s="71">
        <v>0</v>
      </c>
      <c r="D9" s="227">
        <f t="shared" ref="D9:F9" si="1">SUM(D10:D12)</f>
        <v>77550</v>
      </c>
      <c r="E9" s="227">
        <f>SUM(E10:E12)</f>
        <v>465127</v>
      </c>
      <c r="F9" s="227">
        <f t="shared" si="1"/>
        <v>1640345</v>
      </c>
      <c r="G9" s="227">
        <f>SUM(G10:G12)</f>
        <v>2183022</v>
      </c>
      <c r="I9" s="7" t="s">
        <v>89</v>
      </c>
      <c r="J9" s="224">
        <v>0</v>
      </c>
      <c r="K9" s="224">
        <v>902839</v>
      </c>
      <c r="L9" s="224">
        <v>1064519</v>
      </c>
      <c r="M9" s="224">
        <v>2482480</v>
      </c>
      <c r="N9" s="224">
        <v>4449838</v>
      </c>
    </row>
    <row r="10" spans="2:14" x14ac:dyDescent="0.3">
      <c r="B10" t="s">
        <v>262</v>
      </c>
      <c r="C10" s="8">
        <v>0</v>
      </c>
      <c r="D10" s="226">
        <v>46397</v>
      </c>
      <c r="E10" s="226">
        <v>143787</v>
      </c>
      <c r="F10" s="226">
        <v>970756</v>
      </c>
      <c r="G10" s="226">
        <v>1160940</v>
      </c>
      <c r="I10" t="s">
        <v>262</v>
      </c>
      <c r="J10" s="121">
        <v>0</v>
      </c>
      <c r="K10" s="121">
        <v>475230</v>
      </c>
      <c r="L10" s="121">
        <v>396268</v>
      </c>
      <c r="M10" s="121">
        <v>1276267</v>
      </c>
      <c r="N10" s="121">
        <v>2147765</v>
      </c>
    </row>
    <row r="11" spans="2:14" x14ac:dyDescent="0.3">
      <c r="B11" t="s">
        <v>263</v>
      </c>
      <c r="C11" s="8">
        <v>0</v>
      </c>
      <c r="D11" s="226">
        <v>20310</v>
      </c>
      <c r="E11" s="226">
        <v>293922</v>
      </c>
      <c r="F11" s="226">
        <v>526758</v>
      </c>
      <c r="G11" s="226">
        <v>840990</v>
      </c>
      <c r="I11" t="s">
        <v>263</v>
      </c>
      <c r="J11" s="121">
        <v>0</v>
      </c>
      <c r="K11" s="121">
        <v>337550</v>
      </c>
      <c r="L11" s="121">
        <v>618305</v>
      </c>
      <c r="M11" s="121">
        <v>791180</v>
      </c>
      <c r="N11" s="121">
        <v>1747035</v>
      </c>
    </row>
    <row r="12" spans="2:14" x14ac:dyDescent="0.3">
      <c r="B12" t="s">
        <v>264</v>
      </c>
      <c r="C12" s="8">
        <v>0</v>
      </c>
      <c r="D12" s="226">
        <v>10843</v>
      </c>
      <c r="E12" s="226">
        <v>27418</v>
      </c>
      <c r="F12" s="226">
        <v>142831</v>
      </c>
      <c r="G12" s="226">
        <v>181092</v>
      </c>
      <c r="I12" t="s">
        <v>264</v>
      </c>
      <c r="J12" s="121">
        <v>0</v>
      </c>
      <c r="K12" s="121">
        <v>90059</v>
      </c>
      <c r="L12" s="121">
        <v>49946</v>
      </c>
      <c r="M12" s="121">
        <v>415033</v>
      </c>
      <c r="N12" s="121">
        <v>555038</v>
      </c>
    </row>
    <row r="13" spans="2:14" x14ac:dyDescent="0.3">
      <c r="B13" s="7" t="s">
        <v>265</v>
      </c>
      <c r="C13" s="71">
        <v>0</v>
      </c>
      <c r="D13" s="227">
        <f>SUM(D14:D20)</f>
        <v>68275</v>
      </c>
      <c r="E13" s="227">
        <f>SUM(E14:E20)</f>
        <v>71983</v>
      </c>
      <c r="F13" s="227">
        <f t="shared" ref="F13" si="2">SUM(F14:F20)</f>
        <v>113847</v>
      </c>
      <c r="G13" s="227">
        <f>SUM(G14:G20)</f>
        <v>254105</v>
      </c>
      <c r="I13" s="7" t="s">
        <v>265</v>
      </c>
      <c r="J13" s="224">
        <v>0</v>
      </c>
      <c r="K13" s="224">
        <v>551709</v>
      </c>
      <c r="L13" s="224">
        <v>50887</v>
      </c>
      <c r="M13" s="224">
        <v>1094241</v>
      </c>
      <c r="N13" s="224">
        <v>1696837</v>
      </c>
    </row>
    <row r="14" spans="2:14" x14ac:dyDescent="0.3">
      <c r="B14" t="s">
        <v>266</v>
      </c>
      <c r="C14" s="8">
        <v>0</v>
      </c>
      <c r="D14" s="226">
        <v>790</v>
      </c>
      <c r="E14" s="226">
        <v>400</v>
      </c>
      <c r="F14" s="226"/>
      <c r="G14" s="226">
        <v>1190</v>
      </c>
      <c r="I14" t="s">
        <v>266</v>
      </c>
      <c r="J14" s="121">
        <v>0</v>
      </c>
      <c r="K14" s="121">
        <v>2211</v>
      </c>
      <c r="L14" s="121"/>
      <c r="M14" s="121">
        <v>1460</v>
      </c>
      <c r="N14" s="121">
        <v>3671</v>
      </c>
    </row>
    <row r="15" spans="2:14" x14ac:dyDescent="0.3">
      <c r="B15" t="s">
        <v>267</v>
      </c>
      <c r="C15" s="8">
        <v>0</v>
      </c>
      <c r="D15" s="226">
        <v>28482</v>
      </c>
      <c r="E15" s="226">
        <v>24466</v>
      </c>
      <c r="F15" s="226">
        <v>54833</v>
      </c>
      <c r="G15" s="226">
        <v>107781</v>
      </c>
      <c r="I15" t="s">
        <v>267</v>
      </c>
      <c r="J15" s="121">
        <v>0</v>
      </c>
      <c r="K15" s="121">
        <v>90601</v>
      </c>
      <c r="L15" s="121">
        <v>5410</v>
      </c>
      <c r="M15" s="121">
        <v>343561</v>
      </c>
      <c r="N15" s="121">
        <v>439572</v>
      </c>
    </row>
    <row r="16" spans="2:14" x14ac:dyDescent="0.3">
      <c r="B16" t="s">
        <v>268</v>
      </c>
      <c r="C16" s="8">
        <v>0</v>
      </c>
      <c r="D16" s="226">
        <v>19875</v>
      </c>
      <c r="E16" s="226">
        <v>8044</v>
      </c>
      <c r="F16" s="226">
        <v>18086</v>
      </c>
      <c r="G16" s="226">
        <v>46005</v>
      </c>
      <c r="I16" t="s">
        <v>268</v>
      </c>
      <c r="J16" s="121">
        <v>0</v>
      </c>
      <c r="K16" s="121">
        <v>221860</v>
      </c>
      <c r="L16" s="121"/>
      <c r="M16" s="121">
        <v>178872</v>
      </c>
      <c r="N16" s="121">
        <v>400732</v>
      </c>
    </row>
    <row r="17" spans="2:14" x14ac:dyDescent="0.3">
      <c r="B17" t="s">
        <v>269</v>
      </c>
      <c r="C17" s="8">
        <v>0</v>
      </c>
      <c r="D17" s="226">
        <v>13813</v>
      </c>
      <c r="E17" s="226">
        <v>23679</v>
      </c>
      <c r="F17" s="226">
        <v>19678</v>
      </c>
      <c r="G17" s="226">
        <v>57170</v>
      </c>
      <c r="I17" t="s">
        <v>269</v>
      </c>
      <c r="J17" s="121">
        <v>0</v>
      </c>
      <c r="K17" s="121">
        <v>172968</v>
      </c>
      <c r="L17" s="121">
        <v>41112</v>
      </c>
      <c r="M17" s="121">
        <v>273216</v>
      </c>
      <c r="N17" s="121">
        <v>487296</v>
      </c>
    </row>
    <row r="18" spans="2:14" x14ac:dyDescent="0.3">
      <c r="B18" t="s">
        <v>270</v>
      </c>
      <c r="C18" s="8">
        <v>0</v>
      </c>
      <c r="D18" s="226"/>
      <c r="E18" s="226"/>
      <c r="F18" s="226"/>
      <c r="G18" s="226">
        <v>0</v>
      </c>
      <c r="I18" t="s">
        <v>270</v>
      </c>
      <c r="J18" s="121">
        <v>0</v>
      </c>
      <c r="K18" s="121">
        <v>7308</v>
      </c>
      <c r="L18" s="121"/>
      <c r="M18" s="121">
        <v>40312</v>
      </c>
      <c r="N18" s="121">
        <v>47620</v>
      </c>
    </row>
    <row r="19" spans="2:14" x14ac:dyDescent="0.3">
      <c r="B19" t="s">
        <v>199</v>
      </c>
      <c r="C19" s="8">
        <v>0</v>
      </c>
      <c r="D19" s="226">
        <v>385</v>
      </c>
      <c r="E19" s="226">
        <v>1540</v>
      </c>
      <c r="F19" s="226">
        <v>1540</v>
      </c>
      <c r="G19" s="226">
        <v>3465</v>
      </c>
      <c r="I19" t="s">
        <v>199</v>
      </c>
      <c r="J19" s="121">
        <v>0</v>
      </c>
      <c r="K19" s="121">
        <v>41804</v>
      </c>
      <c r="L19" s="121">
        <v>1811</v>
      </c>
      <c r="M19" s="121">
        <v>145910</v>
      </c>
      <c r="N19" s="121">
        <v>189525</v>
      </c>
    </row>
    <row r="20" spans="2:14" x14ac:dyDescent="0.3">
      <c r="B20" s="215" t="s">
        <v>271</v>
      </c>
      <c r="C20" s="223">
        <v>0</v>
      </c>
      <c r="D20" s="228">
        <v>4930</v>
      </c>
      <c r="E20" s="228">
        <v>13854</v>
      </c>
      <c r="F20" s="228">
        <v>19710</v>
      </c>
      <c r="G20" s="228">
        <v>38494</v>
      </c>
      <c r="I20" s="215" t="s">
        <v>271</v>
      </c>
      <c r="J20" s="149">
        <v>0</v>
      </c>
      <c r="K20" s="149">
        <v>14957</v>
      </c>
      <c r="L20" s="149">
        <v>2554</v>
      </c>
      <c r="M20" s="149">
        <v>110910</v>
      </c>
      <c r="N20" s="149">
        <v>128421</v>
      </c>
    </row>
    <row r="21" spans="2:14" x14ac:dyDescent="0.3">
      <c r="B21" s="7" t="s">
        <v>92</v>
      </c>
      <c r="C21" s="71">
        <v>0</v>
      </c>
      <c r="D21" s="227">
        <v>234379</v>
      </c>
      <c r="E21" s="227">
        <v>715983</v>
      </c>
      <c r="F21" s="227">
        <v>2286155</v>
      </c>
      <c r="G21" s="227">
        <v>3236517</v>
      </c>
      <c r="I21" s="7" t="s">
        <v>92</v>
      </c>
      <c r="J21" s="224">
        <v>0</v>
      </c>
      <c r="K21" s="224">
        <v>1716024</v>
      </c>
      <c r="L21" s="224">
        <v>1217509</v>
      </c>
      <c r="M21" s="224">
        <v>5240666</v>
      </c>
      <c r="N21" s="224">
        <v>8174199</v>
      </c>
    </row>
    <row r="25" spans="2:14" x14ac:dyDescent="0.3">
      <c r="B25" t="s">
        <v>272</v>
      </c>
      <c r="C25" s="229"/>
      <c r="D25" s="229"/>
      <c r="E25" s="229"/>
      <c r="F25" s="229"/>
      <c r="G25" s="229"/>
      <c r="I25" t="s">
        <v>273</v>
      </c>
    </row>
    <row r="26" spans="2:14" ht="15" thickBot="1" x14ac:dyDescent="0.35">
      <c r="B26" s="163" t="s">
        <v>256</v>
      </c>
      <c r="C26" s="164" t="s">
        <v>257</v>
      </c>
      <c r="D26" s="164" t="s">
        <v>16</v>
      </c>
      <c r="E26" s="164" t="s">
        <v>258</v>
      </c>
      <c r="F26" s="164" t="s">
        <v>18</v>
      </c>
      <c r="G26" s="164" t="s">
        <v>42</v>
      </c>
      <c r="I26" s="163" t="s">
        <v>256</v>
      </c>
      <c r="J26" s="164" t="s">
        <v>257</v>
      </c>
      <c r="K26" s="164" t="s">
        <v>16</v>
      </c>
      <c r="L26" s="164" t="s">
        <v>258</v>
      </c>
      <c r="M26" s="164" t="s">
        <v>18</v>
      </c>
      <c r="N26" s="164" t="s">
        <v>42</v>
      </c>
    </row>
    <row r="27" spans="2:14" x14ac:dyDescent="0.3">
      <c r="B27" s="7" t="s">
        <v>86</v>
      </c>
      <c r="C27" s="227">
        <f>C7/10000</f>
        <v>0</v>
      </c>
      <c r="D27" s="227">
        <f>D5/10000</f>
        <v>8.8553999999999995</v>
      </c>
      <c r="E27" s="227">
        <f t="shared" ref="E27:G27" si="3">E5/10000</f>
        <v>17.8873</v>
      </c>
      <c r="F27" s="227">
        <f t="shared" si="3"/>
        <v>53.196300000000001</v>
      </c>
      <c r="G27" s="227">
        <f t="shared" si="3"/>
        <v>79.938999999999993</v>
      </c>
      <c r="I27" s="225" t="s">
        <v>86</v>
      </c>
      <c r="J27" s="224">
        <v>0</v>
      </c>
      <c r="K27" s="224">
        <f>K5/10000</f>
        <v>26.147600000000001</v>
      </c>
      <c r="L27" s="224">
        <f t="shared" ref="L27:N27" si="4">L5/10000</f>
        <v>10.2103</v>
      </c>
      <c r="M27" s="224">
        <f t="shared" si="4"/>
        <v>166.39449999999999</v>
      </c>
      <c r="N27" s="224">
        <f t="shared" si="4"/>
        <v>202.75239999999999</v>
      </c>
    </row>
    <row r="28" spans="2:14" x14ac:dyDescent="0.3">
      <c r="B28" t="s">
        <v>259</v>
      </c>
      <c r="C28" s="230">
        <f t="shared" ref="C28:C43" si="5">C8/10000</f>
        <v>0</v>
      </c>
      <c r="D28" s="230">
        <f t="shared" ref="D28:G43" si="6">D6/10000</f>
        <v>4.3403999999999998</v>
      </c>
      <c r="E28" s="230">
        <f t="shared" si="6"/>
        <v>11.7544</v>
      </c>
      <c r="F28" s="230">
        <f t="shared" si="6"/>
        <v>30.4175</v>
      </c>
      <c r="G28" s="230">
        <f t="shared" si="6"/>
        <v>46.512300000000003</v>
      </c>
      <c r="I28" s="100" t="s">
        <v>259</v>
      </c>
      <c r="J28" s="121">
        <v>0</v>
      </c>
      <c r="K28" s="121">
        <f t="shared" ref="K28:N43" si="7">K6/10000</f>
        <v>11.757099999999999</v>
      </c>
      <c r="L28" s="121">
        <f t="shared" si="7"/>
        <v>8.3154000000000003</v>
      </c>
      <c r="M28" s="121">
        <f t="shared" si="7"/>
        <v>84.463999999999999</v>
      </c>
      <c r="N28" s="121">
        <f t="shared" si="7"/>
        <v>104.5365</v>
      </c>
    </row>
    <row r="29" spans="2:14" x14ac:dyDescent="0.3">
      <c r="B29" t="s">
        <v>260</v>
      </c>
      <c r="C29" s="230">
        <f t="shared" si="5"/>
        <v>0</v>
      </c>
      <c r="D29" s="230">
        <f t="shared" si="6"/>
        <v>1.8481000000000001</v>
      </c>
      <c r="E29" s="230">
        <f t="shared" si="6"/>
        <v>2.1135000000000002</v>
      </c>
      <c r="F29" s="230">
        <f t="shared" si="6"/>
        <v>13.5846</v>
      </c>
      <c r="G29" s="230">
        <f t="shared" si="6"/>
        <v>17.546199999999999</v>
      </c>
      <c r="I29" s="100" t="s">
        <v>260</v>
      </c>
      <c r="J29" s="121">
        <v>0</v>
      </c>
      <c r="K29" s="121">
        <f t="shared" si="7"/>
        <v>7.4908999999999999</v>
      </c>
      <c r="L29" s="121">
        <f t="shared" si="7"/>
        <v>1.3347</v>
      </c>
      <c r="M29" s="121">
        <f t="shared" si="7"/>
        <v>25.740100000000002</v>
      </c>
      <c r="N29" s="121">
        <f t="shared" si="7"/>
        <v>34.5657</v>
      </c>
    </row>
    <row r="30" spans="2:14" x14ac:dyDescent="0.3">
      <c r="B30" s="215" t="s">
        <v>261</v>
      </c>
      <c r="C30" s="231">
        <f t="shared" si="5"/>
        <v>0</v>
      </c>
      <c r="D30" s="231">
        <f t="shared" si="6"/>
        <v>2.6669</v>
      </c>
      <c r="E30" s="231">
        <f t="shared" si="6"/>
        <v>4.0194000000000001</v>
      </c>
      <c r="F30" s="231">
        <f t="shared" si="6"/>
        <v>9.1942000000000004</v>
      </c>
      <c r="G30" s="231">
        <f t="shared" si="6"/>
        <v>15.8805</v>
      </c>
      <c r="I30" s="232" t="s">
        <v>261</v>
      </c>
      <c r="J30" s="149">
        <v>0</v>
      </c>
      <c r="K30" s="149">
        <f t="shared" si="7"/>
        <v>6.8996000000000004</v>
      </c>
      <c r="L30" s="149">
        <f t="shared" si="7"/>
        <v>0.56020000000000003</v>
      </c>
      <c r="M30" s="149">
        <f t="shared" si="7"/>
        <v>56.190399999999997</v>
      </c>
      <c r="N30" s="149">
        <f t="shared" si="7"/>
        <v>63.650199999999998</v>
      </c>
    </row>
    <row r="31" spans="2:14" x14ac:dyDescent="0.3">
      <c r="B31" s="7" t="s">
        <v>89</v>
      </c>
      <c r="C31" s="227">
        <f t="shared" si="5"/>
        <v>0</v>
      </c>
      <c r="D31" s="227">
        <f t="shared" si="6"/>
        <v>7.7549999999999999</v>
      </c>
      <c r="E31" s="227">
        <f t="shared" si="6"/>
        <v>46.512700000000002</v>
      </c>
      <c r="F31" s="227">
        <f t="shared" si="6"/>
        <v>164.03450000000001</v>
      </c>
      <c r="G31" s="227">
        <f t="shared" si="6"/>
        <v>218.3022</v>
      </c>
      <c r="I31" s="7" t="s">
        <v>89</v>
      </c>
      <c r="J31" s="224">
        <v>0</v>
      </c>
      <c r="K31" s="224">
        <f t="shared" si="7"/>
        <v>90.283900000000003</v>
      </c>
      <c r="L31" s="224">
        <f t="shared" si="7"/>
        <v>106.45189999999999</v>
      </c>
      <c r="M31" s="224">
        <f t="shared" si="7"/>
        <v>248.24799999999999</v>
      </c>
      <c r="N31" s="224">
        <f t="shared" si="7"/>
        <v>444.98379999999997</v>
      </c>
    </row>
    <row r="32" spans="2:14" x14ac:dyDescent="0.3">
      <c r="B32" t="s">
        <v>262</v>
      </c>
      <c r="C32" s="230">
        <f t="shared" si="5"/>
        <v>0</v>
      </c>
      <c r="D32" s="230">
        <f t="shared" si="6"/>
        <v>4.6397000000000004</v>
      </c>
      <c r="E32" s="230">
        <f t="shared" si="6"/>
        <v>14.3787</v>
      </c>
      <c r="F32" s="230">
        <f t="shared" si="6"/>
        <v>97.075599999999994</v>
      </c>
      <c r="G32" s="230">
        <f t="shared" si="6"/>
        <v>116.09399999999999</v>
      </c>
      <c r="I32" t="s">
        <v>262</v>
      </c>
      <c r="J32" s="121">
        <v>0</v>
      </c>
      <c r="K32" s="121">
        <f t="shared" si="7"/>
        <v>47.523000000000003</v>
      </c>
      <c r="L32" s="121">
        <f t="shared" si="7"/>
        <v>39.626800000000003</v>
      </c>
      <c r="M32" s="121">
        <f t="shared" si="7"/>
        <v>127.6267</v>
      </c>
      <c r="N32" s="121">
        <f t="shared" si="7"/>
        <v>214.7765</v>
      </c>
    </row>
    <row r="33" spans="2:14" x14ac:dyDescent="0.3">
      <c r="B33" t="s">
        <v>263</v>
      </c>
      <c r="C33" s="230">
        <f t="shared" si="5"/>
        <v>0</v>
      </c>
      <c r="D33" s="230">
        <f t="shared" si="6"/>
        <v>2.0310000000000001</v>
      </c>
      <c r="E33" s="230">
        <f t="shared" si="6"/>
        <v>29.392199999999999</v>
      </c>
      <c r="F33" s="230">
        <f t="shared" si="6"/>
        <v>52.675800000000002</v>
      </c>
      <c r="G33" s="230">
        <f t="shared" si="6"/>
        <v>84.099000000000004</v>
      </c>
      <c r="I33" t="s">
        <v>263</v>
      </c>
      <c r="J33" s="121">
        <v>0</v>
      </c>
      <c r="K33" s="121">
        <f t="shared" si="7"/>
        <v>33.755000000000003</v>
      </c>
      <c r="L33" s="121">
        <f t="shared" si="7"/>
        <v>61.830500000000001</v>
      </c>
      <c r="M33" s="121">
        <f t="shared" si="7"/>
        <v>79.117999999999995</v>
      </c>
      <c r="N33" s="121">
        <f t="shared" si="7"/>
        <v>174.70349999999999</v>
      </c>
    </row>
    <row r="34" spans="2:14" x14ac:dyDescent="0.3">
      <c r="B34" s="215" t="s">
        <v>264</v>
      </c>
      <c r="C34" s="231">
        <f t="shared" si="5"/>
        <v>0</v>
      </c>
      <c r="D34" s="231">
        <f t="shared" si="6"/>
        <v>1.0843</v>
      </c>
      <c r="E34" s="231">
        <f t="shared" si="6"/>
        <v>2.7418</v>
      </c>
      <c r="F34" s="231">
        <f t="shared" si="6"/>
        <v>14.283099999999999</v>
      </c>
      <c r="G34" s="231">
        <f t="shared" si="6"/>
        <v>18.109200000000001</v>
      </c>
      <c r="I34" s="215" t="s">
        <v>264</v>
      </c>
      <c r="J34" s="149">
        <v>0</v>
      </c>
      <c r="K34" s="149">
        <f t="shared" si="7"/>
        <v>9.0059000000000005</v>
      </c>
      <c r="L34" s="149">
        <f t="shared" si="7"/>
        <v>4.9946000000000002</v>
      </c>
      <c r="M34" s="149">
        <f t="shared" si="7"/>
        <v>41.503300000000003</v>
      </c>
      <c r="N34" s="149">
        <f t="shared" si="7"/>
        <v>55.503799999999998</v>
      </c>
    </row>
    <row r="35" spans="2:14" x14ac:dyDescent="0.3">
      <c r="B35" s="7" t="s">
        <v>265</v>
      </c>
      <c r="C35" s="227">
        <f t="shared" si="5"/>
        <v>0</v>
      </c>
      <c r="D35" s="227">
        <f t="shared" si="6"/>
        <v>6.8274999999999997</v>
      </c>
      <c r="E35" s="227">
        <f t="shared" si="6"/>
        <v>7.1982999999999997</v>
      </c>
      <c r="F35" s="227">
        <f t="shared" si="6"/>
        <v>11.3847</v>
      </c>
      <c r="G35" s="227">
        <f t="shared" si="6"/>
        <v>25.410499999999999</v>
      </c>
      <c r="I35" s="7" t="s">
        <v>265</v>
      </c>
      <c r="J35" s="224">
        <v>0</v>
      </c>
      <c r="K35" s="224">
        <f t="shared" si="7"/>
        <v>55.170900000000003</v>
      </c>
      <c r="L35" s="224">
        <f t="shared" si="7"/>
        <v>5.0887000000000002</v>
      </c>
      <c r="M35" s="224">
        <f t="shared" si="7"/>
        <v>109.4241</v>
      </c>
      <c r="N35" s="224">
        <f t="shared" si="7"/>
        <v>169.68369999999999</v>
      </c>
    </row>
    <row r="36" spans="2:14" x14ac:dyDescent="0.3">
      <c r="B36" t="s">
        <v>266</v>
      </c>
      <c r="C36" s="230">
        <f t="shared" si="5"/>
        <v>0</v>
      </c>
      <c r="D36" s="230">
        <f t="shared" si="6"/>
        <v>7.9000000000000001E-2</v>
      </c>
      <c r="E36" s="230">
        <f t="shared" si="6"/>
        <v>0.04</v>
      </c>
      <c r="F36" s="230">
        <f t="shared" si="6"/>
        <v>0</v>
      </c>
      <c r="G36" s="230">
        <f t="shared" si="6"/>
        <v>0.11899999999999999</v>
      </c>
      <c r="I36" t="s">
        <v>266</v>
      </c>
      <c r="J36" s="121">
        <v>0</v>
      </c>
      <c r="K36" s="121">
        <f t="shared" si="7"/>
        <v>0.22109999999999999</v>
      </c>
      <c r="L36" s="121">
        <f t="shared" si="7"/>
        <v>0</v>
      </c>
      <c r="M36" s="121">
        <f t="shared" si="7"/>
        <v>0.14599999999999999</v>
      </c>
      <c r="N36" s="121">
        <f t="shared" si="7"/>
        <v>0.36709999999999998</v>
      </c>
    </row>
    <row r="37" spans="2:14" x14ac:dyDescent="0.3">
      <c r="B37" t="s">
        <v>267</v>
      </c>
      <c r="C37" s="230">
        <f t="shared" si="5"/>
        <v>0</v>
      </c>
      <c r="D37" s="230">
        <f t="shared" si="6"/>
        <v>2.8481999999999998</v>
      </c>
      <c r="E37" s="230">
        <f t="shared" si="6"/>
        <v>2.4466000000000001</v>
      </c>
      <c r="F37" s="230">
        <f t="shared" si="6"/>
        <v>5.4832999999999998</v>
      </c>
      <c r="G37" s="230">
        <f t="shared" si="6"/>
        <v>10.7781</v>
      </c>
      <c r="I37" t="s">
        <v>267</v>
      </c>
      <c r="J37" s="121">
        <v>0</v>
      </c>
      <c r="K37" s="121">
        <f t="shared" si="7"/>
        <v>9.0601000000000003</v>
      </c>
      <c r="L37" s="121">
        <f t="shared" si="7"/>
        <v>0.54100000000000004</v>
      </c>
      <c r="M37" s="121">
        <f t="shared" si="7"/>
        <v>34.356099999999998</v>
      </c>
      <c r="N37" s="121">
        <f t="shared" si="7"/>
        <v>43.9572</v>
      </c>
    </row>
    <row r="38" spans="2:14" x14ac:dyDescent="0.3">
      <c r="B38" t="s">
        <v>268</v>
      </c>
      <c r="C38" s="230">
        <f t="shared" si="5"/>
        <v>0</v>
      </c>
      <c r="D38" s="230">
        <f t="shared" si="6"/>
        <v>1.9875</v>
      </c>
      <c r="E38" s="230">
        <f t="shared" si="6"/>
        <v>0.8044</v>
      </c>
      <c r="F38" s="230">
        <f t="shared" si="6"/>
        <v>1.8086</v>
      </c>
      <c r="G38" s="230">
        <f t="shared" si="6"/>
        <v>4.6005000000000003</v>
      </c>
      <c r="I38" t="s">
        <v>268</v>
      </c>
      <c r="J38" s="121">
        <v>0</v>
      </c>
      <c r="K38" s="121">
        <f t="shared" si="7"/>
        <v>22.186</v>
      </c>
      <c r="L38" s="121">
        <f t="shared" si="7"/>
        <v>0</v>
      </c>
      <c r="M38" s="121">
        <f t="shared" si="7"/>
        <v>17.8872</v>
      </c>
      <c r="N38" s="121">
        <f t="shared" si="7"/>
        <v>40.0732</v>
      </c>
    </row>
    <row r="39" spans="2:14" x14ac:dyDescent="0.3">
      <c r="B39" t="s">
        <v>269</v>
      </c>
      <c r="C39" s="230">
        <f t="shared" si="5"/>
        <v>0</v>
      </c>
      <c r="D39" s="230">
        <f t="shared" si="6"/>
        <v>1.3813</v>
      </c>
      <c r="E39" s="230">
        <f t="shared" si="6"/>
        <v>2.3679000000000001</v>
      </c>
      <c r="F39" s="230">
        <f t="shared" si="6"/>
        <v>1.9678</v>
      </c>
      <c r="G39" s="230">
        <f t="shared" si="6"/>
        <v>5.7169999999999996</v>
      </c>
      <c r="I39" t="s">
        <v>269</v>
      </c>
      <c r="J39" s="121">
        <v>0</v>
      </c>
      <c r="K39" s="121">
        <f t="shared" si="7"/>
        <v>17.296800000000001</v>
      </c>
      <c r="L39" s="121">
        <f t="shared" si="7"/>
        <v>4.1112000000000002</v>
      </c>
      <c r="M39" s="121">
        <f t="shared" si="7"/>
        <v>27.3216</v>
      </c>
      <c r="N39" s="121">
        <f t="shared" si="7"/>
        <v>48.729599999999998</v>
      </c>
    </row>
    <row r="40" spans="2:14" x14ac:dyDescent="0.3">
      <c r="B40" t="s">
        <v>270</v>
      </c>
      <c r="C40" s="230">
        <f t="shared" si="5"/>
        <v>0</v>
      </c>
      <c r="D40" s="230">
        <f t="shared" si="6"/>
        <v>0</v>
      </c>
      <c r="E40" s="230">
        <f t="shared" si="6"/>
        <v>0</v>
      </c>
      <c r="F40" s="230">
        <f t="shared" si="6"/>
        <v>0</v>
      </c>
      <c r="G40" s="230">
        <f t="shared" si="6"/>
        <v>0</v>
      </c>
      <c r="I40" t="s">
        <v>270</v>
      </c>
      <c r="J40" s="121">
        <v>0</v>
      </c>
      <c r="K40" s="121">
        <f t="shared" si="7"/>
        <v>0.73080000000000001</v>
      </c>
      <c r="L40" s="121">
        <f t="shared" si="7"/>
        <v>0</v>
      </c>
      <c r="M40" s="121">
        <f t="shared" si="7"/>
        <v>4.0312000000000001</v>
      </c>
      <c r="N40" s="121">
        <f t="shared" si="7"/>
        <v>4.7619999999999996</v>
      </c>
    </row>
    <row r="41" spans="2:14" x14ac:dyDescent="0.3">
      <c r="B41" t="s">
        <v>199</v>
      </c>
      <c r="C41" s="230">
        <f t="shared" si="5"/>
        <v>0</v>
      </c>
      <c r="D41" s="230">
        <f t="shared" si="6"/>
        <v>3.85E-2</v>
      </c>
      <c r="E41" s="230">
        <f t="shared" si="6"/>
        <v>0.154</v>
      </c>
      <c r="F41" s="230">
        <f t="shared" si="6"/>
        <v>0.154</v>
      </c>
      <c r="G41" s="230">
        <f t="shared" si="6"/>
        <v>0.34649999999999997</v>
      </c>
      <c r="I41" t="s">
        <v>199</v>
      </c>
      <c r="J41" s="121">
        <v>0</v>
      </c>
      <c r="K41" s="121">
        <f t="shared" si="7"/>
        <v>4.1803999999999997</v>
      </c>
      <c r="L41" s="121">
        <f t="shared" si="7"/>
        <v>0.18110000000000001</v>
      </c>
      <c r="M41" s="121">
        <f t="shared" si="7"/>
        <v>14.590999999999999</v>
      </c>
      <c r="N41" s="121">
        <f t="shared" si="7"/>
        <v>18.952500000000001</v>
      </c>
    </row>
    <row r="42" spans="2:14" ht="15" thickBot="1" x14ac:dyDescent="0.35">
      <c r="B42" s="142" t="s">
        <v>271</v>
      </c>
      <c r="C42" s="233">
        <f t="shared" si="5"/>
        <v>0</v>
      </c>
      <c r="D42" s="233">
        <f t="shared" si="6"/>
        <v>0.49299999999999999</v>
      </c>
      <c r="E42" s="233">
        <f t="shared" si="6"/>
        <v>1.3854</v>
      </c>
      <c r="F42" s="233">
        <f t="shared" si="6"/>
        <v>1.9710000000000001</v>
      </c>
      <c r="G42" s="233">
        <f t="shared" si="6"/>
        <v>3.8494000000000002</v>
      </c>
      <c r="I42" s="142" t="s">
        <v>271</v>
      </c>
      <c r="J42" s="234">
        <v>0</v>
      </c>
      <c r="K42" s="234">
        <f t="shared" si="7"/>
        <v>1.4957</v>
      </c>
      <c r="L42" s="234">
        <f t="shared" si="7"/>
        <v>0.25540000000000002</v>
      </c>
      <c r="M42" s="234">
        <f t="shared" si="7"/>
        <v>11.090999999999999</v>
      </c>
      <c r="N42" s="234">
        <f t="shared" si="7"/>
        <v>12.8421</v>
      </c>
    </row>
    <row r="43" spans="2:14" x14ac:dyDescent="0.3">
      <c r="B43" s="7" t="s">
        <v>92</v>
      </c>
      <c r="C43" s="227">
        <f t="shared" si="5"/>
        <v>0</v>
      </c>
      <c r="D43" s="227">
        <f t="shared" si="6"/>
        <v>23.437899999999999</v>
      </c>
      <c r="E43" s="227">
        <f t="shared" si="6"/>
        <v>71.598299999999995</v>
      </c>
      <c r="F43" s="227">
        <f t="shared" si="6"/>
        <v>228.6155</v>
      </c>
      <c r="G43" s="227">
        <f t="shared" si="6"/>
        <v>323.65170000000001</v>
      </c>
      <c r="I43" s="7" t="s">
        <v>92</v>
      </c>
      <c r="J43" s="224">
        <v>0</v>
      </c>
      <c r="K43" s="224">
        <f t="shared" si="7"/>
        <v>171.60239999999999</v>
      </c>
      <c r="L43" s="224">
        <f t="shared" si="7"/>
        <v>121.7509</v>
      </c>
      <c r="M43" s="224">
        <f t="shared" si="7"/>
        <v>524.06659999999999</v>
      </c>
      <c r="N43" s="224">
        <f t="shared" si="7"/>
        <v>817.41989999999998</v>
      </c>
    </row>
    <row r="44" spans="2:14" x14ac:dyDescent="0.3">
      <c r="B44" s="7"/>
      <c r="C44" s="229"/>
      <c r="D44" s="235"/>
      <c r="E44" s="235"/>
      <c r="F44" s="235"/>
      <c r="G44" s="235"/>
      <c r="I44" s="7"/>
      <c r="J44" s="7"/>
      <c r="K44" s="236"/>
      <c r="L44" s="236"/>
      <c r="M44" s="236"/>
      <c r="N44" s="236"/>
    </row>
    <row r="45" spans="2:14" x14ac:dyDescent="0.3">
      <c r="B45" s="7"/>
      <c r="C45" s="229"/>
      <c r="D45" s="235"/>
      <c r="E45" s="545" t="s">
        <v>274</v>
      </c>
      <c r="F45" s="546"/>
      <c r="G45" s="546"/>
      <c r="H45" s="546"/>
      <c r="I45" s="546"/>
      <c r="J45" s="546"/>
      <c r="K45" s="546"/>
      <c r="L45" s="236"/>
      <c r="M45" s="236"/>
      <c r="N45" s="236"/>
    </row>
    <row r="46" spans="2:14" x14ac:dyDescent="0.3">
      <c r="B46" s="7"/>
      <c r="C46" s="229"/>
      <c r="D46" s="235"/>
      <c r="E46" s="546"/>
      <c r="F46" s="546"/>
      <c r="G46" s="546"/>
      <c r="H46" s="546"/>
      <c r="I46" s="546"/>
      <c r="J46" s="546"/>
      <c r="K46" s="546"/>
      <c r="L46" s="236"/>
      <c r="M46" s="236"/>
      <c r="N46" s="236"/>
    </row>
    <row r="47" spans="2:14" x14ac:dyDescent="0.3">
      <c r="B47" s="7"/>
      <c r="C47" s="229"/>
      <c r="D47" s="235"/>
      <c r="E47" s="235"/>
      <c r="F47" s="235"/>
      <c r="G47" s="547" t="s">
        <v>275</v>
      </c>
      <c r="I47" s="541" t="s">
        <v>276</v>
      </c>
      <c r="J47" s="7"/>
      <c r="K47" s="236"/>
      <c r="L47" s="236"/>
      <c r="M47" s="236"/>
      <c r="N47" s="236"/>
    </row>
    <row r="48" spans="2:14" x14ac:dyDescent="0.3">
      <c r="B48" s="7"/>
      <c r="C48" s="229"/>
      <c r="D48" s="235"/>
      <c r="E48" s="235"/>
      <c r="F48" s="58"/>
      <c r="G48" s="548"/>
      <c r="H48" s="215"/>
      <c r="I48" s="542"/>
      <c r="J48" s="7"/>
      <c r="K48" s="236"/>
      <c r="L48" s="236"/>
      <c r="M48" s="236"/>
      <c r="N48" s="236"/>
    </row>
    <row r="49" spans="4:14" x14ac:dyDescent="0.3">
      <c r="D49" s="235"/>
      <c r="E49" s="235"/>
      <c r="F49" t="s">
        <v>277</v>
      </c>
      <c r="G49" s="237">
        <v>38865</v>
      </c>
      <c r="I49" s="11">
        <v>235109</v>
      </c>
      <c r="J49" s="7"/>
      <c r="K49" s="236"/>
      <c r="L49" s="236"/>
      <c r="M49" s="236"/>
      <c r="N49" s="236"/>
    </row>
    <row r="50" spans="4:14" x14ac:dyDescent="0.3">
      <c r="D50" s="235"/>
      <c r="E50" s="235"/>
      <c r="F50" t="s">
        <v>278</v>
      </c>
      <c r="G50" s="237">
        <v>188848</v>
      </c>
      <c r="I50" s="11">
        <v>704395</v>
      </c>
      <c r="J50" s="7"/>
      <c r="K50" s="236"/>
      <c r="L50" s="236"/>
      <c r="M50" s="236"/>
      <c r="N50" s="236"/>
    </row>
    <row r="51" spans="4:14" x14ac:dyDescent="0.3">
      <c r="D51" s="235"/>
      <c r="E51" s="235"/>
      <c r="F51" t="s">
        <v>279</v>
      </c>
      <c r="G51" s="237">
        <v>282331</v>
      </c>
      <c r="I51" s="11">
        <v>1246808</v>
      </c>
      <c r="J51" s="7"/>
      <c r="K51" s="236"/>
      <c r="L51" s="236"/>
      <c r="M51" s="236"/>
      <c r="N51" s="236"/>
    </row>
    <row r="52" spans="4:14" x14ac:dyDescent="0.3">
      <c r="D52" s="235"/>
      <c r="E52" s="235"/>
      <c r="F52" t="s">
        <v>280</v>
      </c>
      <c r="G52" s="237">
        <v>105681</v>
      </c>
      <c r="I52" s="11">
        <v>530158</v>
      </c>
      <c r="J52" s="7"/>
      <c r="K52" s="236"/>
      <c r="L52" s="236"/>
      <c r="M52" s="236"/>
      <c r="N52" s="236"/>
    </row>
    <row r="53" spans="4:14" x14ac:dyDescent="0.3">
      <c r="D53" s="235"/>
      <c r="E53" s="235"/>
      <c r="F53" t="s">
        <v>281</v>
      </c>
      <c r="G53" s="237">
        <v>49673</v>
      </c>
      <c r="I53" s="11">
        <v>169150</v>
      </c>
      <c r="J53" s="7"/>
      <c r="K53" s="236"/>
      <c r="L53" s="236"/>
      <c r="M53" s="236"/>
      <c r="N53" s="236"/>
    </row>
    <row r="54" spans="4:14" x14ac:dyDescent="0.3">
      <c r="D54" s="235"/>
      <c r="E54" s="235"/>
      <c r="F54" s="235"/>
      <c r="G54" s="235"/>
      <c r="I54" s="7"/>
      <c r="J54" s="7"/>
      <c r="K54" s="236"/>
      <c r="L54" s="236"/>
      <c r="M54" s="236"/>
      <c r="N54" s="236"/>
    </row>
    <row r="56" spans="4:14" ht="14.4" customHeight="1" x14ac:dyDescent="0.3">
      <c r="D56" s="530" t="s">
        <v>282</v>
      </c>
      <c r="E56" s="530"/>
      <c r="F56" s="530"/>
      <c r="G56" s="530"/>
      <c r="H56" s="530"/>
      <c r="I56" s="530"/>
      <c r="J56" s="530"/>
      <c r="K56" s="530"/>
    </row>
    <row r="57" spans="4:14" x14ac:dyDescent="0.3">
      <c r="D57" s="530"/>
      <c r="E57" s="530"/>
      <c r="F57" s="530"/>
      <c r="G57" s="530"/>
      <c r="H57" s="530"/>
      <c r="I57" s="530"/>
      <c r="J57" s="530"/>
      <c r="K57" s="530"/>
    </row>
    <row r="58" spans="4:14" x14ac:dyDescent="0.3">
      <c r="D58" s="530"/>
      <c r="E58" s="530"/>
      <c r="F58" s="530"/>
      <c r="G58" s="530"/>
      <c r="H58" s="530"/>
      <c r="I58" s="530"/>
      <c r="J58" s="530"/>
      <c r="K58" s="530"/>
    </row>
    <row r="59" spans="4:14" x14ac:dyDescent="0.3">
      <c r="D59" s="530"/>
      <c r="E59" s="530"/>
      <c r="F59" s="530"/>
      <c r="G59" s="530"/>
      <c r="H59" s="530"/>
      <c r="I59" s="530"/>
      <c r="J59" s="530"/>
      <c r="K59" s="530"/>
    </row>
    <row r="60" spans="4:14" x14ac:dyDescent="0.3">
      <c r="D60" s="541" t="s">
        <v>283</v>
      </c>
      <c r="E60" s="454" t="s">
        <v>284</v>
      </c>
      <c r="F60" s="454"/>
      <c r="G60" s="454"/>
      <c r="H60" s="8"/>
      <c r="I60" s="454" t="s">
        <v>285</v>
      </c>
      <c r="J60" s="454"/>
      <c r="K60" s="454"/>
    </row>
    <row r="61" spans="4:14" x14ac:dyDescent="0.3">
      <c r="D61" s="541"/>
      <c r="E61" s="454"/>
      <c r="F61" s="454"/>
      <c r="G61" s="454"/>
      <c r="H61" s="8"/>
      <c r="I61" s="454"/>
      <c r="J61" s="454"/>
      <c r="K61" s="454"/>
    </row>
    <row r="62" spans="4:14" x14ac:dyDescent="0.3">
      <c r="D62" s="541"/>
      <c r="E62" s="543" t="s">
        <v>286</v>
      </c>
      <c r="F62" s="543" t="s">
        <v>287</v>
      </c>
      <c r="G62" s="543" t="s">
        <v>288</v>
      </c>
      <c r="H62" s="238"/>
      <c r="I62" s="543" t="s">
        <v>286</v>
      </c>
      <c r="J62" s="543" t="s">
        <v>287</v>
      </c>
      <c r="K62" s="543" t="s">
        <v>288</v>
      </c>
    </row>
    <row r="63" spans="4:14" x14ac:dyDescent="0.3">
      <c r="D63" s="542"/>
      <c r="E63" s="544"/>
      <c r="F63" s="544"/>
      <c r="G63" s="544"/>
      <c r="H63" s="239"/>
      <c r="I63" s="544"/>
      <c r="J63" s="544"/>
      <c r="K63" s="544"/>
    </row>
    <row r="64" spans="4:14" x14ac:dyDescent="0.3">
      <c r="D64" t="s">
        <v>289</v>
      </c>
      <c r="E64" s="8">
        <v>500</v>
      </c>
      <c r="F64" s="8">
        <v>23</v>
      </c>
      <c r="G64" s="23" t="s">
        <v>290</v>
      </c>
      <c r="H64" s="23"/>
      <c r="I64" s="8">
        <v>500</v>
      </c>
      <c r="J64" s="8">
        <v>141</v>
      </c>
      <c r="K64" s="23" t="s">
        <v>291</v>
      </c>
    </row>
    <row r="65" spans="3:13" x14ac:dyDescent="0.3">
      <c r="D65" t="s">
        <v>292</v>
      </c>
      <c r="E65" s="8">
        <v>750</v>
      </c>
      <c r="F65" s="8">
        <v>44</v>
      </c>
      <c r="G65" s="23" t="s">
        <v>293</v>
      </c>
      <c r="H65" s="23"/>
      <c r="I65" s="8">
        <v>1000</v>
      </c>
      <c r="J65" s="8">
        <v>371</v>
      </c>
      <c r="K65" s="23" t="s">
        <v>294</v>
      </c>
    </row>
    <row r="66" spans="3:13" x14ac:dyDescent="0.3">
      <c r="D66" t="s">
        <v>295</v>
      </c>
      <c r="E66" s="8">
        <v>1000</v>
      </c>
      <c r="F66" s="8">
        <v>69</v>
      </c>
      <c r="G66" s="23" t="s">
        <v>296</v>
      </c>
      <c r="H66" s="23"/>
      <c r="I66" s="8">
        <v>1500</v>
      </c>
      <c r="J66" s="8">
        <v>784</v>
      </c>
      <c r="K66" s="23" t="s">
        <v>297</v>
      </c>
    </row>
    <row r="67" spans="3:13" x14ac:dyDescent="0.3">
      <c r="D67" t="s">
        <v>298</v>
      </c>
      <c r="E67" s="8">
        <v>2000</v>
      </c>
      <c r="F67" s="8">
        <v>145</v>
      </c>
      <c r="G67" s="23" t="s">
        <v>299</v>
      </c>
      <c r="H67" s="23"/>
      <c r="I67" s="8">
        <v>2250</v>
      </c>
      <c r="J67" s="8">
        <v>1165</v>
      </c>
      <c r="K67" s="23" t="s">
        <v>300</v>
      </c>
    </row>
    <row r="68" spans="3:13" x14ac:dyDescent="0.3">
      <c r="E68" s="8"/>
      <c r="F68" s="8"/>
      <c r="G68" s="23"/>
      <c r="H68" s="23"/>
      <c r="I68" s="8"/>
      <c r="J68" s="8"/>
      <c r="K68" s="23"/>
    </row>
    <row r="69" spans="3:13" x14ac:dyDescent="0.3">
      <c r="E69" s="8"/>
      <c r="F69" s="8"/>
      <c r="G69" s="23"/>
      <c r="H69" s="23"/>
      <c r="I69" s="8"/>
      <c r="J69" s="8"/>
      <c r="K69" s="23"/>
    </row>
    <row r="70" spans="3:13" ht="14.4" customHeight="1" x14ac:dyDescent="0.3">
      <c r="C70" s="530" t="s">
        <v>301</v>
      </c>
      <c r="D70" s="530"/>
      <c r="E70" s="530"/>
      <c r="F70" s="530"/>
      <c r="G70" s="530"/>
      <c r="H70" s="530"/>
      <c r="I70" s="530"/>
      <c r="J70" s="530"/>
      <c r="K70" s="530"/>
      <c r="L70" s="530"/>
      <c r="M70" s="530"/>
    </row>
    <row r="71" spans="3:13" x14ac:dyDescent="0.3">
      <c r="C71" s="530"/>
      <c r="D71" s="530"/>
      <c r="E71" s="530"/>
      <c r="F71" s="530"/>
      <c r="G71" s="530"/>
      <c r="H71" s="530"/>
      <c r="I71" s="530"/>
      <c r="J71" s="530"/>
      <c r="K71" s="530"/>
      <c r="L71" s="530"/>
      <c r="M71" s="530"/>
    </row>
    <row r="72" spans="3:13" x14ac:dyDescent="0.3">
      <c r="C72" s="530"/>
      <c r="D72" s="530"/>
      <c r="E72" s="530"/>
      <c r="F72" s="530"/>
      <c r="G72" s="530"/>
      <c r="H72" s="530"/>
      <c r="I72" s="530"/>
      <c r="J72" s="530"/>
      <c r="K72" s="530"/>
      <c r="L72" s="530"/>
      <c r="M72" s="530"/>
    </row>
    <row r="73" spans="3:13" x14ac:dyDescent="0.3">
      <c r="C73" s="531" t="s">
        <v>58</v>
      </c>
      <c r="D73" s="531" t="s">
        <v>1</v>
      </c>
      <c r="E73" s="533" t="s">
        <v>302</v>
      </c>
      <c r="F73" s="533" t="s">
        <v>303</v>
      </c>
      <c r="G73" s="535" t="s">
        <v>304</v>
      </c>
      <c r="I73" s="537" t="s">
        <v>58</v>
      </c>
      <c r="J73" s="537" t="s">
        <v>1</v>
      </c>
      <c r="K73" s="539" t="s">
        <v>305</v>
      </c>
      <c r="L73" s="539" t="s">
        <v>306</v>
      </c>
      <c r="M73" s="541" t="s">
        <v>304</v>
      </c>
    </row>
    <row r="74" spans="3:13" x14ac:dyDescent="0.3">
      <c r="C74" s="531"/>
      <c r="D74" s="531"/>
      <c r="E74" s="533"/>
      <c r="F74" s="533"/>
      <c r="G74" s="535"/>
      <c r="I74" s="537"/>
      <c r="J74" s="537"/>
      <c r="K74" s="539"/>
      <c r="L74" s="539"/>
      <c r="M74" s="541"/>
    </row>
    <row r="75" spans="3:13" x14ac:dyDescent="0.3">
      <c r="C75" s="532"/>
      <c r="D75" s="532"/>
      <c r="E75" s="534"/>
      <c r="F75" s="534"/>
      <c r="G75" s="536"/>
      <c r="I75" s="538"/>
      <c r="J75" s="538"/>
      <c r="K75" s="540"/>
      <c r="L75" s="540"/>
      <c r="M75" s="542"/>
    </row>
    <row r="76" spans="3:13" ht="14.4" customHeight="1" x14ac:dyDescent="0.3">
      <c r="C76" s="524" t="s">
        <v>202</v>
      </c>
      <c r="D76" s="132" t="s">
        <v>199</v>
      </c>
      <c r="E76" s="240">
        <f>G41</f>
        <v>0.34649999999999997</v>
      </c>
      <c r="F76" s="241" t="s">
        <v>204</v>
      </c>
      <c r="G76" s="241">
        <v>0</v>
      </c>
      <c r="I76" s="526" t="s">
        <v>202</v>
      </c>
      <c r="J76" t="s">
        <v>199</v>
      </c>
      <c r="K76" s="242">
        <f>N41</f>
        <v>18.952500000000001</v>
      </c>
      <c r="L76" s="8" t="s">
        <v>204</v>
      </c>
      <c r="M76" s="8">
        <v>0</v>
      </c>
    </row>
    <row r="77" spans="3:13" x14ac:dyDescent="0.3">
      <c r="C77" s="524"/>
      <c r="D77" s="132" t="s">
        <v>86</v>
      </c>
      <c r="E77" s="240">
        <f>G27</f>
        <v>79.938999999999993</v>
      </c>
      <c r="F77" s="241" t="s">
        <v>295</v>
      </c>
      <c r="G77" s="241">
        <f>E66</f>
        <v>1000</v>
      </c>
      <c r="I77" s="526"/>
      <c r="J77" t="s">
        <v>86</v>
      </c>
      <c r="K77" s="242">
        <f>N27</f>
        <v>202.75239999999999</v>
      </c>
      <c r="L77" s="8" t="s">
        <v>289</v>
      </c>
      <c r="M77" s="8">
        <v>500</v>
      </c>
    </row>
    <row r="78" spans="3:13" x14ac:dyDescent="0.3">
      <c r="C78" s="524"/>
      <c r="D78" s="132" t="s">
        <v>87</v>
      </c>
      <c r="E78" s="240">
        <f>(G35-G41)+(G49/10000)</f>
        <v>28.950499999999998</v>
      </c>
      <c r="F78" s="241" t="s">
        <v>289</v>
      </c>
      <c r="G78" s="241">
        <f>E64</f>
        <v>500</v>
      </c>
      <c r="I78" s="526"/>
      <c r="J78" t="s">
        <v>87</v>
      </c>
      <c r="K78" s="242">
        <f>(N35-N41)+(I49/10000)</f>
        <v>174.24209999999999</v>
      </c>
      <c r="L78" s="8" t="s">
        <v>289</v>
      </c>
      <c r="M78" s="8">
        <f>I64</f>
        <v>500</v>
      </c>
    </row>
    <row r="79" spans="3:13" x14ac:dyDescent="0.3">
      <c r="C79" s="524"/>
      <c r="D79" s="132" t="s">
        <v>307</v>
      </c>
      <c r="E79" s="240">
        <f>SUM(G50:G53)/10000</f>
        <v>62.653300000000002</v>
      </c>
      <c r="F79" s="241" t="s">
        <v>295</v>
      </c>
      <c r="G79" s="241">
        <v>1000</v>
      </c>
      <c r="I79" s="526"/>
      <c r="J79" t="s">
        <v>88</v>
      </c>
      <c r="K79" s="242">
        <f>SUM(I50:I53)/10000</f>
        <v>265.05110000000002</v>
      </c>
      <c r="L79" s="8" t="s">
        <v>292</v>
      </c>
      <c r="M79" s="8">
        <f>I65</f>
        <v>1000</v>
      </c>
    </row>
    <row r="80" spans="3:13" x14ac:dyDescent="0.3">
      <c r="C80" s="525"/>
      <c r="D80" s="243" t="s">
        <v>201</v>
      </c>
      <c r="E80" s="244" t="s">
        <v>75</v>
      </c>
      <c r="F80" s="245" t="s">
        <v>75</v>
      </c>
      <c r="G80" s="245" t="s">
        <v>75</v>
      </c>
      <c r="I80" s="526"/>
      <c r="J80" t="s">
        <v>308</v>
      </c>
      <c r="K80" s="242" t="s">
        <v>75</v>
      </c>
      <c r="L80" s="8" t="s">
        <v>75</v>
      </c>
      <c r="M80" s="8" t="s">
        <v>75</v>
      </c>
    </row>
    <row r="81" spans="3:13" x14ac:dyDescent="0.3">
      <c r="C81" s="528" t="s">
        <v>89</v>
      </c>
      <c r="D81" s="132" t="s">
        <v>89</v>
      </c>
      <c r="E81" s="240">
        <f>G33+G34</f>
        <v>102.20820000000001</v>
      </c>
      <c r="F81" s="241" t="s">
        <v>295</v>
      </c>
      <c r="G81" s="241">
        <f>E66</f>
        <v>1000</v>
      </c>
      <c r="I81" s="527"/>
      <c r="J81" s="215" t="s">
        <v>201</v>
      </c>
      <c r="K81" s="246" t="s">
        <v>75</v>
      </c>
      <c r="L81" s="223" t="s">
        <v>75</v>
      </c>
      <c r="M81" s="223" t="s">
        <v>75</v>
      </c>
    </row>
    <row r="82" spans="3:13" x14ac:dyDescent="0.3">
      <c r="C82" s="528"/>
      <c r="D82" s="132" t="s">
        <v>90</v>
      </c>
      <c r="E82" s="240">
        <f>G32</f>
        <v>116.09399999999999</v>
      </c>
      <c r="F82" s="241" t="s">
        <v>295</v>
      </c>
      <c r="G82" s="241">
        <f>E66</f>
        <v>1000</v>
      </c>
      <c r="I82" s="529" t="s">
        <v>89</v>
      </c>
      <c r="J82" t="s">
        <v>89</v>
      </c>
      <c r="K82" s="242">
        <f>N33+N34</f>
        <v>230.20729999999998</v>
      </c>
      <c r="L82" s="8" t="s">
        <v>292</v>
      </c>
      <c r="M82" s="8">
        <f>I65</f>
        <v>1000</v>
      </c>
    </row>
    <row r="83" spans="3:13" x14ac:dyDescent="0.3">
      <c r="I83" s="529"/>
      <c r="J83" t="s">
        <v>90</v>
      </c>
      <c r="K83" s="242">
        <f>N32</f>
        <v>214.7765</v>
      </c>
      <c r="L83" s="8" t="s">
        <v>292</v>
      </c>
      <c r="M83" s="8">
        <f>I65</f>
        <v>1000</v>
      </c>
    </row>
  </sheetData>
  <mergeCells count="30">
    <mergeCell ref="D56:K59"/>
    <mergeCell ref="B1:G3"/>
    <mergeCell ref="I1:N3"/>
    <mergeCell ref="E45:K46"/>
    <mergeCell ref="G47:G48"/>
    <mergeCell ref="I47:I48"/>
    <mergeCell ref="D60:D63"/>
    <mergeCell ref="E60:G61"/>
    <mergeCell ref="I60:K61"/>
    <mergeCell ref="E62:E63"/>
    <mergeCell ref="F62:F63"/>
    <mergeCell ref="G62:G63"/>
    <mergeCell ref="I62:I63"/>
    <mergeCell ref="J62:J63"/>
    <mergeCell ref="K62:K63"/>
    <mergeCell ref="C76:C80"/>
    <mergeCell ref="I76:I81"/>
    <mergeCell ref="C81:C82"/>
    <mergeCell ref="I82:I83"/>
    <mergeCell ref="C70:M72"/>
    <mergeCell ref="C73:C75"/>
    <mergeCell ref="D73:D75"/>
    <mergeCell ref="E73:E75"/>
    <mergeCell ref="F73:F75"/>
    <mergeCell ref="G73:G75"/>
    <mergeCell ref="I73:I75"/>
    <mergeCell ref="J73:J75"/>
    <mergeCell ref="K73:K75"/>
    <mergeCell ref="L73:L75"/>
    <mergeCell ref="M73:M7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4"/>
  <sheetViews>
    <sheetView workbookViewId="0">
      <selection activeCell="C11" sqref="C11:D11"/>
    </sheetView>
  </sheetViews>
  <sheetFormatPr defaultColWidth="9.109375" defaultRowHeight="14.4" x14ac:dyDescent="0.3"/>
  <cols>
    <col min="2" max="2" width="18.44140625" customWidth="1"/>
    <col min="3" max="3" width="30.33203125" bestFit="1" customWidth="1"/>
    <col min="4" max="4" width="27.44140625" bestFit="1" customWidth="1"/>
    <col min="5" max="5" width="21.88671875" bestFit="1" customWidth="1"/>
    <col min="6" max="6" width="16.44140625" customWidth="1"/>
    <col min="7" max="7" width="17.5546875" customWidth="1"/>
    <col min="8" max="8" width="15.33203125" customWidth="1"/>
    <col min="9" max="9" width="12.6640625" bestFit="1" customWidth="1"/>
    <col min="10" max="10" width="11.5546875" bestFit="1" customWidth="1"/>
    <col min="11" max="11" width="10.44140625" bestFit="1" customWidth="1"/>
  </cols>
  <sheetData>
    <row r="1" spans="2:11" ht="30" customHeight="1" x14ac:dyDescent="0.3">
      <c r="B1" s="549" t="s">
        <v>225</v>
      </c>
      <c r="C1" s="549"/>
      <c r="D1" s="549"/>
      <c r="E1" s="549"/>
      <c r="F1" s="549"/>
      <c r="G1" s="549"/>
      <c r="H1" s="549"/>
      <c r="I1" s="549"/>
      <c r="J1" s="549"/>
      <c r="K1" s="549"/>
    </row>
    <row r="2" spans="2:11" ht="35.25" customHeight="1" thickBot="1" x14ac:dyDescent="0.35">
      <c r="B2" s="550"/>
      <c r="C2" s="550"/>
      <c r="D2" s="550"/>
      <c r="E2" s="550"/>
      <c r="F2" s="550"/>
      <c r="G2" s="550"/>
      <c r="H2" s="550"/>
      <c r="I2" s="550"/>
      <c r="J2" s="550"/>
      <c r="K2" s="550"/>
    </row>
    <row r="3" spans="2:11" x14ac:dyDescent="0.3">
      <c r="B3" s="299" t="s">
        <v>180</v>
      </c>
      <c r="C3" s="139" t="s">
        <v>221</v>
      </c>
      <c r="D3" s="139" t="s">
        <v>220</v>
      </c>
      <c r="E3" s="139" t="s">
        <v>219</v>
      </c>
      <c r="F3" s="139" t="s">
        <v>218</v>
      </c>
      <c r="G3" s="139" t="s">
        <v>217</v>
      </c>
      <c r="H3" s="139" t="s">
        <v>216</v>
      </c>
      <c r="I3" s="139" t="s">
        <v>215</v>
      </c>
      <c r="J3" s="139" t="s">
        <v>214</v>
      </c>
      <c r="K3" s="300" t="s">
        <v>213</v>
      </c>
    </row>
    <row r="4" spans="2:11" x14ac:dyDescent="0.3">
      <c r="B4" s="158" t="s">
        <v>178</v>
      </c>
      <c r="C4" s="190">
        <v>2467</v>
      </c>
      <c r="D4" s="191">
        <f>800/365</f>
        <v>2.1917808219178081</v>
      </c>
      <c r="E4" s="190">
        <f t="shared" ref="E4:E10" si="0">D4*C4*365</f>
        <v>1973600</v>
      </c>
      <c r="F4" s="190">
        <f t="shared" ref="F4:F10" si="1">(E4*$C$27)/$D$27/0.8</f>
        <v>18335.81081081081</v>
      </c>
      <c r="G4" s="190">
        <f t="shared" ref="G4:G10" si="2">(E4*$C$28)/$D$28/0.8</f>
        <v>47673.108108108114</v>
      </c>
      <c r="H4" s="190">
        <f t="shared" ref="H4:H10" si="3">(E4*$C$29)/$D$29/0.8</f>
        <v>7334.3243243243251</v>
      </c>
      <c r="I4" s="190">
        <f t="shared" ref="I4:I10" si="4">(E4*$C$31)/$D$31/0.8</f>
        <v>11087.6404494382</v>
      </c>
      <c r="J4" s="190">
        <f t="shared" ref="J4:J10" si="5">(E4*$C$32)/$D$32/0.8</f>
        <v>49340</v>
      </c>
      <c r="K4" s="189">
        <f t="shared" ref="K4:K10" si="6">(E4*$C$33)/$D$33/0.8</f>
        <v>104763.01369863014</v>
      </c>
    </row>
    <row r="5" spans="2:11" x14ac:dyDescent="0.3">
      <c r="B5" s="158" t="s">
        <v>212</v>
      </c>
      <c r="C5" s="190">
        <v>10000</v>
      </c>
      <c r="D5" s="195">
        <v>1.25</v>
      </c>
      <c r="E5" s="190">
        <f t="shared" si="0"/>
        <v>4562500</v>
      </c>
      <c r="F5" s="190">
        <f t="shared" si="1"/>
        <v>42388.091216216213</v>
      </c>
      <c r="G5" s="190">
        <f t="shared" si="2"/>
        <v>110209.03716216217</v>
      </c>
      <c r="H5" s="190">
        <f t="shared" si="3"/>
        <v>16955.236486486487</v>
      </c>
      <c r="I5" s="190">
        <f t="shared" si="4"/>
        <v>25632.022471910113</v>
      </c>
      <c r="J5" s="190">
        <f t="shared" si="5"/>
        <v>114062.50000000001</v>
      </c>
      <c r="K5" s="189">
        <f t="shared" si="6"/>
        <v>242187.5</v>
      </c>
    </row>
    <row r="6" spans="2:11" x14ac:dyDescent="0.3">
      <c r="B6" s="196" t="s">
        <v>173</v>
      </c>
      <c r="C6" s="197">
        <v>400</v>
      </c>
      <c r="D6" s="195">
        <v>1.75</v>
      </c>
      <c r="E6" s="190">
        <f t="shared" si="0"/>
        <v>255500</v>
      </c>
      <c r="F6" s="190">
        <f t="shared" si="1"/>
        <v>2373.7331081081079</v>
      </c>
      <c r="G6" s="190">
        <f t="shared" si="2"/>
        <v>6171.7060810810817</v>
      </c>
      <c r="H6" s="190">
        <f t="shared" si="3"/>
        <v>949.49324324324334</v>
      </c>
      <c r="I6" s="190">
        <f t="shared" si="4"/>
        <v>1435.3932584269662</v>
      </c>
      <c r="J6" s="190">
        <f t="shared" si="5"/>
        <v>6387.5</v>
      </c>
      <c r="K6" s="189">
        <f t="shared" si="6"/>
        <v>13562.5</v>
      </c>
    </row>
    <row r="7" spans="2:11" x14ac:dyDescent="0.3">
      <c r="B7" s="196" t="s">
        <v>172</v>
      </c>
      <c r="C7" s="197">
        <v>250</v>
      </c>
      <c r="D7" s="195">
        <v>1.75</v>
      </c>
      <c r="E7" s="190">
        <f t="shared" si="0"/>
        <v>159687.5</v>
      </c>
      <c r="F7" s="190">
        <f t="shared" si="1"/>
        <v>1483.5831925675673</v>
      </c>
      <c r="G7" s="190">
        <f t="shared" si="2"/>
        <v>3857.3163006756758</v>
      </c>
      <c r="H7" s="190">
        <f t="shared" si="3"/>
        <v>593.43327702702709</v>
      </c>
      <c r="I7" s="190">
        <f t="shared" si="4"/>
        <v>897.12078651685385</v>
      </c>
      <c r="J7" s="190">
        <f t="shared" si="5"/>
        <v>3992.1875000000005</v>
      </c>
      <c r="K7" s="189">
        <f t="shared" si="6"/>
        <v>8476.5625</v>
      </c>
    </row>
    <row r="8" spans="2:11" x14ac:dyDescent="0.3">
      <c r="B8" s="157" t="s">
        <v>89</v>
      </c>
      <c r="C8" s="193">
        <v>2900</v>
      </c>
      <c r="D8" s="194">
        <v>2</v>
      </c>
      <c r="E8" s="193">
        <f t="shared" si="0"/>
        <v>2117000</v>
      </c>
      <c r="F8" s="193">
        <f t="shared" si="1"/>
        <v>19668.074324324323</v>
      </c>
      <c r="G8" s="193">
        <f t="shared" si="2"/>
        <v>51136.993243243247</v>
      </c>
      <c r="H8" s="193">
        <f t="shared" si="3"/>
        <v>7867.22972972973</v>
      </c>
      <c r="I8" s="193">
        <f t="shared" si="4"/>
        <v>11893.258426966291</v>
      </c>
      <c r="J8" s="193">
        <f t="shared" si="5"/>
        <v>52925</v>
      </c>
      <c r="K8" s="192">
        <f t="shared" si="6"/>
        <v>112375</v>
      </c>
    </row>
    <row r="9" spans="2:11" x14ac:dyDescent="0.3">
      <c r="B9" s="158" t="s">
        <v>211</v>
      </c>
      <c r="C9" s="190">
        <v>1500</v>
      </c>
      <c r="D9" s="191">
        <v>1.25</v>
      </c>
      <c r="E9" s="190">
        <f t="shared" si="0"/>
        <v>684375</v>
      </c>
      <c r="F9" s="190">
        <f t="shared" si="1"/>
        <v>6358.2136824324334</v>
      </c>
      <c r="G9" s="190">
        <f t="shared" si="2"/>
        <v>16531.355574324327</v>
      </c>
      <c r="H9" s="190">
        <f t="shared" si="3"/>
        <v>2543.2854729729734</v>
      </c>
      <c r="I9" s="190">
        <f t="shared" si="4"/>
        <v>3844.8033707865161</v>
      </c>
      <c r="J9" s="190">
        <f t="shared" si="5"/>
        <v>17109.375</v>
      </c>
      <c r="K9" s="189">
        <f t="shared" si="6"/>
        <v>36328.125</v>
      </c>
    </row>
    <row r="10" spans="2:11" x14ac:dyDescent="0.3">
      <c r="B10" s="270" t="s">
        <v>210</v>
      </c>
      <c r="C10" s="271">
        <v>5000</v>
      </c>
      <c r="D10" s="301">
        <v>1.75</v>
      </c>
      <c r="E10" s="193">
        <f t="shared" si="0"/>
        <v>3193750</v>
      </c>
      <c r="F10" s="193">
        <f t="shared" si="1"/>
        <v>29671.663851351354</v>
      </c>
      <c r="G10" s="193">
        <f t="shared" si="2"/>
        <v>77146.326013513521</v>
      </c>
      <c r="H10" s="193">
        <f t="shared" si="3"/>
        <v>11868.665540540542</v>
      </c>
      <c r="I10" s="193">
        <f t="shared" si="4"/>
        <v>17942.415730337078</v>
      </c>
      <c r="J10" s="193">
        <f t="shared" si="5"/>
        <v>79843.75</v>
      </c>
      <c r="K10" s="192">
        <f t="shared" si="6"/>
        <v>169531.25</v>
      </c>
    </row>
    <row r="11" spans="2:11" x14ac:dyDescent="0.3">
      <c r="B11" s="302" t="s">
        <v>324</v>
      </c>
      <c r="C11" s="551" t="s">
        <v>325</v>
      </c>
      <c r="D11" s="551"/>
      <c r="E11" s="303">
        <f>0.125*SUM(E4:E10)</f>
        <v>1618301.5625</v>
      </c>
      <c r="F11" s="303">
        <f t="shared" ref="F11:K11" si="7">0.125*SUM(F4:F10)</f>
        <v>15034.896273226354</v>
      </c>
      <c r="G11" s="303">
        <f t="shared" si="7"/>
        <v>39090.730310388521</v>
      </c>
      <c r="H11" s="303">
        <f t="shared" si="7"/>
        <v>6013.9585092905409</v>
      </c>
      <c r="I11" s="303">
        <f t="shared" si="7"/>
        <v>9091.5818117977524</v>
      </c>
      <c r="J11" s="303">
        <f t="shared" si="7"/>
        <v>40457.5390625</v>
      </c>
      <c r="K11" s="303">
        <f t="shared" si="7"/>
        <v>85902.993899828769</v>
      </c>
    </row>
    <row r="12" spans="2:11" ht="15" thickBot="1" x14ac:dyDescent="0.35">
      <c r="B12" s="125" t="s">
        <v>42</v>
      </c>
      <c r="C12" s="188"/>
      <c r="D12" s="188"/>
      <c r="E12" s="187">
        <f t="shared" ref="E12:K12" si="8">SUM(E4:E11)</f>
        <v>14564714.0625</v>
      </c>
      <c r="F12" s="187">
        <f t="shared" si="8"/>
        <v>135314.06645903719</v>
      </c>
      <c r="G12" s="187">
        <f t="shared" si="8"/>
        <v>351816.57279349666</v>
      </c>
      <c r="H12" s="187">
        <f t="shared" si="8"/>
        <v>54125.626583614867</v>
      </c>
      <c r="I12" s="187">
        <f t="shared" si="8"/>
        <v>81824.236306179766</v>
      </c>
      <c r="J12" s="187">
        <f t="shared" si="8"/>
        <v>364117.8515625</v>
      </c>
      <c r="K12" s="186">
        <f t="shared" si="8"/>
        <v>773126.94509845891</v>
      </c>
    </row>
    <row r="13" spans="2:11" x14ac:dyDescent="0.3">
      <c r="F13" s="11"/>
      <c r="G13" s="11"/>
      <c r="H13" s="11"/>
    </row>
    <row r="14" spans="2:11" ht="15" thickBot="1" x14ac:dyDescent="0.35">
      <c r="B14" t="s">
        <v>326</v>
      </c>
      <c r="F14" s="11"/>
      <c r="G14" s="11"/>
      <c r="H14" s="11"/>
    </row>
    <row r="15" spans="2:11" x14ac:dyDescent="0.3">
      <c r="B15" s="156" t="s">
        <v>327</v>
      </c>
      <c r="C15" s="138" t="s">
        <v>218</v>
      </c>
      <c r="D15" s="146" t="s">
        <v>217</v>
      </c>
      <c r="E15" s="146" t="s">
        <v>216</v>
      </c>
      <c r="F15" s="304" t="s">
        <v>215</v>
      </c>
      <c r="G15" s="304" t="s">
        <v>214</v>
      </c>
      <c r="H15" s="305" t="s">
        <v>213</v>
      </c>
    </row>
    <row r="16" spans="2:11" x14ac:dyDescent="0.3">
      <c r="B16" s="306">
        <v>0.05</v>
      </c>
      <c r="C16" s="307">
        <f>F$12*$B$16</f>
        <v>6765.7033229518602</v>
      </c>
      <c r="D16" s="216">
        <f t="shared" ref="D16:H16" si="9">G$12*$B$16</f>
        <v>17590.828639674834</v>
      </c>
      <c r="E16" s="216">
        <f t="shared" si="9"/>
        <v>2706.2813291807433</v>
      </c>
      <c r="F16" s="216">
        <f t="shared" si="9"/>
        <v>4091.2118153089887</v>
      </c>
      <c r="G16" s="216">
        <f t="shared" si="9"/>
        <v>18205.892578125</v>
      </c>
      <c r="H16" s="308">
        <f t="shared" si="9"/>
        <v>38656.347254922948</v>
      </c>
    </row>
    <row r="17" spans="2:12" x14ac:dyDescent="0.3">
      <c r="B17" s="306">
        <v>0.1</v>
      </c>
      <c r="C17" s="307">
        <f>F$12*$B$17</f>
        <v>13531.40664590372</v>
      </c>
      <c r="D17" s="216">
        <f t="shared" ref="D17:H17" si="10">G$12*$B$17</f>
        <v>35181.657279349667</v>
      </c>
      <c r="E17" s="216">
        <f t="shared" si="10"/>
        <v>5412.5626583614867</v>
      </c>
      <c r="F17" s="216">
        <f t="shared" si="10"/>
        <v>8182.4236306179773</v>
      </c>
      <c r="G17" s="216">
        <f t="shared" si="10"/>
        <v>36411.78515625</v>
      </c>
      <c r="H17" s="308">
        <f t="shared" si="10"/>
        <v>77312.694509845896</v>
      </c>
    </row>
    <row r="18" spans="2:12" x14ac:dyDescent="0.3">
      <c r="B18" s="306">
        <v>0.25</v>
      </c>
      <c r="C18" s="307">
        <f>F$12*$B$18</f>
        <v>33828.516614759297</v>
      </c>
      <c r="D18" s="216">
        <f t="shared" ref="D18:H18" si="11">G$12*$B$18</f>
        <v>87954.143198374164</v>
      </c>
      <c r="E18" s="216">
        <f t="shared" si="11"/>
        <v>13531.406645903717</v>
      </c>
      <c r="F18" s="216">
        <f t="shared" si="11"/>
        <v>20456.059076544941</v>
      </c>
      <c r="G18" s="216">
        <f t="shared" si="11"/>
        <v>91029.462890625</v>
      </c>
      <c r="H18" s="308">
        <f t="shared" si="11"/>
        <v>193281.73627461473</v>
      </c>
    </row>
    <row r="19" spans="2:12" x14ac:dyDescent="0.3">
      <c r="B19" s="306">
        <v>0.33</v>
      </c>
      <c r="C19" s="307">
        <f>F$12*$B$19</f>
        <v>44653.641931482278</v>
      </c>
      <c r="D19" s="216">
        <f t="shared" ref="D19:H19" si="12">G$12*$B$19</f>
        <v>116099.4690218539</v>
      </c>
      <c r="E19" s="216">
        <f t="shared" si="12"/>
        <v>17861.456772592908</v>
      </c>
      <c r="F19" s="216">
        <f t="shared" si="12"/>
        <v>27001.997981039323</v>
      </c>
      <c r="G19" s="216">
        <f t="shared" si="12"/>
        <v>120158.89101562501</v>
      </c>
      <c r="H19" s="308">
        <f t="shared" si="12"/>
        <v>255131.89188249144</v>
      </c>
    </row>
    <row r="20" spans="2:12" x14ac:dyDescent="0.3">
      <c r="B20" s="306">
        <v>0.5</v>
      </c>
      <c r="C20" s="307">
        <f>F$12*$B$20</f>
        <v>67657.033229518594</v>
      </c>
      <c r="D20" s="216">
        <f t="shared" ref="D20:H20" si="13">G$12*$B$20</f>
        <v>175908.28639674833</v>
      </c>
      <c r="E20" s="216">
        <f t="shared" si="13"/>
        <v>27062.813291807433</v>
      </c>
      <c r="F20" s="216">
        <f t="shared" si="13"/>
        <v>40912.118153089883</v>
      </c>
      <c r="G20" s="216">
        <f t="shared" si="13"/>
        <v>182058.92578125</v>
      </c>
      <c r="H20" s="308">
        <f t="shared" si="13"/>
        <v>386563.47254922945</v>
      </c>
    </row>
    <row r="21" spans="2:12" x14ac:dyDescent="0.3">
      <c r="B21" s="306">
        <v>0.75</v>
      </c>
      <c r="C21" s="307">
        <f>F$12*$B$21</f>
        <v>101485.54984427789</v>
      </c>
      <c r="D21" s="216">
        <f t="shared" ref="D21:H21" si="14">G$12*$B$21</f>
        <v>263862.42959512246</v>
      </c>
      <c r="E21" s="216">
        <f t="shared" si="14"/>
        <v>40594.219937711154</v>
      </c>
      <c r="F21" s="216">
        <f t="shared" si="14"/>
        <v>61368.177229634821</v>
      </c>
      <c r="G21" s="216">
        <f t="shared" si="14"/>
        <v>273088.388671875</v>
      </c>
      <c r="H21" s="308">
        <f t="shared" si="14"/>
        <v>579845.20882384421</v>
      </c>
    </row>
    <row r="22" spans="2:12" ht="15" thickBot="1" x14ac:dyDescent="0.35">
      <c r="B22" s="309">
        <v>1</v>
      </c>
      <c r="C22" s="310">
        <f>F$12*$B$22</f>
        <v>135314.06645903719</v>
      </c>
      <c r="D22" s="311">
        <f t="shared" ref="D22:H22" si="15">G$12*$B$22</f>
        <v>351816.57279349666</v>
      </c>
      <c r="E22" s="311">
        <f t="shared" si="15"/>
        <v>54125.626583614867</v>
      </c>
      <c r="F22" s="311">
        <f t="shared" si="15"/>
        <v>81824.236306179766</v>
      </c>
      <c r="G22" s="311">
        <f t="shared" si="15"/>
        <v>364117.8515625</v>
      </c>
      <c r="H22" s="312">
        <f t="shared" si="15"/>
        <v>773126.94509845891</v>
      </c>
    </row>
    <row r="23" spans="2:12" x14ac:dyDescent="0.3">
      <c r="F23" s="11"/>
      <c r="G23" s="11"/>
      <c r="H23" s="11"/>
    </row>
    <row r="25" spans="2:12" ht="15" thickBot="1" x14ac:dyDescent="0.35">
      <c r="B25" t="s">
        <v>188</v>
      </c>
    </row>
    <row r="26" spans="2:12" x14ac:dyDescent="0.3">
      <c r="B26" s="156" t="s">
        <v>168</v>
      </c>
      <c r="C26" s="146" t="s">
        <v>310</v>
      </c>
      <c r="D26" s="155" t="s">
        <v>187</v>
      </c>
      <c r="F26" s="140"/>
      <c r="G26" s="140"/>
      <c r="H26" s="140"/>
      <c r="I26" s="140"/>
      <c r="J26" s="140"/>
      <c r="K26" s="140"/>
      <c r="L26" s="62"/>
    </row>
    <row r="27" spans="2:12" x14ac:dyDescent="0.3">
      <c r="B27" s="154" t="s">
        <v>165</v>
      </c>
      <c r="C27" s="168">
        <f>0.25*C30</f>
        <v>0.13750000000000001</v>
      </c>
      <c r="D27" s="185">
        <v>18.5</v>
      </c>
      <c r="F27" s="140"/>
      <c r="G27" s="140"/>
      <c r="H27" s="140"/>
      <c r="I27" s="140"/>
      <c r="J27" s="140"/>
      <c r="K27" s="140"/>
      <c r="L27" s="119"/>
    </row>
    <row r="28" spans="2:12" x14ac:dyDescent="0.3">
      <c r="B28" s="154" t="s">
        <v>164</v>
      </c>
      <c r="C28" s="168">
        <f>0.65*C30</f>
        <v>0.35750000000000004</v>
      </c>
      <c r="D28" s="185">
        <v>18.5</v>
      </c>
      <c r="F28" s="11"/>
      <c r="G28" s="11"/>
      <c r="H28" s="11"/>
    </row>
    <row r="29" spans="2:12" x14ac:dyDescent="0.3">
      <c r="B29" s="154" t="s">
        <v>163</v>
      </c>
      <c r="C29" s="168">
        <f>0.1*C30</f>
        <v>5.5000000000000007E-2</v>
      </c>
      <c r="D29" s="185">
        <v>18.5</v>
      </c>
      <c r="F29" s="11"/>
      <c r="G29" s="11"/>
      <c r="H29" s="11"/>
    </row>
    <row r="30" spans="2:12" x14ac:dyDescent="0.3">
      <c r="B30" s="151" t="s">
        <v>166</v>
      </c>
      <c r="C30" s="8">
        <v>0.55000000000000004</v>
      </c>
      <c r="D30" s="184">
        <v>18.5</v>
      </c>
      <c r="F30" s="11"/>
      <c r="G30" s="11"/>
      <c r="H30" s="11"/>
    </row>
    <row r="31" spans="2:12" x14ac:dyDescent="0.3">
      <c r="B31" s="151" t="s">
        <v>162</v>
      </c>
      <c r="C31" s="8">
        <v>0.04</v>
      </c>
      <c r="D31" s="184">
        <v>8.9</v>
      </c>
      <c r="F31" s="11"/>
      <c r="G31" s="11"/>
      <c r="H31" s="11"/>
    </row>
    <row r="32" spans="2:12" x14ac:dyDescent="0.3">
      <c r="B32" s="151" t="s">
        <v>161</v>
      </c>
      <c r="C32" s="8">
        <v>7.0000000000000007E-2</v>
      </c>
      <c r="D32" s="184">
        <v>3.5</v>
      </c>
      <c r="F32" s="11"/>
      <c r="G32" s="11"/>
      <c r="H32" s="11"/>
    </row>
    <row r="33" spans="2:8" x14ac:dyDescent="0.3">
      <c r="B33" s="150" t="s">
        <v>160</v>
      </c>
      <c r="C33" s="223">
        <v>0.31</v>
      </c>
      <c r="D33" s="183">
        <v>7.3</v>
      </c>
      <c r="F33" s="11"/>
      <c r="G33" s="11"/>
      <c r="H33" s="11"/>
    </row>
    <row r="34" spans="2:8" ht="15" thickBot="1" x14ac:dyDescent="0.35">
      <c r="B34" s="143" t="s">
        <v>42</v>
      </c>
      <c r="C34" s="164">
        <f>SUM(C30:C33)</f>
        <v>0.9700000000000002</v>
      </c>
      <c r="D34" s="182"/>
      <c r="F34" s="11"/>
      <c r="G34" s="11"/>
      <c r="H34" s="11"/>
    </row>
  </sheetData>
  <mergeCells count="2">
    <mergeCell ref="B1:K2"/>
    <mergeCell ref="C11:D1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40"/>
  <sheetViews>
    <sheetView workbookViewId="0">
      <pane xSplit="2" ySplit="4" topLeftCell="J5" activePane="bottomRight" state="frozen"/>
      <selection pane="topRight" activeCell="D1" sqref="D1"/>
      <selection pane="bottomLeft" activeCell="A5" sqref="A5"/>
      <selection pane="bottomRight" activeCell="U13" sqref="U13"/>
    </sheetView>
  </sheetViews>
  <sheetFormatPr defaultColWidth="8.88671875" defaultRowHeight="14.4" x14ac:dyDescent="0.3"/>
  <cols>
    <col min="1" max="1" width="14.109375" customWidth="1"/>
    <col min="2" max="2" width="18.109375" customWidth="1"/>
    <col min="3" max="4" width="9.109375"/>
    <col min="5" max="5" width="11.6640625" customWidth="1"/>
    <col min="6" max="11" width="9.109375"/>
    <col min="12" max="12" width="2.33203125" customWidth="1"/>
    <col min="17" max="17" width="8.6640625" customWidth="1"/>
    <col min="21" max="21" width="21.6640625" customWidth="1"/>
  </cols>
  <sheetData>
    <row r="1" spans="1:22" s="55" customFormat="1" ht="18" x14ac:dyDescent="0.35">
      <c r="A1" s="3" t="str">
        <f>Summary!A1</f>
        <v>Upper Columbia River Spring Chinook</v>
      </c>
      <c r="B1" s="12"/>
      <c r="C1" s="12"/>
      <c r="D1" s="12"/>
      <c r="E1" s="12"/>
      <c r="F1" s="12"/>
      <c r="G1" s="12"/>
      <c r="H1" s="12"/>
      <c r="I1" s="12"/>
      <c r="J1" s="12"/>
      <c r="K1" s="12"/>
    </row>
    <row r="2" spans="1:22" s="55" customFormat="1" x14ac:dyDescent="0.3">
      <c r="A2" s="1" t="s">
        <v>26</v>
      </c>
      <c r="B2" s="12"/>
      <c r="C2" s="12"/>
      <c r="D2" s="12"/>
      <c r="E2" s="12"/>
      <c r="F2" s="12"/>
      <c r="G2" s="12"/>
      <c r="H2" s="12"/>
      <c r="I2" s="12"/>
      <c r="J2" s="12"/>
      <c r="K2" s="12"/>
      <c r="M2" s="60" t="s">
        <v>74</v>
      </c>
      <c r="N2" s="60"/>
      <c r="O2" s="60"/>
      <c r="P2" s="60"/>
      <c r="Q2" s="60"/>
    </row>
    <row r="3" spans="1:22" s="60" customFormat="1" ht="18" x14ac:dyDescent="0.35">
      <c r="A3" s="13"/>
      <c r="B3" s="14"/>
      <c r="C3" s="15" t="s">
        <v>25</v>
      </c>
      <c r="D3" s="15"/>
      <c r="E3" s="15" t="s">
        <v>7</v>
      </c>
      <c r="F3" s="15"/>
      <c r="G3" s="15"/>
      <c r="H3" s="15" t="s">
        <v>10</v>
      </c>
      <c r="I3" s="15"/>
      <c r="J3" s="15"/>
      <c r="K3" s="15"/>
      <c r="M3" s="16" t="s">
        <v>16</v>
      </c>
      <c r="N3" s="16"/>
      <c r="O3" s="16" t="s">
        <v>17</v>
      </c>
      <c r="P3" s="16"/>
      <c r="Q3" s="16" t="s">
        <v>18</v>
      </c>
      <c r="R3" s="14"/>
      <c r="U3" s="60" t="s">
        <v>73</v>
      </c>
    </row>
    <row r="4" spans="1:22" ht="30.6" x14ac:dyDescent="0.3">
      <c r="A4" s="27" t="s">
        <v>28</v>
      </c>
      <c r="B4" s="28" t="s">
        <v>37</v>
      </c>
      <c r="C4" s="16" t="s">
        <v>3</v>
      </c>
      <c r="D4" s="16" t="s">
        <v>4</v>
      </c>
      <c r="E4" s="16" t="s">
        <v>20</v>
      </c>
      <c r="F4" s="16" t="s">
        <v>21</v>
      </c>
      <c r="G4" s="16" t="s">
        <v>27</v>
      </c>
      <c r="H4" s="16" t="s">
        <v>22</v>
      </c>
      <c r="I4" s="16" t="s">
        <v>23</v>
      </c>
      <c r="J4" s="16" t="s">
        <v>24</v>
      </c>
      <c r="K4" s="16" t="s">
        <v>12</v>
      </c>
    </row>
    <row r="5" spans="1:22" x14ac:dyDescent="0.3">
      <c r="A5" s="18" t="s">
        <v>29</v>
      </c>
      <c r="B5" s="17" t="s">
        <v>40</v>
      </c>
      <c r="C5" s="23" t="s">
        <v>43</v>
      </c>
      <c r="H5" s="23" t="s">
        <v>43</v>
      </c>
      <c r="I5" s="23" t="s">
        <v>43</v>
      </c>
      <c r="J5" s="23" t="s">
        <v>43</v>
      </c>
      <c r="K5" s="23" t="s">
        <v>43</v>
      </c>
      <c r="M5" s="62"/>
      <c r="N5" s="62"/>
      <c r="O5" s="62"/>
      <c r="P5" s="62"/>
      <c r="Q5" s="63"/>
    </row>
    <row r="6" spans="1:22" x14ac:dyDescent="0.3">
      <c r="A6" s="18"/>
      <c r="B6" s="17" t="s">
        <v>41</v>
      </c>
      <c r="H6" s="23" t="s">
        <v>43</v>
      </c>
      <c r="I6" s="23" t="s">
        <v>43</v>
      </c>
      <c r="J6" s="23" t="s">
        <v>43</v>
      </c>
      <c r="K6" s="23" t="s">
        <v>43</v>
      </c>
      <c r="M6" s="62"/>
      <c r="N6" s="62"/>
      <c r="O6" s="62"/>
      <c r="P6" s="62"/>
      <c r="Q6" s="63"/>
      <c r="U6" s="18"/>
    </row>
    <row r="7" spans="1:22" x14ac:dyDescent="0.3">
      <c r="A7" s="18" t="s">
        <v>30</v>
      </c>
      <c r="B7" s="17" t="s">
        <v>40</v>
      </c>
      <c r="C7" s="23" t="s">
        <v>43</v>
      </c>
      <c r="H7" s="23" t="s">
        <v>43</v>
      </c>
      <c r="I7" s="23" t="s">
        <v>43</v>
      </c>
      <c r="J7" s="23" t="s">
        <v>43</v>
      </c>
      <c r="K7" s="23" t="s">
        <v>43</v>
      </c>
      <c r="M7" s="62"/>
      <c r="N7" s="62"/>
      <c r="O7" s="62"/>
      <c r="P7" s="62"/>
      <c r="Q7" s="63"/>
      <c r="U7" s="73" t="s">
        <v>76</v>
      </c>
      <c r="V7">
        <v>0</v>
      </c>
    </row>
    <row r="8" spans="1:22" x14ac:dyDescent="0.3">
      <c r="A8" s="18"/>
      <c r="B8" s="17" t="s">
        <v>41</v>
      </c>
      <c r="H8" s="23" t="s">
        <v>43</v>
      </c>
      <c r="I8" s="23" t="s">
        <v>43</v>
      </c>
      <c r="J8" s="23" t="s">
        <v>43</v>
      </c>
      <c r="K8" s="23" t="s">
        <v>43</v>
      </c>
      <c r="M8" s="62"/>
      <c r="N8" s="62"/>
      <c r="O8" s="62"/>
      <c r="P8" s="62"/>
      <c r="Q8" s="63"/>
      <c r="U8" s="18" t="s">
        <v>31</v>
      </c>
      <c r="V8">
        <v>9.5000000000000001E-2</v>
      </c>
    </row>
    <row r="9" spans="1:22" x14ac:dyDescent="0.3">
      <c r="A9" s="18" t="s">
        <v>31</v>
      </c>
      <c r="B9" s="17" t="s">
        <v>40</v>
      </c>
      <c r="C9" s="35"/>
      <c r="H9" s="23"/>
      <c r="I9" s="23"/>
      <c r="J9" s="8"/>
      <c r="K9" s="23" t="s">
        <v>43</v>
      </c>
      <c r="M9" s="62"/>
      <c r="N9" s="62"/>
      <c r="O9" s="62"/>
      <c r="P9" s="62"/>
      <c r="Q9" s="63"/>
      <c r="U9" s="73" t="s">
        <v>139</v>
      </c>
      <c r="V9">
        <v>1.4999999999999999E-2</v>
      </c>
    </row>
    <row r="10" spans="1:22" x14ac:dyDescent="0.3">
      <c r="A10" s="18"/>
      <c r="B10" s="17" t="s">
        <v>41</v>
      </c>
      <c r="H10" s="23"/>
      <c r="I10" s="23"/>
      <c r="J10" s="23"/>
      <c r="K10" s="23" t="s">
        <v>43</v>
      </c>
      <c r="M10" s="62"/>
      <c r="N10" s="62"/>
      <c r="O10" s="62"/>
      <c r="P10" s="62"/>
      <c r="Q10" s="63"/>
      <c r="U10" s="73" t="s">
        <v>112</v>
      </c>
      <c r="V10">
        <v>0</v>
      </c>
    </row>
    <row r="11" spans="1:22" x14ac:dyDescent="0.3">
      <c r="A11" s="18" t="s">
        <v>32</v>
      </c>
      <c r="B11" s="17" t="s">
        <v>40</v>
      </c>
      <c r="C11" s="35"/>
      <c r="D11" s="8"/>
      <c r="H11" s="23"/>
      <c r="I11" s="23"/>
      <c r="J11" s="8"/>
      <c r="K11" s="23" t="s">
        <v>43</v>
      </c>
      <c r="M11" s="62"/>
      <c r="N11" s="62"/>
      <c r="O11" s="62"/>
      <c r="P11" s="62"/>
      <c r="Q11" s="63"/>
      <c r="U11" s="73"/>
    </row>
    <row r="12" spans="1:22" x14ac:dyDescent="0.3">
      <c r="A12" s="18"/>
      <c r="B12" s="17" t="s">
        <v>41</v>
      </c>
      <c r="H12" s="23"/>
      <c r="I12" s="23"/>
      <c r="J12" s="23"/>
      <c r="K12" s="23" t="s">
        <v>43</v>
      </c>
      <c r="M12" s="62"/>
      <c r="N12" s="62"/>
      <c r="O12" s="62"/>
      <c r="P12" s="62"/>
      <c r="Q12" s="63"/>
      <c r="U12" s="18"/>
    </row>
    <row r="13" spans="1:22" x14ac:dyDescent="0.3">
      <c r="A13" s="18" t="s">
        <v>33</v>
      </c>
      <c r="B13" s="17" t="s">
        <v>40</v>
      </c>
      <c r="C13" s="35"/>
      <c r="D13" s="8"/>
      <c r="H13" s="23"/>
      <c r="I13" s="23"/>
      <c r="J13" s="8"/>
      <c r="K13" s="23" t="s">
        <v>43</v>
      </c>
      <c r="M13" s="62"/>
      <c r="N13" s="62"/>
      <c r="O13" s="62"/>
      <c r="P13" s="62"/>
      <c r="Q13" s="63"/>
      <c r="U13" s="73"/>
    </row>
    <row r="14" spans="1:22" x14ac:dyDescent="0.3">
      <c r="A14" s="18"/>
      <c r="B14" s="17" t="s">
        <v>41</v>
      </c>
      <c r="H14" s="23"/>
      <c r="I14" s="23"/>
      <c r="J14" s="23"/>
      <c r="K14" s="23" t="s">
        <v>43</v>
      </c>
      <c r="M14" s="62"/>
      <c r="N14" s="62"/>
      <c r="O14" s="62"/>
      <c r="P14" s="62"/>
      <c r="Q14" s="63"/>
    </row>
    <row r="15" spans="1:22" x14ac:dyDescent="0.3">
      <c r="A15" s="18" t="s">
        <v>34</v>
      </c>
      <c r="B15" s="17" t="s">
        <v>40</v>
      </c>
      <c r="C15" s="35"/>
      <c r="D15" s="8"/>
      <c r="H15" s="23"/>
      <c r="I15" s="23"/>
      <c r="J15" s="8"/>
      <c r="K15" s="23" t="s">
        <v>43</v>
      </c>
      <c r="M15" s="62"/>
      <c r="N15" s="62"/>
      <c r="O15" s="62"/>
      <c r="P15" s="62"/>
      <c r="Q15" s="63"/>
      <c r="U15" s="18"/>
    </row>
    <row r="16" spans="1:22" x14ac:dyDescent="0.3">
      <c r="A16" s="18"/>
      <c r="B16" s="17" t="s">
        <v>41</v>
      </c>
      <c r="H16" s="23" t="s">
        <v>43</v>
      </c>
      <c r="I16" s="23" t="s">
        <v>43</v>
      </c>
      <c r="J16" s="23" t="s">
        <v>43</v>
      </c>
      <c r="K16" s="23" t="s">
        <v>43</v>
      </c>
      <c r="M16" s="62"/>
      <c r="N16" s="62"/>
      <c r="O16" s="62"/>
      <c r="P16" s="62"/>
      <c r="Q16" s="63"/>
    </row>
    <row r="17" spans="1:21" x14ac:dyDescent="0.3">
      <c r="A17" s="18" t="s">
        <v>35</v>
      </c>
      <c r="B17" s="17" t="s">
        <v>40</v>
      </c>
      <c r="C17" s="23">
        <v>0</v>
      </c>
      <c r="D17" s="23" t="s">
        <v>43</v>
      </c>
      <c r="E17" s="23" t="s">
        <v>43</v>
      </c>
      <c r="F17" s="23" t="s">
        <v>43</v>
      </c>
      <c r="G17" s="23" t="s">
        <v>43</v>
      </c>
      <c r="H17" s="23" t="s">
        <v>43</v>
      </c>
      <c r="I17" s="23" t="s">
        <v>43</v>
      </c>
      <c r="J17" s="23" t="s">
        <v>43</v>
      </c>
      <c r="K17" s="23" t="s">
        <v>43</v>
      </c>
      <c r="M17" s="62"/>
      <c r="N17" s="62"/>
      <c r="O17" s="62"/>
      <c r="P17" s="62"/>
      <c r="Q17" s="63"/>
      <c r="U17" s="18"/>
    </row>
    <row r="18" spans="1:21" x14ac:dyDescent="0.3">
      <c r="A18" s="18"/>
      <c r="B18" s="17" t="s">
        <v>41</v>
      </c>
      <c r="C18" s="23">
        <v>0</v>
      </c>
      <c r="D18" s="23" t="s">
        <v>43</v>
      </c>
      <c r="E18" s="23" t="s">
        <v>43</v>
      </c>
      <c r="F18" s="23" t="s">
        <v>43</v>
      </c>
      <c r="G18" s="23" t="s">
        <v>43</v>
      </c>
      <c r="H18" s="23" t="s">
        <v>43</v>
      </c>
      <c r="I18" s="23" t="s">
        <v>43</v>
      </c>
      <c r="J18" s="23" t="s">
        <v>43</v>
      </c>
      <c r="K18" s="23" t="s">
        <v>43</v>
      </c>
      <c r="M18" s="62"/>
      <c r="N18" s="62"/>
      <c r="O18" s="62"/>
      <c r="P18" s="62"/>
      <c r="Q18" s="63"/>
    </row>
    <row r="19" spans="1:21" x14ac:dyDescent="0.3">
      <c r="A19" s="18" t="s">
        <v>36</v>
      </c>
      <c r="B19" s="17" t="s">
        <v>40</v>
      </c>
      <c r="C19" s="23">
        <v>0</v>
      </c>
      <c r="D19" s="23" t="s">
        <v>43</v>
      </c>
      <c r="E19" s="23" t="s">
        <v>43</v>
      </c>
      <c r="F19" s="23" t="s">
        <v>43</v>
      </c>
      <c r="G19" s="23" t="s">
        <v>43</v>
      </c>
      <c r="H19" s="23" t="s">
        <v>43</v>
      </c>
      <c r="I19" s="23" t="s">
        <v>43</v>
      </c>
      <c r="J19" s="23" t="s">
        <v>43</v>
      </c>
      <c r="K19" s="23" t="s">
        <v>43</v>
      </c>
      <c r="M19" s="62"/>
      <c r="N19" s="62"/>
      <c r="O19" s="62"/>
      <c r="P19" s="62"/>
      <c r="Q19" s="63"/>
      <c r="U19" s="18"/>
    </row>
    <row r="20" spans="1:21" x14ac:dyDescent="0.3">
      <c r="B20" s="17" t="s">
        <v>41</v>
      </c>
      <c r="C20" s="23">
        <v>0</v>
      </c>
      <c r="D20" s="23" t="s">
        <v>43</v>
      </c>
      <c r="E20" s="23" t="s">
        <v>43</v>
      </c>
      <c r="F20" s="23" t="s">
        <v>43</v>
      </c>
      <c r="G20" s="23" t="s">
        <v>43</v>
      </c>
      <c r="H20" s="23" t="s">
        <v>43</v>
      </c>
      <c r="I20" s="23" t="s">
        <v>43</v>
      </c>
      <c r="J20" s="23" t="s">
        <v>43</v>
      </c>
      <c r="K20" s="23" t="s">
        <v>43</v>
      </c>
      <c r="M20" s="62"/>
      <c r="N20" s="62"/>
      <c r="O20" s="62"/>
      <c r="P20" s="62"/>
      <c r="Q20" s="63"/>
    </row>
    <row r="21" spans="1:21" s="40" customFormat="1" x14ac:dyDescent="0.3">
      <c r="A21" s="19" t="s">
        <v>42</v>
      </c>
      <c r="B21" s="20" t="s">
        <v>40</v>
      </c>
      <c r="C21" s="46">
        <v>0.11</v>
      </c>
      <c r="D21" s="34"/>
      <c r="E21" s="45"/>
      <c r="F21" s="19"/>
      <c r="G21" s="19"/>
      <c r="H21" s="19">
        <v>0</v>
      </c>
      <c r="I21" s="19">
        <v>0</v>
      </c>
      <c r="J21" s="19" t="s">
        <v>121</v>
      </c>
      <c r="K21" s="19"/>
      <c r="M21" s="104">
        <v>5.5E-2</v>
      </c>
      <c r="N21" s="64">
        <v>0.17</v>
      </c>
      <c r="O21" s="104">
        <v>5.5E-2</v>
      </c>
      <c r="P21" s="64">
        <v>0.3</v>
      </c>
      <c r="Q21" s="104">
        <v>5.5E-2</v>
      </c>
      <c r="R21" s="64">
        <v>0.4</v>
      </c>
    </row>
    <row r="22" spans="1:21" s="61" customFormat="1" x14ac:dyDescent="0.3">
      <c r="A22" s="21"/>
      <c r="B22" s="22" t="s">
        <v>41</v>
      </c>
      <c r="C22" s="21"/>
      <c r="D22" s="21"/>
      <c r="E22" s="21"/>
      <c r="F22" s="21"/>
      <c r="G22" s="21"/>
      <c r="H22" s="21"/>
      <c r="I22" s="21"/>
      <c r="J22" s="21"/>
      <c r="K22" s="21"/>
      <c r="M22" s="65"/>
      <c r="N22" s="65"/>
      <c r="O22" s="65"/>
      <c r="P22" s="65"/>
      <c r="Q22" s="66"/>
    </row>
    <row r="23" spans="1:21" x14ac:dyDescent="0.3">
      <c r="A23" s="18" t="s">
        <v>29</v>
      </c>
      <c r="B23" s="17" t="s">
        <v>38</v>
      </c>
      <c r="H23" s="23" t="s">
        <v>43</v>
      </c>
      <c r="I23" s="23" t="s">
        <v>43</v>
      </c>
    </row>
    <row r="24" spans="1:21" x14ac:dyDescent="0.3">
      <c r="A24" s="18"/>
      <c r="B24" s="17" t="s">
        <v>39</v>
      </c>
      <c r="H24" s="23" t="s">
        <v>43</v>
      </c>
      <c r="I24" s="23" t="s">
        <v>43</v>
      </c>
    </row>
    <row r="25" spans="1:21" x14ac:dyDescent="0.3">
      <c r="A25" s="18" t="s">
        <v>30</v>
      </c>
      <c r="B25" s="17" t="s">
        <v>38</v>
      </c>
      <c r="H25" s="23" t="s">
        <v>43</v>
      </c>
      <c r="I25" s="23" t="s">
        <v>43</v>
      </c>
    </row>
    <row r="26" spans="1:21" x14ac:dyDescent="0.3">
      <c r="A26" s="18"/>
      <c r="B26" s="17" t="s">
        <v>39</v>
      </c>
      <c r="H26" s="23" t="s">
        <v>43</v>
      </c>
      <c r="I26" s="23" t="s">
        <v>43</v>
      </c>
    </row>
    <row r="27" spans="1:21" x14ac:dyDescent="0.3">
      <c r="A27" s="18" t="s">
        <v>31</v>
      </c>
      <c r="B27" s="17" t="s">
        <v>38</v>
      </c>
      <c r="H27" s="23" t="s">
        <v>43</v>
      </c>
      <c r="I27" s="23" t="s">
        <v>43</v>
      </c>
    </row>
    <row r="28" spans="1:21" x14ac:dyDescent="0.3">
      <c r="A28" s="18"/>
      <c r="B28" s="17" t="s">
        <v>39</v>
      </c>
      <c r="H28" s="23" t="s">
        <v>43</v>
      </c>
      <c r="I28" s="23" t="s">
        <v>43</v>
      </c>
    </row>
    <row r="29" spans="1:21" x14ac:dyDescent="0.3">
      <c r="A29" s="18" t="s">
        <v>32</v>
      </c>
      <c r="B29" s="17" t="s">
        <v>38</v>
      </c>
      <c r="H29" s="23" t="s">
        <v>43</v>
      </c>
      <c r="I29" s="23" t="s">
        <v>43</v>
      </c>
    </row>
    <row r="30" spans="1:21" x14ac:dyDescent="0.3">
      <c r="A30" s="18"/>
      <c r="B30" s="17" t="s">
        <v>39</v>
      </c>
      <c r="H30" s="23" t="s">
        <v>43</v>
      </c>
      <c r="I30" s="23" t="s">
        <v>43</v>
      </c>
    </row>
    <row r="31" spans="1:21" x14ac:dyDescent="0.3">
      <c r="A31" s="18" t="s">
        <v>33</v>
      </c>
      <c r="B31" s="17" t="s">
        <v>38</v>
      </c>
      <c r="H31" s="23" t="s">
        <v>43</v>
      </c>
      <c r="I31" s="23" t="s">
        <v>43</v>
      </c>
    </row>
    <row r="32" spans="1:21" x14ac:dyDescent="0.3">
      <c r="A32" s="18"/>
      <c r="B32" s="17" t="s">
        <v>39</v>
      </c>
      <c r="H32" s="23" t="s">
        <v>43</v>
      </c>
      <c r="I32" s="23" t="s">
        <v>43</v>
      </c>
    </row>
    <row r="33" spans="1:11" x14ac:dyDescent="0.3">
      <c r="A33" s="18" t="s">
        <v>34</v>
      </c>
      <c r="B33" s="17" t="s">
        <v>38</v>
      </c>
      <c r="H33" s="23" t="s">
        <v>43</v>
      </c>
      <c r="I33" s="23" t="s">
        <v>43</v>
      </c>
    </row>
    <row r="34" spans="1:11" x14ac:dyDescent="0.3">
      <c r="A34" s="18"/>
      <c r="B34" s="17" t="s">
        <v>39</v>
      </c>
      <c r="H34" s="23" t="s">
        <v>43</v>
      </c>
      <c r="I34" s="23" t="s">
        <v>43</v>
      </c>
    </row>
    <row r="35" spans="1:11" x14ac:dyDescent="0.3">
      <c r="A35" s="18" t="s">
        <v>35</v>
      </c>
      <c r="B35" s="17" t="s">
        <v>38</v>
      </c>
      <c r="C35" s="23">
        <v>0</v>
      </c>
      <c r="D35" s="23" t="s">
        <v>43</v>
      </c>
      <c r="E35" s="23" t="s">
        <v>43</v>
      </c>
      <c r="F35" s="23" t="s">
        <v>43</v>
      </c>
      <c r="G35" s="23" t="s">
        <v>43</v>
      </c>
      <c r="H35" s="23" t="s">
        <v>43</v>
      </c>
      <c r="I35" s="23" t="s">
        <v>43</v>
      </c>
      <c r="J35" s="23" t="s">
        <v>43</v>
      </c>
      <c r="K35" s="23" t="s">
        <v>43</v>
      </c>
    </row>
    <row r="36" spans="1:11" x14ac:dyDescent="0.3">
      <c r="A36" s="18"/>
      <c r="B36" s="17" t="s">
        <v>39</v>
      </c>
      <c r="C36" s="23">
        <v>0</v>
      </c>
      <c r="D36" s="23" t="s">
        <v>43</v>
      </c>
      <c r="E36" s="23" t="s">
        <v>43</v>
      </c>
      <c r="F36" s="23" t="s">
        <v>43</v>
      </c>
      <c r="G36" s="23" t="s">
        <v>43</v>
      </c>
      <c r="H36" s="23" t="s">
        <v>43</v>
      </c>
      <c r="I36" s="23" t="s">
        <v>43</v>
      </c>
      <c r="J36" s="23" t="s">
        <v>43</v>
      </c>
      <c r="K36" s="23" t="s">
        <v>43</v>
      </c>
    </row>
    <row r="37" spans="1:11" x14ac:dyDescent="0.3">
      <c r="A37" s="18" t="s">
        <v>36</v>
      </c>
      <c r="B37" s="17" t="s">
        <v>38</v>
      </c>
      <c r="C37" s="23">
        <v>0</v>
      </c>
      <c r="D37" s="23" t="s">
        <v>43</v>
      </c>
      <c r="E37" s="23" t="s">
        <v>43</v>
      </c>
      <c r="F37" s="23" t="s">
        <v>43</v>
      </c>
      <c r="G37" s="23" t="s">
        <v>43</v>
      </c>
      <c r="H37" s="23" t="s">
        <v>43</v>
      </c>
      <c r="I37" s="23" t="s">
        <v>43</v>
      </c>
      <c r="J37" s="23" t="s">
        <v>43</v>
      </c>
      <c r="K37" s="23" t="s">
        <v>43</v>
      </c>
    </row>
    <row r="38" spans="1:11" x14ac:dyDescent="0.3">
      <c r="B38" s="17" t="s">
        <v>39</v>
      </c>
      <c r="C38" s="23">
        <v>0</v>
      </c>
      <c r="D38" s="23" t="s">
        <v>43</v>
      </c>
      <c r="E38" s="23" t="s">
        <v>43</v>
      </c>
      <c r="F38" s="23" t="s">
        <v>43</v>
      </c>
      <c r="G38" s="23" t="s">
        <v>43</v>
      </c>
      <c r="H38" s="23" t="s">
        <v>43</v>
      </c>
      <c r="I38" s="23" t="s">
        <v>43</v>
      </c>
      <c r="J38" s="23" t="s">
        <v>43</v>
      </c>
      <c r="K38" s="23" t="s">
        <v>43</v>
      </c>
    </row>
    <row r="39" spans="1:11" s="40" customFormat="1" x14ac:dyDescent="0.3">
      <c r="A39" s="19" t="s">
        <v>42</v>
      </c>
      <c r="B39" s="20" t="s">
        <v>38</v>
      </c>
      <c r="C39" s="19"/>
      <c r="D39" s="34"/>
      <c r="E39" s="19"/>
      <c r="F39" s="19"/>
      <c r="G39" s="19"/>
      <c r="H39" s="19"/>
      <c r="I39" s="19"/>
      <c r="J39" s="19"/>
      <c r="K39" s="19"/>
    </row>
    <row r="40" spans="1:11" s="61" customFormat="1" x14ac:dyDescent="0.3">
      <c r="A40" s="21"/>
      <c r="B40" s="22" t="s">
        <v>39</v>
      </c>
      <c r="C40" s="21"/>
      <c r="D40" s="21"/>
      <c r="E40" s="21"/>
      <c r="F40" s="21"/>
      <c r="G40" s="21"/>
      <c r="H40" s="21"/>
      <c r="I40" s="21"/>
      <c r="J40" s="21"/>
      <c r="K40" s="21"/>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Documentation</vt:lpstr>
      <vt:lpstr>Runs</vt:lpstr>
      <vt:lpstr>Conv</vt:lpstr>
      <vt:lpstr>Natl Spnr</vt:lpstr>
      <vt:lpstr>HistoricAbund_Calcs.</vt:lpstr>
      <vt:lpstr>HabitatPotential_MAT</vt:lpstr>
      <vt:lpstr>HarvestGoals_Calc</vt:lpstr>
      <vt:lpstr>Fishery</vt:lpstr>
      <vt:lpstr>Hatchery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cp:lastPrinted>2018-01-18T02:25:20Z</cp:lastPrinted>
  <dcterms:created xsi:type="dcterms:W3CDTF">2017-07-05T20:34:17Z</dcterms:created>
  <dcterms:modified xsi:type="dcterms:W3CDTF">2020-08-13T16:46:33Z</dcterms:modified>
</cp:coreProperties>
</file>