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showInkAnnotation="0"/>
  <mc:AlternateContent xmlns:mc="http://schemas.openxmlformats.org/markup-compatibility/2006">
    <mc:Choice Requires="x15">
      <x15ac:absPath xmlns:x15ac="http://schemas.microsoft.com/office/spreadsheetml/2010/11/ac" url="C:\Users\beame\Documents\NMFS Columbia Basin\10. Quantitative goals\UCR Steelhead\"/>
    </mc:Choice>
  </mc:AlternateContent>
  <xr:revisionPtr revIDLastSave="0" documentId="8_{4587BDE4-8BA6-45EA-8710-319C474E797F}" xr6:coauthVersionLast="45" xr6:coauthVersionMax="45" xr10:uidLastSave="{00000000-0000-0000-0000-000000000000}"/>
  <bookViews>
    <workbookView xWindow="28680" yWindow="-120" windowWidth="29040" windowHeight="15840" xr2:uid="{00000000-000D-0000-FFFF-FFFF00000000}"/>
  </bookViews>
  <sheets>
    <sheet name="Summary" sheetId="10" r:id="rId1"/>
    <sheet name="Documentation" sheetId="18" r:id="rId2"/>
    <sheet name="Runs" sheetId="19" r:id="rId3"/>
    <sheet name="Conv" sheetId="20" r:id="rId4"/>
    <sheet name="Natl prod" sheetId="1" r:id="rId5"/>
    <sheet name="HistoricAbund_Calcs." sheetId="16" r:id="rId6"/>
    <sheet name="HabitatPotential_MAT" sheetId="15" r:id="rId7"/>
    <sheet name="HarvestGoals_Calc" sheetId="17" r:id="rId8"/>
    <sheet name="Fishery" sheetId="2" r:id="rId9"/>
    <sheet name="Hatchery" sheetId="3" r:id="rId10"/>
  </sheets>
  <definedNames>
    <definedName name="_Ref67714019" localSheetId="3">#REF!</definedName>
    <definedName name="_Ref67714019" localSheetId="6">#REF!</definedName>
    <definedName name="_Ref67714019" localSheetId="7">#REF!</definedName>
    <definedName name="_Ref67714019" localSheetId="5">#REF!</definedName>
    <definedName name="_Ref67714019">#REF!</definedName>
    <definedName name="solver_adj" localSheetId="3" hidden="1">Conv!$X$22</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2147483647</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1</definedName>
    <definedName name="solver_nod" localSheetId="3" hidden="1">2147483647</definedName>
    <definedName name="solver_num" localSheetId="3" hidden="1">0</definedName>
    <definedName name="solver_nwt" localSheetId="3" hidden="1">1</definedName>
    <definedName name="solver_opt" localSheetId="3" hidden="1">Conv!$Y$17</definedName>
    <definedName name="solver_pre" localSheetId="3" hidden="1">0.000001</definedName>
    <definedName name="solver_rbv" localSheetId="3" hidden="1">1</definedName>
    <definedName name="solver_rlx" localSheetId="3" hidden="1">2</definedName>
    <definedName name="solver_rsd" localSheetId="3" hidden="1">0</definedName>
    <definedName name="solver_scl" localSheetId="3" hidden="1">1</definedName>
    <definedName name="solver_sho" localSheetId="3" hidden="1">2</definedName>
    <definedName name="solver_ssz" localSheetId="3" hidden="1">100</definedName>
    <definedName name="solver_tim" localSheetId="3" hidden="1">2147483647</definedName>
    <definedName name="solver_tol" localSheetId="3" hidden="1">0.01</definedName>
    <definedName name="solver_typ" localSheetId="3" hidden="1">3</definedName>
    <definedName name="solver_val" localSheetId="3" hidden="1">0.35</definedName>
    <definedName name="solver_ver" localSheetId="3" hidden="1">3</definedName>
  </definedNames>
  <calcPr calcId="181029"/>
  <pivotCaches>
    <pivotCache cacheId="0" r:id="rId11"/>
  </pivotCache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6" i="20" l="1"/>
  <c r="X38" i="20"/>
  <c r="T38" i="20"/>
  <c r="P38" i="20"/>
  <c r="P37" i="20"/>
  <c r="M70" i="10"/>
  <c r="AB21" i="10" l="1"/>
  <c r="X37" i="20" s="1"/>
  <c r="X8" i="10" l="1"/>
  <c r="V10" i="10"/>
  <c r="DU64" i="19" l="1"/>
  <c r="DQ64" i="19"/>
  <c r="IZ64" i="19"/>
  <c r="IY64" i="19"/>
  <c r="IX64" i="19"/>
  <c r="IW64" i="19"/>
  <c r="IV64" i="19"/>
  <c r="IU64" i="19"/>
  <c r="IT64" i="19"/>
  <c r="IS64" i="19"/>
  <c r="IR64" i="19"/>
  <c r="IP64" i="19"/>
  <c r="IO64" i="19"/>
  <c r="IN64" i="19"/>
  <c r="IM64" i="19"/>
  <c r="IL64" i="19"/>
  <c r="IK64" i="19"/>
  <c r="IJ64" i="19"/>
  <c r="II64" i="19"/>
  <c r="IH64" i="19"/>
  <c r="IF64" i="19"/>
  <c r="IE64" i="19"/>
  <c r="ID64" i="19"/>
  <c r="U41" i="10" s="1"/>
  <c r="IB64" i="19"/>
  <c r="IA64" i="19"/>
  <c r="HZ64" i="19"/>
  <c r="HY64" i="19"/>
  <c r="HX64" i="19"/>
  <c r="HV64" i="19"/>
  <c r="HU64" i="19"/>
  <c r="HT64" i="19"/>
  <c r="HS64" i="19"/>
  <c r="HR64" i="19"/>
  <c r="HQ64" i="19"/>
  <c r="HP64" i="19"/>
  <c r="HO64" i="19"/>
  <c r="X32" i="10" s="1"/>
  <c r="HN64" i="19"/>
  <c r="X26" i="10" s="1"/>
  <c r="HM64" i="19"/>
  <c r="HL64" i="19"/>
  <c r="HK64" i="19"/>
  <c r="HJ64" i="19"/>
  <c r="HI64" i="19"/>
  <c r="HH64" i="19"/>
  <c r="HG64" i="19"/>
  <c r="HF64" i="19"/>
  <c r="HE64" i="19"/>
  <c r="HD64" i="19"/>
  <c r="HB64" i="19"/>
  <c r="HA64" i="19"/>
  <c r="C35" i="20" s="1"/>
  <c r="GZ64" i="19"/>
  <c r="GY64" i="19"/>
  <c r="GX64" i="19"/>
  <c r="GW64" i="19"/>
  <c r="GV64" i="19"/>
  <c r="GU64" i="19"/>
  <c r="GS64" i="19"/>
  <c r="GR64" i="19"/>
  <c r="GQ64" i="19"/>
  <c r="GP64" i="19"/>
  <c r="GO64" i="19"/>
  <c r="GM64" i="19"/>
  <c r="GL64" i="19"/>
  <c r="D35" i="20" s="1"/>
  <c r="GK64" i="19"/>
  <c r="GJ64" i="19"/>
  <c r="GI64" i="19"/>
  <c r="GH64" i="19"/>
  <c r="GG64" i="19"/>
  <c r="GF64" i="19"/>
  <c r="GE64" i="19"/>
  <c r="GC64" i="19"/>
  <c r="GB64" i="19"/>
  <c r="GA64" i="19"/>
  <c r="FZ64" i="19"/>
  <c r="FY64" i="19"/>
  <c r="FX64" i="19"/>
  <c r="FW64" i="19"/>
  <c r="FV64" i="19"/>
  <c r="FU64" i="19"/>
  <c r="FT64" i="19"/>
  <c r="FS64" i="19"/>
  <c r="FR64" i="19"/>
  <c r="FQ64" i="19"/>
  <c r="FP64" i="19"/>
  <c r="FO64" i="19"/>
  <c r="FM64" i="19"/>
  <c r="FL64" i="19"/>
  <c r="FK64" i="19"/>
  <c r="FJ64" i="19"/>
  <c r="FI64" i="19"/>
  <c r="FH64" i="19"/>
  <c r="FG64" i="19"/>
  <c r="FF64" i="19"/>
  <c r="FE64" i="19"/>
  <c r="FC64" i="19"/>
  <c r="FB64" i="19"/>
  <c r="FA64" i="19"/>
  <c r="X27" i="10" s="1"/>
  <c r="EY64" i="19"/>
  <c r="EX64" i="19"/>
  <c r="EW64" i="19"/>
  <c r="EV64" i="19"/>
  <c r="EU64" i="19"/>
  <c r="ES64" i="19"/>
  <c r="ER64" i="19"/>
  <c r="EQ64" i="19"/>
  <c r="EP64" i="19"/>
  <c r="EO64" i="19"/>
  <c r="EM64" i="19"/>
  <c r="EL64" i="19"/>
  <c r="D32" i="20" s="1"/>
  <c r="EK64" i="19"/>
  <c r="EJ64" i="19"/>
  <c r="EI64" i="19"/>
  <c r="EH64" i="19"/>
  <c r="EG64" i="19"/>
  <c r="EF64" i="19"/>
  <c r="EE64" i="19"/>
  <c r="DZ64" i="19"/>
  <c r="DW64" i="19"/>
  <c r="DV64" i="19"/>
  <c r="DT64" i="19"/>
  <c r="DO64" i="19"/>
  <c r="DM64" i="19"/>
  <c r="DL64" i="19"/>
  <c r="DK64" i="19"/>
  <c r="DI64" i="19"/>
  <c r="DH64" i="19"/>
  <c r="DG64" i="19"/>
  <c r="DF64" i="19"/>
  <c r="DE64" i="19"/>
  <c r="DC64" i="19"/>
  <c r="DB64" i="19"/>
  <c r="DA64" i="19"/>
  <c r="CZ64" i="19"/>
  <c r="CY64" i="19"/>
  <c r="CW64" i="19"/>
  <c r="CV64" i="19"/>
  <c r="CU64" i="19"/>
  <c r="CT64" i="19"/>
  <c r="CS64" i="19"/>
  <c r="CR64" i="19"/>
  <c r="CQ64" i="19"/>
  <c r="CP64" i="19"/>
  <c r="CO64" i="19"/>
  <c r="CN64" i="19"/>
  <c r="CM64" i="19"/>
  <c r="CL64" i="19"/>
  <c r="CK64" i="19"/>
  <c r="CI64" i="19"/>
  <c r="CH64" i="19"/>
  <c r="CG64" i="19"/>
  <c r="CF64" i="19"/>
  <c r="CE64" i="19"/>
  <c r="CD64" i="19"/>
  <c r="CC64" i="19"/>
  <c r="CB64" i="19"/>
  <c r="CA64" i="19"/>
  <c r="BY64" i="19"/>
  <c r="BX64" i="19"/>
  <c r="BV64" i="19"/>
  <c r="BU64" i="19"/>
  <c r="BT64" i="19"/>
  <c r="BR64" i="19"/>
  <c r="BQ64" i="19"/>
  <c r="BP64" i="19"/>
  <c r="BO64" i="19"/>
  <c r="BN64" i="19"/>
  <c r="BL64" i="19"/>
  <c r="BK64" i="19"/>
  <c r="BJ64" i="19"/>
  <c r="BI64" i="19"/>
  <c r="BH64" i="19"/>
  <c r="BF64" i="19"/>
  <c r="BE64" i="19"/>
  <c r="U34" i="10" s="1"/>
  <c r="BD64" i="19"/>
  <c r="U28" i="10" s="1"/>
  <c r="BB64" i="19"/>
  <c r="BA64" i="19"/>
  <c r="AZ64" i="19"/>
  <c r="AX64" i="19"/>
  <c r="AW64" i="19"/>
  <c r="AV64" i="19"/>
  <c r="AU64" i="19"/>
  <c r="AT64" i="19"/>
  <c r="AR64" i="19"/>
  <c r="AQ64" i="19"/>
  <c r="AP64" i="19"/>
  <c r="AO64" i="19"/>
  <c r="AN64" i="19"/>
  <c r="AL64" i="19"/>
  <c r="AK64" i="19"/>
  <c r="AJ64" i="19"/>
  <c r="AH64" i="19"/>
  <c r="AG64" i="19"/>
  <c r="AF64" i="19"/>
  <c r="AE64" i="19"/>
  <c r="AD64" i="19"/>
  <c r="AC64" i="19"/>
  <c r="AB64" i="19"/>
  <c r="AA64" i="19"/>
  <c r="Z64" i="19"/>
  <c r="Y64" i="19"/>
  <c r="X64" i="19"/>
  <c r="W64" i="19"/>
  <c r="V64" i="19"/>
  <c r="U49" i="10" s="1"/>
  <c r="U64" i="19"/>
  <c r="T64" i="19"/>
  <c r="S64" i="19"/>
  <c r="R64" i="19"/>
  <c r="Q64" i="19"/>
  <c r="P64" i="19"/>
  <c r="N64" i="19"/>
  <c r="M64" i="19"/>
  <c r="L64" i="19"/>
  <c r="K64" i="19"/>
  <c r="J64" i="19"/>
  <c r="E57" i="10" l="1"/>
  <c r="E55" i="10"/>
  <c r="D29" i="20"/>
  <c r="C29" i="20"/>
  <c r="C32" i="20"/>
  <c r="X33" i="10"/>
  <c r="X28" i="10"/>
  <c r="W35" i="20"/>
  <c r="S35" i="20"/>
  <c r="C36" i="20"/>
  <c r="U42" i="10"/>
  <c r="X34" i="10" s="1"/>
  <c r="C30" i="20"/>
  <c r="U50" i="10"/>
  <c r="C7" i="20"/>
  <c r="D7" i="20"/>
  <c r="O7" i="20" s="1"/>
  <c r="S32" i="20"/>
  <c r="W32" i="20"/>
  <c r="EA64" i="19"/>
  <c r="U45" i="10" s="1"/>
  <c r="DY64" i="19"/>
  <c r="DX64" i="19"/>
  <c r="DR64" i="19"/>
  <c r="DP64" i="19"/>
  <c r="D10" i="20"/>
  <c r="K9" i="20"/>
  <c r="C10" i="20"/>
  <c r="C13" i="20"/>
  <c r="D13" i="20"/>
  <c r="H36" i="20"/>
  <c r="K34" i="20"/>
  <c r="D34" i="20"/>
  <c r="O34" i="20" s="1"/>
  <c r="D28" i="20"/>
  <c r="O28" i="20" s="1"/>
  <c r="W12" i="20"/>
  <c r="S12" i="20"/>
  <c r="O12" i="20"/>
  <c r="K12" i="20"/>
  <c r="E12" i="20"/>
  <c r="W7" i="20"/>
  <c r="W6" i="20"/>
  <c r="S6" i="20"/>
  <c r="O6" i="20"/>
  <c r="K6" i="20"/>
  <c r="E6" i="20"/>
  <c r="E34" i="20" l="1"/>
  <c r="W10" i="20"/>
  <c r="O10" i="20"/>
  <c r="S29" i="20"/>
  <c r="W29" i="20"/>
  <c r="W13" i="20"/>
  <c r="O13" i="20"/>
  <c r="K28" i="20"/>
  <c r="EC64" i="19"/>
  <c r="DS64" i="19"/>
  <c r="EB64" i="19"/>
  <c r="E28" i="20"/>
  <c r="S9" i="20"/>
  <c r="D31" i="20"/>
  <c r="O31" i="20" s="1"/>
  <c r="O9" i="20"/>
  <c r="E9" i="20"/>
  <c r="W9" i="20"/>
  <c r="E10" i="20"/>
  <c r="S7" i="20"/>
  <c r="E7" i="20"/>
  <c r="E13" i="20"/>
  <c r="W28" i="20"/>
  <c r="E29" i="20"/>
  <c r="W34" i="20"/>
  <c r="E35" i="20"/>
  <c r="K7" i="20"/>
  <c r="K13" i="20"/>
  <c r="S13" i="20"/>
  <c r="K29" i="20"/>
  <c r="K35" i="20"/>
  <c r="K10" i="20"/>
  <c r="S10" i="20"/>
  <c r="S28" i="20"/>
  <c r="O29" i="20"/>
  <c r="S34" i="20"/>
  <c r="O35" i="20"/>
  <c r="C33" i="20" l="1"/>
  <c r="U46" i="10"/>
  <c r="S31" i="20"/>
  <c r="K31" i="20"/>
  <c r="E31" i="20"/>
  <c r="W31" i="20"/>
  <c r="E32" i="20"/>
  <c r="K32" i="20"/>
  <c r="O32" i="20"/>
  <c r="F13" i="20"/>
  <c r="F12" i="20" s="1"/>
  <c r="F10" i="20" s="1"/>
  <c r="F9" i="20" s="1"/>
  <c r="F7" i="20" s="1"/>
  <c r="F6" i="20" s="1"/>
  <c r="F35" i="20"/>
  <c r="F34" i="20" s="1"/>
  <c r="H34" i="20"/>
  <c r="F32" i="20" l="1"/>
  <c r="F31" i="20" s="1"/>
  <c r="F29" i="20" s="1"/>
  <c r="F28" i="20" s="1"/>
  <c r="I35" i="20"/>
  <c r="H33" i="20"/>
  <c r="I34" i="20" s="1"/>
  <c r="H31" i="20" l="1"/>
  <c r="H30" i="20" l="1"/>
  <c r="I32" i="20"/>
  <c r="H28" i="20" l="1"/>
  <c r="I31" i="20"/>
  <c r="H27" i="20" l="1"/>
  <c r="L27" i="20" s="1"/>
  <c r="L28" i="20" s="1"/>
  <c r="I29" i="20"/>
  <c r="I40" i="20" s="1"/>
  <c r="I41" i="20" s="1"/>
  <c r="I28" i="20" l="1"/>
  <c r="I42" i="20" s="1"/>
  <c r="I43" i="20" s="1"/>
  <c r="M28" i="20"/>
  <c r="L30" i="20"/>
  <c r="L31" i="20" l="1"/>
  <c r="M29" i="20"/>
  <c r="L33" i="20" l="1"/>
  <c r="M31" i="20"/>
  <c r="M32" i="20" l="1"/>
  <c r="L34" i="20"/>
  <c r="L36" i="20" l="1"/>
  <c r="M34" i="20"/>
  <c r="M42" i="20" s="1"/>
  <c r="M43" i="20" s="1"/>
  <c r="W42" i="10" l="1"/>
  <c r="M35" i="20"/>
  <c r="M40" i="20" s="1"/>
  <c r="M41" i="20" s="1"/>
  <c r="Q45" i="20" s="1"/>
  <c r="U45" i="20" s="1"/>
  <c r="P34" i="20" l="1"/>
  <c r="P33" i="20" l="1"/>
  <c r="W46" i="10" s="1"/>
  <c r="Q35" i="20"/>
  <c r="P31" i="20" l="1"/>
  <c r="Q32" i="20" s="1"/>
  <c r="Q34" i="20"/>
  <c r="P30" i="20" l="1"/>
  <c r="W50" i="10" s="1"/>
  <c r="P28" i="20" l="1"/>
  <c r="Q31" i="20"/>
  <c r="P27" i="20" l="1"/>
  <c r="Q28" i="20" s="1"/>
  <c r="Q42" i="20" s="1"/>
  <c r="Q43" i="20" s="1"/>
  <c r="Q29" i="20"/>
  <c r="Q40" i="20" s="1"/>
  <c r="Q41" i="20" l="1"/>
  <c r="W58" i="10"/>
  <c r="W62" i="10" s="1"/>
  <c r="D61" i="19"/>
  <c r="D60"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D7" i="19"/>
  <c r="D6" i="19"/>
  <c r="W36" i="10"/>
  <c r="U33" i="10"/>
  <c r="U32" i="10"/>
  <c r="U36" i="10" l="1"/>
  <c r="C41" i="20" s="1"/>
  <c r="W26" i="10"/>
  <c r="U27" i="10"/>
  <c r="E56" i="10" s="1"/>
  <c r="U26" i="10"/>
  <c r="C64" i="19" l="1"/>
  <c r="H64" i="19"/>
  <c r="G64" i="19"/>
  <c r="F64" i="19"/>
  <c r="E64" i="19"/>
  <c r="C8" i="20"/>
  <c r="X36" i="10"/>
  <c r="U58" i="10" s="1"/>
  <c r="U62" i="10" s="1"/>
  <c r="U53" i="10" l="1"/>
  <c r="C5" i="20" s="1"/>
  <c r="H67" i="19"/>
  <c r="C14" i="20"/>
  <c r="H14" i="20" s="1"/>
  <c r="U44" i="10"/>
  <c r="U47" i="10" s="1"/>
  <c r="C11" i="20"/>
  <c r="U48" i="10"/>
  <c r="U51" i="10" s="1"/>
  <c r="U40" i="10"/>
  <c r="U43" i="10" s="1"/>
  <c r="H12" i="20" l="1"/>
  <c r="H11" i="20" s="1"/>
  <c r="H65" i="19"/>
  <c r="U9" i="10" s="1"/>
  <c r="G65" i="19"/>
  <c r="U8" i="10" s="1"/>
  <c r="F65" i="19"/>
  <c r="U7" i="10" s="1"/>
  <c r="E65" i="19"/>
  <c r="U6" i="10" s="1"/>
  <c r="I13" i="20" l="1"/>
  <c r="H68" i="19"/>
  <c r="I12" i="20"/>
  <c r="H9" i="20"/>
  <c r="F23" i="18"/>
  <c r="F22" i="18"/>
  <c r="F21" i="18"/>
  <c r="F6" i="18"/>
  <c r="F3" i="18"/>
  <c r="F26" i="18"/>
  <c r="F20" i="18"/>
  <c r="F14" i="18"/>
  <c r="F8" i="18"/>
  <c r="F2" i="18"/>
  <c r="I10" i="20" l="1"/>
  <c r="H8" i="20"/>
  <c r="I9" i="20" s="1"/>
  <c r="X18" i="10"/>
  <c r="X17" i="10"/>
  <c r="X16" i="10"/>
  <c r="J36" i="1"/>
  <c r="N36" i="1"/>
  <c r="J37" i="1"/>
  <c r="N37" i="1"/>
  <c r="J38" i="1"/>
  <c r="M38" i="1"/>
  <c r="J39" i="1"/>
  <c r="M39" i="1"/>
  <c r="N39" i="1" s="1"/>
  <c r="J40" i="1"/>
  <c r="L40" i="1"/>
  <c r="M40" i="1" s="1"/>
  <c r="N40" i="1" s="1"/>
  <c r="J41" i="1"/>
  <c r="L41" i="1"/>
  <c r="N41" i="1"/>
  <c r="N38" i="1" l="1"/>
  <c r="X10" i="10"/>
  <c r="Y10" i="10"/>
  <c r="H6" i="20"/>
  <c r="I7" i="20" s="1"/>
  <c r="I16" i="20" s="1"/>
  <c r="I17" i="20" s="1"/>
  <c r="F13" i="18"/>
  <c r="U10" i="10"/>
  <c r="F7" i="18" s="1"/>
  <c r="H5" i="20" l="1"/>
  <c r="L5" i="20" s="1"/>
  <c r="Y6" i="10"/>
  <c r="F27" i="18" s="1"/>
  <c r="Y7" i="10"/>
  <c r="F28" i="18" s="1"/>
  <c r="L6" i="20" l="1"/>
  <c r="M6" i="20" s="1"/>
  <c r="I6" i="20"/>
  <c r="I18" i="20" s="1"/>
  <c r="I19" i="20" s="1"/>
  <c r="Y8" i="10"/>
  <c r="F29" i="18" s="1"/>
  <c r="L8" i="20" l="1"/>
  <c r="L9" i="20"/>
  <c r="M7" i="20"/>
  <c r="C34" i="17"/>
  <c r="C29" i="17"/>
  <c r="C28" i="17"/>
  <c r="C27" i="17"/>
  <c r="E10" i="17"/>
  <c r="E9" i="17"/>
  <c r="I9" i="17" s="1"/>
  <c r="E8" i="17"/>
  <c r="J8" i="17" s="1"/>
  <c r="E7" i="17"/>
  <c r="K7" i="17" s="1"/>
  <c r="E6" i="17"/>
  <c r="K6" i="17" s="1"/>
  <c r="E5" i="17"/>
  <c r="J5" i="17" s="1"/>
  <c r="D4" i="17"/>
  <c r="E4" i="17" s="1"/>
  <c r="L90" i="16"/>
  <c r="L89" i="16"/>
  <c r="L88" i="16"/>
  <c r="L87" i="16"/>
  <c r="L86" i="16"/>
  <c r="L85" i="16"/>
  <c r="L84" i="16"/>
  <c r="L83" i="16"/>
  <c r="L82" i="16"/>
  <c r="L81" i="16"/>
  <c r="L80" i="16"/>
  <c r="H48" i="16"/>
  <c r="H62" i="16" s="1"/>
  <c r="B89" i="16" s="1"/>
  <c r="G48" i="16"/>
  <c r="G62" i="16" s="1"/>
  <c r="F48" i="16"/>
  <c r="F62" i="16" s="1"/>
  <c r="H47" i="16"/>
  <c r="H61" i="16" s="1"/>
  <c r="B88" i="16" s="1"/>
  <c r="G47" i="16"/>
  <c r="G61" i="16" s="1"/>
  <c r="F47" i="16"/>
  <c r="F61" i="16" s="1"/>
  <c r="H46" i="16"/>
  <c r="H60" i="16" s="1"/>
  <c r="B87" i="16" s="1"/>
  <c r="G46" i="16"/>
  <c r="G60" i="16" s="1"/>
  <c r="F46" i="16"/>
  <c r="F60" i="16" s="1"/>
  <c r="H45" i="16"/>
  <c r="H59" i="16" s="1"/>
  <c r="B86" i="16" s="1"/>
  <c r="K101" i="16" s="1"/>
  <c r="G45" i="16"/>
  <c r="G59" i="16" s="1"/>
  <c r="F45" i="16"/>
  <c r="F59" i="16" s="1"/>
  <c r="H44" i="16"/>
  <c r="H58" i="16" s="1"/>
  <c r="B85" i="16" s="1"/>
  <c r="G44" i="16"/>
  <c r="G58" i="16" s="1"/>
  <c r="F44" i="16"/>
  <c r="F58" i="16" s="1"/>
  <c r="H43" i="16"/>
  <c r="H57" i="16" s="1"/>
  <c r="B84" i="16" s="1"/>
  <c r="G43" i="16"/>
  <c r="G57" i="16" s="1"/>
  <c r="F43" i="16"/>
  <c r="F57" i="16" s="1"/>
  <c r="H42" i="16"/>
  <c r="H56" i="16" s="1"/>
  <c r="B83" i="16" s="1"/>
  <c r="G42" i="16"/>
  <c r="G56" i="16" s="1"/>
  <c r="F42" i="16"/>
  <c r="F56" i="16" s="1"/>
  <c r="H41" i="16"/>
  <c r="H55" i="16" s="1"/>
  <c r="B82" i="16" s="1"/>
  <c r="H97" i="16" s="1"/>
  <c r="G41" i="16"/>
  <c r="G55" i="16" s="1"/>
  <c r="F41" i="16"/>
  <c r="F55" i="16" s="1"/>
  <c r="H40" i="16"/>
  <c r="H54" i="16" s="1"/>
  <c r="G40" i="16"/>
  <c r="G54" i="16" s="1"/>
  <c r="F40" i="16"/>
  <c r="F54" i="16" s="1"/>
  <c r="H39" i="16"/>
  <c r="H53" i="16" s="1"/>
  <c r="B80" i="16" s="1"/>
  <c r="G39" i="16"/>
  <c r="G53" i="16" s="1"/>
  <c r="F39" i="16"/>
  <c r="F53" i="16" s="1"/>
  <c r="B35" i="16"/>
  <c r="B30" i="16"/>
  <c r="D48" i="16" s="1"/>
  <c r="D62" i="16" s="1"/>
  <c r="B29" i="16"/>
  <c r="C48" i="16" s="1"/>
  <c r="C62" i="16" s="1"/>
  <c r="B28" i="16"/>
  <c r="B41" i="16" s="1"/>
  <c r="B24" i="16"/>
  <c r="D34" i="16" s="1"/>
  <c r="V21" i="10"/>
  <c r="U21" i="10"/>
  <c r="M85" i="15"/>
  <c r="M84" i="15"/>
  <c r="G84" i="15"/>
  <c r="G83" i="15"/>
  <c r="M81" i="15"/>
  <c r="L39" i="1" s="1"/>
  <c r="K81" i="15"/>
  <c r="E81" i="15"/>
  <c r="M80" i="15"/>
  <c r="L38" i="1" s="1"/>
  <c r="W10" i="10" s="1"/>
  <c r="G80" i="15"/>
  <c r="G79" i="15"/>
  <c r="M44" i="15"/>
  <c r="L44" i="15"/>
  <c r="K44" i="15"/>
  <c r="G44" i="15"/>
  <c r="F44" i="15"/>
  <c r="E44" i="15"/>
  <c r="D44" i="15"/>
  <c r="C44" i="15"/>
  <c r="N43" i="15"/>
  <c r="M43" i="15"/>
  <c r="L43" i="15"/>
  <c r="K43" i="15"/>
  <c r="G43" i="15"/>
  <c r="F43" i="15"/>
  <c r="E43" i="15"/>
  <c r="D43" i="15"/>
  <c r="C43" i="15"/>
  <c r="N42" i="15"/>
  <c r="K78" i="15" s="1"/>
  <c r="M42" i="15"/>
  <c r="L42" i="15"/>
  <c r="K42" i="15"/>
  <c r="G42" i="15"/>
  <c r="E78" i="15" s="1"/>
  <c r="F42" i="15"/>
  <c r="E42" i="15"/>
  <c r="D42" i="15"/>
  <c r="C42" i="15"/>
  <c r="N41" i="15"/>
  <c r="M41" i="15"/>
  <c r="L41" i="15"/>
  <c r="K41" i="15"/>
  <c r="G41" i="15"/>
  <c r="F41" i="15"/>
  <c r="E41" i="15"/>
  <c r="D41" i="15"/>
  <c r="C41" i="15"/>
  <c r="N40" i="15"/>
  <c r="M40" i="15"/>
  <c r="L40" i="15"/>
  <c r="K40" i="15"/>
  <c r="G40" i="15"/>
  <c r="F40" i="15"/>
  <c r="E40" i="15"/>
  <c r="D40" i="15"/>
  <c r="C40" i="15"/>
  <c r="N39" i="15"/>
  <c r="M39" i="15"/>
  <c r="L39" i="15"/>
  <c r="K39" i="15"/>
  <c r="G39" i="15"/>
  <c r="F39" i="15"/>
  <c r="E39" i="15"/>
  <c r="D39" i="15"/>
  <c r="C39" i="15"/>
  <c r="N38" i="15"/>
  <c r="M38" i="15"/>
  <c r="L38" i="15"/>
  <c r="K38" i="15"/>
  <c r="G38" i="15"/>
  <c r="F38" i="15"/>
  <c r="E38" i="15"/>
  <c r="D38" i="15"/>
  <c r="C38" i="15"/>
  <c r="N37" i="15"/>
  <c r="M37" i="15"/>
  <c r="L37" i="15"/>
  <c r="K37" i="15"/>
  <c r="G37" i="15"/>
  <c r="F37" i="15"/>
  <c r="E37" i="15"/>
  <c r="D37" i="15"/>
  <c r="C37" i="15"/>
  <c r="N36" i="15"/>
  <c r="K80" i="15" s="1"/>
  <c r="M36" i="15"/>
  <c r="L36" i="15"/>
  <c r="K36" i="15"/>
  <c r="C36" i="15"/>
  <c r="N35" i="15"/>
  <c r="M35" i="15"/>
  <c r="L35" i="15"/>
  <c r="K35" i="15"/>
  <c r="G35" i="15"/>
  <c r="F35" i="15"/>
  <c r="E35" i="15"/>
  <c r="D35" i="15"/>
  <c r="C35" i="15"/>
  <c r="N34" i="15"/>
  <c r="M34" i="15"/>
  <c r="L34" i="15"/>
  <c r="K34" i="15"/>
  <c r="G34" i="15"/>
  <c r="F34" i="15"/>
  <c r="E34" i="15"/>
  <c r="D34" i="15"/>
  <c r="C34" i="15"/>
  <c r="N33" i="15"/>
  <c r="K85" i="15" s="1"/>
  <c r="M33" i="15"/>
  <c r="L33" i="15"/>
  <c r="K33" i="15"/>
  <c r="G33" i="15"/>
  <c r="E84" i="15" s="1"/>
  <c r="F33" i="15"/>
  <c r="E33" i="15"/>
  <c r="D33" i="15"/>
  <c r="C33" i="15"/>
  <c r="N32" i="15"/>
  <c r="M32" i="15"/>
  <c r="L32" i="15"/>
  <c r="K32" i="15"/>
  <c r="C32" i="15"/>
  <c r="N31" i="15"/>
  <c r="M31" i="15"/>
  <c r="L31" i="15"/>
  <c r="K31" i="15"/>
  <c r="G31" i="15"/>
  <c r="F31" i="15"/>
  <c r="E31" i="15"/>
  <c r="D31" i="15"/>
  <c r="C31" i="15"/>
  <c r="N30" i="15"/>
  <c r="M30" i="15"/>
  <c r="L30" i="15"/>
  <c r="K30" i="15"/>
  <c r="G30" i="15"/>
  <c r="F30" i="15"/>
  <c r="E30" i="15"/>
  <c r="D30" i="15"/>
  <c r="C30" i="15"/>
  <c r="N29" i="15"/>
  <c r="M29" i="15"/>
  <c r="L29" i="15"/>
  <c r="K29" i="15"/>
  <c r="G29" i="15"/>
  <c r="F29" i="15"/>
  <c r="E29" i="15"/>
  <c r="D29" i="15"/>
  <c r="C29" i="15"/>
  <c r="N28" i="15"/>
  <c r="K79" i="15" s="1"/>
  <c r="M28" i="15"/>
  <c r="L28" i="15"/>
  <c r="K28" i="15"/>
  <c r="C28" i="15"/>
  <c r="M22" i="15"/>
  <c r="M45" i="15" s="1"/>
  <c r="L22" i="15"/>
  <c r="L45" i="15" s="1"/>
  <c r="K22" i="15"/>
  <c r="K45" i="15" s="1"/>
  <c r="N21" i="15"/>
  <c r="N44" i="15" s="1"/>
  <c r="K82" i="15" s="1"/>
  <c r="G13" i="15"/>
  <c r="G36" i="15" s="1"/>
  <c r="F13" i="15"/>
  <c r="F36" i="15" s="1"/>
  <c r="E13" i="15"/>
  <c r="E36" i="15" s="1"/>
  <c r="D13" i="15"/>
  <c r="D36" i="15" s="1"/>
  <c r="G9" i="15"/>
  <c r="G32" i="15" s="1"/>
  <c r="F9" i="15"/>
  <c r="F32" i="15" s="1"/>
  <c r="E9" i="15"/>
  <c r="E32" i="15" s="1"/>
  <c r="D9" i="15"/>
  <c r="D32" i="15" s="1"/>
  <c r="G5" i="15"/>
  <c r="G28" i="15" s="1"/>
  <c r="E79" i="15" s="1"/>
  <c r="F5" i="15"/>
  <c r="F28" i="15" s="1"/>
  <c r="E5" i="15"/>
  <c r="E28" i="15" s="1"/>
  <c r="D5" i="15"/>
  <c r="D28" i="15" s="1"/>
  <c r="L11" i="20" l="1"/>
  <c r="M9" i="20"/>
  <c r="F19" i="18"/>
  <c r="I8" i="17"/>
  <c r="E83" i="15"/>
  <c r="K84" i="15"/>
  <c r="F63" i="16"/>
  <c r="B71" i="16" s="1"/>
  <c r="E71" i="16" s="1"/>
  <c r="B42" i="16"/>
  <c r="B56" i="16" s="1"/>
  <c r="B43" i="16"/>
  <c r="B44" i="16"/>
  <c r="B58" i="16" s="1"/>
  <c r="B45" i="16"/>
  <c r="B59" i="16" s="1"/>
  <c r="B46" i="16"/>
  <c r="B60" i="16" s="1"/>
  <c r="B47" i="16"/>
  <c r="B48" i="16"/>
  <c r="B62" i="16" s="1"/>
  <c r="G10" i="17"/>
  <c r="D41" i="16"/>
  <c r="D55" i="16" s="1"/>
  <c r="D31" i="16"/>
  <c r="D45" i="16"/>
  <c r="D59" i="16" s="1"/>
  <c r="H5" i="17"/>
  <c r="K8" i="17"/>
  <c r="G8" i="17"/>
  <c r="K5" i="17"/>
  <c r="F8" i="17"/>
  <c r="F9" i="17"/>
  <c r="H10" i="17"/>
  <c r="E80" i="15"/>
  <c r="B39" i="16"/>
  <c r="B40" i="16"/>
  <c r="B54" i="16" s="1"/>
  <c r="H8" i="17"/>
  <c r="H9" i="17"/>
  <c r="I10" i="17"/>
  <c r="I4" i="17"/>
  <c r="H4" i="17"/>
  <c r="G4" i="17"/>
  <c r="J4" i="17"/>
  <c r="E11" i="17"/>
  <c r="E12" i="17" s="1"/>
  <c r="F4" i="17"/>
  <c r="K4" i="17"/>
  <c r="G9" i="17"/>
  <c r="F7" i="17"/>
  <c r="F6" i="17"/>
  <c r="G7" i="17"/>
  <c r="J10" i="17"/>
  <c r="F5" i="17"/>
  <c r="G6" i="17"/>
  <c r="H7" i="17"/>
  <c r="J9" i="17"/>
  <c r="K10" i="17"/>
  <c r="G5" i="17"/>
  <c r="H6" i="17"/>
  <c r="I7" i="17"/>
  <c r="K9" i="17"/>
  <c r="I6" i="17"/>
  <c r="J7" i="17"/>
  <c r="I5" i="17"/>
  <c r="J6" i="17"/>
  <c r="F10" i="17"/>
  <c r="H98" i="16"/>
  <c r="F98" i="16"/>
  <c r="G98" i="16"/>
  <c r="J98" i="16"/>
  <c r="B98" i="16"/>
  <c r="I98" i="16"/>
  <c r="K98" i="16"/>
  <c r="E98" i="16"/>
  <c r="D98" i="16"/>
  <c r="C98" i="16"/>
  <c r="E99" i="16"/>
  <c r="K99" i="16"/>
  <c r="D99" i="16"/>
  <c r="C99" i="16"/>
  <c r="G99" i="16"/>
  <c r="F99" i="16"/>
  <c r="H99" i="16"/>
  <c r="B99" i="16"/>
  <c r="J99" i="16"/>
  <c r="I99" i="16"/>
  <c r="E62" i="16"/>
  <c r="I62" i="16" s="1"/>
  <c r="C122" i="16"/>
  <c r="C121" i="16"/>
  <c r="B81" i="16"/>
  <c r="C120" i="16"/>
  <c r="C123" i="16"/>
  <c r="J100" i="16"/>
  <c r="B100" i="16"/>
  <c r="I100" i="16"/>
  <c r="H100" i="16"/>
  <c r="D100" i="16"/>
  <c r="K100" i="16"/>
  <c r="C100" i="16"/>
  <c r="G100" i="16"/>
  <c r="F100" i="16"/>
  <c r="E100" i="16"/>
  <c r="I103" i="16"/>
  <c r="H103" i="16"/>
  <c r="G103" i="16"/>
  <c r="K103" i="16"/>
  <c r="C103" i="16"/>
  <c r="J103" i="16"/>
  <c r="B103" i="16"/>
  <c r="E103" i="16"/>
  <c r="D103" i="16"/>
  <c r="F103" i="16"/>
  <c r="D102" i="16"/>
  <c r="J102" i="16"/>
  <c r="K102" i="16"/>
  <c r="C102" i="16"/>
  <c r="B102" i="16"/>
  <c r="F102" i="16"/>
  <c r="E102" i="16"/>
  <c r="I102" i="16"/>
  <c r="H102" i="16"/>
  <c r="G102" i="16"/>
  <c r="F104" i="16"/>
  <c r="E104" i="16"/>
  <c r="D104" i="16"/>
  <c r="H104" i="16"/>
  <c r="G104" i="16"/>
  <c r="K104" i="16"/>
  <c r="J104" i="16"/>
  <c r="I104" i="16"/>
  <c r="C104" i="16"/>
  <c r="B104" i="16"/>
  <c r="I95" i="16"/>
  <c r="G95" i="16"/>
  <c r="H95" i="16"/>
  <c r="K95" i="16"/>
  <c r="C95" i="16"/>
  <c r="J95" i="16"/>
  <c r="B95" i="16"/>
  <c r="F95" i="16"/>
  <c r="E95" i="16"/>
  <c r="D95" i="16"/>
  <c r="C39" i="16"/>
  <c r="C43" i="16"/>
  <c r="C57" i="16" s="1"/>
  <c r="C47" i="16"/>
  <c r="C61" i="16" s="1"/>
  <c r="J101" i="16"/>
  <c r="D39" i="16"/>
  <c r="D43" i="16"/>
  <c r="D57" i="16" s="1"/>
  <c r="D47" i="16"/>
  <c r="D61" i="16" s="1"/>
  <c r="C71" i="16"/>
  <c r="C42" i="16"/>
  <c r="C56" i="16" s="1"/>
  <c r="C46" i="16"/>
  <c r="C60" i="16" s="1"/>
  <c r="K97" i="16"/>
  <c r="C97" i="16"/>
  <c r="J97" i="16"/>
  <c r="B97" i="16"/>
  <c r="I97" i="16"/>
  <c r="E97" i="16"/>
  <c r="D97" i="16"/>
  <c r="G101" i="16"/>
  <c r="E101" i="16"/>
  <c r="F101" i="16"/>
  <c r="I101" i="16"/>
  <c r="H101" i="16"/>
  <c r="H63" i="16"/>
  <c r="B73" i="16" s="1"/>
  <c r="G63" i="16"/>
  <c r="B72" i="16" s="1"/>
  <c r="D42" i="16"/>
  <c r="D56" i="16" s="1"/>
  <c r="D46" i="16"/>
  <c r="D60" i="16" s="1"/>
  <c r="D30" i="16"/>
  <c r="C41" i="16"/>
  <c r="C55" i="16" s="1"/>
  <c r="C45" i="16"/>
  <c r="C59" i="16" s="1"/>
  <c r="B101" i="16"/>
  <c r="C40" i="16"/>
  <c r="C54" i="16" s="1"/>
  <c r="C44" i="16"/>
  <c r="C58" i="16" s="1"/>
  <c r="H49" i="16"/>
  <c r="F97" i="16"/>
  <c r="C101" i="16"/>
  <c r="D40" i="16"/>
  <c r="D54" i="16" s="1"/>
  <c r="D44" i="16"/>
  <c r="D58" i="16" s="1"/>
  <c r="B55" i="16"/>
  <c r="B57" i="16"/>
  <c r="B61" i="16"/>
  <c r="G97" i="16"/>
  <c r="D101" i="16"/>
  <c r="D29" i="16"/>
  <c r="D33" i="16"/>
  <c r="F49" i="16"/>
  <c r="D32" i="16"/>
  <c r="D28" i="16"/>
  <c r="G49" i="16"/>
  <c r="N22" i="15"/>
  <c r="N45" i="15" s="1"/>
  <c r="E48" i="16" l="1"/>
  <c r="I48" i="16" s="1"/>
  <c r="T37" i="20"/>
  <c r="H37" i="20"/>
  <c r="C38" i="20"/>
  <c r="X36" i="20" s="1"/>
  <c r="L37" i="20"/>
  <c r="M10" i="20"/>
  <c r="L12" i="20"/>
  <c r="F25" i="18"/>
  <c r="F31" i="18"/>
  <c r="D35" i="16"/>
  <c r="E56" i="16"/>
  <c r="I56" i="16" s="1"/>
  <c r="D71" i="16"/>
  <c r="E59" i="16"/>
  <c r="I59" i="16" s="1"/>
  <c r="F71" i="16"/>
  <c r="E61" i="16"/>
  <c r="I61" i="16" s="1"/>
  <c r="E47" i="16"/>
  <c r="I47" i="16" s="1"/>
  <c r="B49" i="16"/>
  <c r="L104" i="16"/>
  <c r="L103" i="16"/>
  <c r="L100" i="16"/>
  <c r="E39" i="16"/>
  <c r="I39" i="16" s="1"/>
  <c r="B53" i="16"/>
  <c r="B63" i="16" s="1"/>
  <c r="B67" i="16" s="1"/>
  <c r="E54" i="16"/>
  <c r="I54" i="16" s="1"/>
  <c r="E60" i="16"/>
  <c r="I60" i="16" s="1"/>
  <c r="G11" i="17"/>
  <c r="G12" i="17" s="1"/>
  <c r="K11" i="17"/>
  <c r="K12" i="17" s="1"/>
  <c r="F11" i="17"/>
  <c r="F12" i="17"/>
  <c r="J11" i="17"/>
  <c r="J12" i="17" s="1"/>
  <c r="H11" i="17"/>
  <c r="H12" i="17" s="1"/>
  <c r="I11" i="17"/>
  <c r="I12" i="17" s="1"/>
  <c r="C124" i="16"/>
  <c r="G120" i="16"/>
  <c r="E120" i="16"/>
  <c r="F120" i="16"/>
  <c r="D120" i="16"/>
  <c r="C49" i="16"/>
  <c r="C53" i="16"/>
  <c r="C63" i="16" s="1"/>
  <c r="B68" i="16" s="1"/>
  <c r="L95" i="16"/>
  <c r="F96" i="16"/>
  <c r="F105" i="16" s="1"/>
  <c r="C112" i="16" s="1"/>
  <c r="E96" i="16"/>
  <c r="E105" i="16" s="1"/>
  <c r="C111" i="16" s="1"/>
  <c r="D96" i="16"/>
  <c r="H96" i="16"/>
  <c r="H105" i="16" s="1"/>
  <c r="C114" i="16" s="1"/>
  <c r="G96" i="16"/>
  <c r="G105" i="16" s="1"/>
  <c r="C113" i="16" s="1"/>
  <c r="K96" i="16"/>
  <c r="K105" i="16" s="1"/>
  <c r="J96" i="16"/>
  <c r="J105" i="16" s="1"/>
  <c r="C117" i="16" s="1"/>
  <c r="I96" i="16"/>
  <c r="I105" i="16" s="1"/>
  <c r="C116" i="16" s="1"/>
  <c r="C96" i="16"/>
  <c r="B96" i="16"/>
  <c r="B105" i="16" s="1"/>
  <c r="E57" i="16"/>
  <c r="I57" i="16" s="1"/>
  <c r="L101" i="16"/>
  <c r="E40" i="16"/>
  <c r="I40" i="16" s="1"/>
  <c r="L97" i="16"/>
  <c r="E46" i="16"/>
  <c r="I46" i="16" s="1"/>
  <c r="E44" i="16"/>
  <c r="I44" i="16" s="1"/>
  <c r="D121" i="16"/>
  <c r="E121" i="16"/>
  <c r="G121" i="16"/>
  <c r="F121" i="16"/>
  <c r="E55" i="16"/>
  <c r="I55" i="16" s="1"/>
  <c r="E45" i="16"/>
  <c r="I45" i="16" s="1"/>
  <c r="B90" i="16"/>
  <c r="E122" i="16"/>
  <c r="D122" i="16"/>
  <c r="G122" i="16"/>
  <c r="F122" i="16"/>
  <c r="L99" i="16"/>
  <c r="E42" i="16"/>
  <c r="I42" i="16" s="1"/>
  <c r="D105" i="16"/>
  <c r="C110" i="16" s="1"/>
  <c r="E41" i="16"/>
  <c r="I41" i="16" s="1"/>
  <c r="D53" i="16"/>
  <c r="D63" i="16" s="1"/>
  <c r="B69" i="16" s="1"/>
  <c r="D49" i="16"/>
  <c r="F72" i="16"/>
  <c r="D72" i="16"/>
  <c r="E72" i="16"/>
  <c r="C72" i="16"/>
  <c r="E43" i="16"/>
  <c r="I43" i="16" s="1"/>
  <c r="E58" i="16"/>
  <c r="I58" i="16" s="1"/>
  <c r="C73" i="16"/>
  <c r="F73" i="16"/>
  <c r="E73" i="16"/>
  <c r="D73" i="16"/>
  <c r="L102" i="16"/>
  <c r="F123" i="16"/>
  <c r="G123" i="16"/>
  <c r="E123" i="16"/>
  <c r="D123" i="16"/>
  <c r="L98" i="16"/>
  <c r="Y42" i="10" l="1"/>
  <c r="X34" i="20"/>
  <c r="Y35" i="20"/>
  <c r="T36" i="20"/>
  <c r="L14" i="20"/>
  <c r="M13" i="20" s="1"/>
  <c r="M16" i="20" s="1"/>
  <c r="M17" i="20" s="1"/>
  <c r="M12" i="20"/>
  <c r="M18" i="20" s="1"/>
  <c r="D124" i="16"/>
  <c r="H20" i="17"/>
  <c r="H16" i="17"/>
  <c r="H21" i="17"/>
  <c r="H17" i="17"/>
  <c r="H22" i="17"/>
  <c r="H18" i="17"/>
  <c r="H19" i="17"/>
  <c r="G20" i="17"/>
  <c r="G16" i="17"/>
  <c r="G21" i="17"/>
  <c r="G17" i="17"/>
  <c r="G22" i="17"/>
  <c r="G18" i="17"/>
  <c r="G19" i="17"/>
  <c r="E19" i="17"/>
  <c r="E22" i="17"/>
  <c r="E18" i="17"/>
  <c r="E20" i="17"/>
  <c r="E16" i="17"/>
  <c r="E21" i="17"/>
  <c r="E17" i="17"/>
  <c r="D22" i="17"/>
  <c r="D18" i="17"/>
  <c r="D19" i="17"/>
  <c r="D20" i="17"/>
  <c r="D16" i="17"/>
  <c r="D21" i="17"/>
  <c r="D17" i="17"/>
  <c r="C22" i="17"/>
  <c r="C18" i="17"/>
  <c r="C19" i="17"/>
  <c r="C20" i="17"/>
  <c r="C16" i="17"/>
  <c r="C21" i="17"/>
  <c r="C17" i="17"/>
  <c r="F19" i="17"/>
  <c r="F20" i="17"/>
  <c r="F16" i="17"/>
  <c r="F21" i="17"/>
  <c r="F17" i="17"/>
  <c r="F22" i="17"/>
  <c r="F18" i="17"/>
  <c r="D113" i="16"/>
  <c r="G113" i="16"/>
  <c r="F113" i="16"/>
  <c r="G13" i="1" s="1"/>
  <c r="E113" i="16"/>
  <c r="D111" i="16"/>
  <c r="F111" i="16"/>
  <c r="G11" i="1" s="1"/>
  <c r="E111" i="16"/>
  <c r="G111" i="16"/>
  <c r="G112" i="16"/>
  <c r="F112" i="16"/>
  <c r="G12" i="1" s="1"/>
  <c r="E112" i="16"/>
  <c r="D112" i="16"/>
  <c r="E114" i="16"/>
  <c r="D114" i="16"/>
  <c r="G114" i="16"/>
  <c r="F114" i="16"/>
  <c r="G17" i="1" s="1"/>
  <c r="C118" i="16"/>
  <c r="E116" i="16"/>
  <c r="D116" i="16"/>
  <c r="G116" i="16"/>
  <c r="F116" i="16"/>
  <c r="G16" i="1" s="1"/>
  <c r="F117" i="16"/>
  <c r="G15" i="1" s="1"/>
  <c r="E117" i="16"/>
  <c r="D117" i="16"/>
  <c r="G117" i="16"/>
  <c r="E69" i="16"/>
  <c r="D69" i="16"/>
  <c r="C69" i="16"/>
  <c r="F69" i="16"/>
  <c r="E49" i="16"/>
  <c r="I49" i="16" s="1"/>
  <c r="G110" i="16"/>
  <c r="F110" i="16"/>
  <c r="G14" i="1" s="1"/>
  <c r="C115" i="16"/>
  <c r="C125" i="16" s="1"/>
  <c r="E110" i="16"/>
  <c r="D110" i="16"/>
  <c r="L96" i="16"/>
  <c r="F124" i="16"/>
  <c r="E124" i="16"/>
  <c r="E67" i="16"/>
  <c r="F67" i="16"/>
  <c r="B70" i="16"/>
  <c r="C67" i="16"/>
  <c r="D67" i="16"/>
  <c r="C105" i="16"/>
  <c r="L105" i="16" s="1"/>
  <c r="G124" i="16"/>
  <c r="E53" i="16"/>
  <c r="D68" i="16"/>
  <c r="E68" i="16"/>
  <c r="C68" i="16"/>
  <c r="F68" i="16"/>
  <c r="X42" i="10" l="1"/>
  <c r="T34" i="20"/>
  <c r="X33" i="20"/>
  <c r="Y34" i="20"/>
  <c r="M19" i="20"/>
  <c r="E115" i="16"/>
  <c r="E118" i="16"/>
  <c r="E119" i="16"/>
  <c r="F70" i="16"/>
  <c r="B74" i="16"/>
  <c r="D70" i="16"/>
  <c r="C70" i="16"/>
  <c r="E70" i="16"/>
  <c r="C119" i="16"/>
  <c r="F115" i="16"/>
  <c r="G115" i="16"/>
  <c r="E63" i="16"/>
  <c r="I53" i="16"/>
  <c r="I63" i="16" s="1"/>
  <c r="F118" i="16"/>
  <c r="G118" i="16"/>
  <c r="G119" i="16" s="1"/>
  <c r="D115" i="16"/>
  <c r="D118" i="16"/>
  <c r="Y46" i="10" l="1"/>
  <c r="X31" i="20"/>
  <c r="U35" i="20"/>
  <c r="T33" i="20"/>
  <c r="D125" i="16"/>
  <c r="F125" i="16"/>
  <c r="E125" i="16"/>
  <c r="D119" i="16"/>
  <c r="F119" i="16"/>
  <c r="D74" i="16"/>
  <c r="C74" i="16"/>
  <c r="F74" i="16"/>
  <c r="E74" i="16"/>
  <c r="G125" i="16"/>
  <c r="X46" i="10" l="1"/>
  <c r="T31" i="20"/>
  <c r="U32" i="20"/>
  <c r="Y32" i="20"/>
  <c r="X30" i="20"/>
  <c r="Y31" i="20" s="1"/>
  <c r="U34" i="20"/>
  <c r="X30" i="10"/>
  <c r="U57" i="10" s="1"/>
  <c r="T30" i="20" l="1"/>
  <c r="U31" i="20"/>
  <c r="X28" i="20"/>
  <c r="X27" i="20" s="1"/>
  <c r="Y28" i="20" s="1"/>
  <c r="Y42" i="20" s="1"/>
  <c r="Y43" i="20" s="1"/>
  <c r="Y50" i="10"/>
  <c r="U61" i="10"/>
  <c r="U56" i="10"/>
  <c r="U30" i="10"/>
  <c r="F70" i="10" s="1"/>
  <c r="Y29" i="20" l="1"/>
  <c r="Y40" i="20" s="1"/>
  <c r="X50" i="10"/>
  <c r="T28" i="20"/>
  <c r="U59" i="10"/>
  <c r="U63" i="10" s="1"/>
  <c r="U60" i="10"/>
  <c r="V8" i="10"/>
  <c r="F11" i="18" s="1"/>
  <c r="V9" i="10"/>
  <c r="F12" i="18" s="1"/>
  <c r="V7" i="10"/>
  <c r="F10" i="18" s="1"/>
  <c r="V6" i="10"/>
  <c r="F9" i="18" s="1"/>
  <c r="U29" i="20" l="1"/>
  <c r="U40" i="20" s="1"/>
  <c r="T27" i="20"/>
  <c r="U28" i="20" s="1"/>
  <c r="U42" i="20" s="1"/>
  <c r="U43" i="20" s="1"/>
  <c r="Y58" i="10"/>
  <c r="Y41" i="20"/>
  <c r="V11" i="10"/>
  <c r="AB41" i="10"/>
  <c r="AB39" i="10"/>
  <c r="Y32" i="10" l="1"/>
  <c r="Y62" i="10"/>
  <c r="U41" i="20"/>
  <c r="X58" i="10"/>
  <c r="X62" i="10" s="1"/>
  <c r="AD30" i="10"/>
  <c r="D23" i="10"/>
  <c r="AB35" i="10"/>
  <c r="AB42" i="10" l="1"/>
  <c r="O37" i="3"/>
  <c r="O36" i="3"/>
  <c r="O35" i="3"/>
  <c r="O34" i="3"/>
  <c r="AC39" i="10" l="1"/>
  <c r="AD39" i="10" s="1"/>
  <c r="AC41" i="10"/>
  <c r="AD41" i="10" s="1"/>
  <c r="AC36" i="10"/>
  <c r="AD36" i="10" s="1"/>
  <c r="F5" i="18"/>
  <c r="F4" i="18"/>
  <c r="X9" i="1"/>
  <c r="V10" i="1"/>
  <c r="W9" i="10" s="1"/>
  <c r="F18" i="18" s="1"/>
  <c r="V9" i="1"/>
  <c r="V8" i="1"/>
  <c r="W7" i="10" s="1"/>
  <c r="F16" i="18" s="1"/>
  <c r="X7" i="1"/>
  <c r="V7" i="1"/>
  <c r="W6" i="10" s="1"/>
  <c r="F15" i="18" s="1"/>
  <c r="AD42" i="10" l="1"/>
  <c r="W8" i="10"/>
  <c r="W9" i="1"/>
  <c r="X10" i="1"/>
  <c r="W10" i="1" s="1"/>
  <c r="X9" i="10" s="1"/>
  <c r="U11" i="10"/>
  <c r="W7" i="1"/>
  <c r="X8" i="1"/>
  <c r="A1" i="2"/>
  <c r="A1" i="1"/>
  <c r="W11" i="10" l="1"/>
  <c r="D20" i="10" s="1"/>
  <c r="F17" i="18"/>
  <c r="Y9" i="10"/>
  <c r="F30" i="18" s="1"/>
  <c r="F24" i="18"/>
  <c r="D19" i="10"/>
  <c r="W8" i="1"/>
  <c r="X11" i="10" s="1"/>
  <c r="Y11" i="10"/>
  <c r="P5" i="20" l="1"/>
  <c r="D22" i="10"/>
  <c r="X5" i="20"/>
  <c r="D21" i="10"/>
  <c r="T5" i="20"/>
  <c r="C21" i="2"/>
  <c r="W53" i="10" l="1"/>
  <c r="P6" i="20"/>
  <c r="X6" i="20"/>
  <c r="Y53" i="10"/>
  <c r="T6" i="20"/>
  <c r="X53" i="10"/>
  <c r="Q6" i="20" l="1"/>
  <c r="P8" i="20"/>
  <c r="Y6" i="20"/>
  <c r="X8" i="20"/>
  <c r="U6" i="20"/>
  <c r="T8" i="20"/>
  <c r="P9" i="20" l="1"/>
  <c r="W49" i="10"/>
  <c r="W48" i="10" s="1"/>
  <c r="W51" i="10" s="1"/>
  <c r="Q7" i="20"/>
  <c r="Y7" i="20"/>
  <c r="Y49" i="10"/>
  <c r="Y48" i="10" s="1"/>
  <c r="Y51" i="10" s="1"/>
  <c r="X9" i="20"/>
  <c r="T9" i="20"/>
  <c r="U7" i="20"/>
  <c r="X49" i="10"/>
  <c r="X48" i="10" s="1"/>
  <c r="X51" i="10" s="1"/>
  <c r="P11" i="20" l="1"/>
  <c r="Q9" i="20"/>
  <c r="X11" i="20"/>
  <c r="Y9" i="20"/>
  <c r="U9" i="20"/>
  <c r="T11" i="20"/>
  <c r="Q10" i="20" l="1"/>
  <c r="P12" i="20"/>
  <c r="W45" i="10"/>
  <c r="W44" i="10" s="1"/>
  <c r="W47" i="10" s="1"/>
  <c r="X12" i="20"/>
  <c r="Y10" i="20"/>
  <c r="Y45" i="10"/>
  <c r="Y44" i="10" s="1"/>
  <c r="Y47" i="10" s="1"/>
  <c r="T12" i="20"/>
  <c r="U10" i="20"/>
  <c r="X45" i="10"/>
  <c r="X44" i="10" s="1"/>
  <c r="X47" i="10" s="1"/>
  <c r="Q12" i="20" l="1"/>
  <c r="Q18" i="20" s="1"/>
  <c r="P14" i="20"/>
  <c r="Y12" i="20"/>
  <c r="Y18" i="20" s="1"/>
  <c r="X14" i="20"/>
  <c r="T14" i="20"/>
  <c r="U12" i="20"/>
  <c r="U18" i="20" s="1"/>
  <c r="U19" i="20" s="1"/>
  <c r="Q13" i="20" l="1"/>
  <c r="Q16" i="20" s="1"/>
  <c r="W41" i="10"/>
  <c r="W40" i="10" s="1"/>
  <c r="W43" i="10" s="1"/>
  <c r="Q19" i="20"/>
  <c r="Y13" i="20"/>
  <c r="Y16" i="20" s="1"/>
  <c r="Y41" i="10"/>
  <c r="Y40" i="10" s="1"/>
  <c r="Y43" i="10" s="1"/>
  <c r="Y19" i="20"/>
  <c r="X41" i="10"/>
  <c r="X40" i="10" s="1"/>
  <c r="X43" i="10" s="1"/>
  <c r="U13" i="20"/>
  <c r="U16" i="20" s="1"/>
  <c r="Q17" i="20" l="1"/>
  <c r="W57" i="10"/>
  <c r="Y17" i="20"/>
  <c r="Y57" i="10"/>
  <c r="U17" i="20"/>
  <c r="X57" i="10"/>
  <c r="W56" i="10" l="1"/>
  <c r="W59" i="10" s="1"/>
  <c r="W61" i="10"/>
  <c r="W60" i="10" s="1"/>
  <c r="W63" i="10" s="1"/>
  <c r="Y26" i="10"/>
  <c r="Y61" i="10"/>
  <c r="Y60" i="10" s="1"/>
  <c r="Y63" i="10" s="1"/>
  <c r="Y56" i="10"/>
  <c r="Y59" i="10" s="1"/>
  <c r="X56" i="10"/>
  <c r="X59" i="10" s="1"/>
  <c r="X61" i="10"/>
  <c r="X60" i="10" s="1"/>
  <c r="X6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xxx</author>
  </authors>
  <commentList>
    <comment ref="I1" authorId="0" shapeId="0" xr:uid="{29AF1EB5-9FA7-457D-9D15-D957FE259647}">
      <text>
        <r>
          <rPr>
            <b/>
            <u/>
            <sz val="9"/>
            <color indexed="81"/>
            <rFont val="Tahoma"/>
            <family val="2"/>
          </rPr>
          <t>Natural Production (eg)</t>
        </r>
        <r>
          <rPr>
            <b/>
            <sz val="9"/>
            <color indexed="81"/>
            <rFont val="Tahoma"/>
            <family val="2"/>
          </rPr>
          <t xml:space="preserve">
(current)
spawning ground survey 
dam count
weir count
EDT model (patient)
expert judgement
(historical)
Reference period estimate
EDT model (template)
Other model
Harvest expansion
???
(goals)
</t>
        </r>
        <r>
          <rPr>
            <b/>
            <u/>
            <sz val="9"/>
            <color indexed="81"/>
            <rFont val="Tahoma"/>
            <family val="2"/>
          </rPr>
          <t>Hatchery</t>
        </r>
        <r>
          <rPr>
            <b/>
            <sz val="9"/>
            <color indexed="81"/>
            <rFont val="Tahoma"/>
            <family val="2"/>
          </rPr>
          <t xml:space="preserve">
release
adult return</t>
        </r>
      </text>
    </comment>
    <comment ref="J1" authorId="0" shapeId="0" xr:uid="{A1C1FFBA-DF0D-48B3-AA1C-F4B725033C54}">
      <text>
        <r>
          <rPr>
            <b/>
            <sz val="9"/>
            <color indexed="81"/>
            <rFont val="Tahoma"/>
            <family val="2"/>
          </rPr>
          <t>if applicable</t>
        </r>
      </text>
    </comment>
    <comment ref="L1" authorId="0" shapeId="0" xr:uid="{247080F5-85BA-447A-8612-9E9A9013C240}">
      <text>
        <r>
          <rPr>
            <b/>
            <u/>
            <sz val="9"/>
            <color indexed="81"/>
            <rFont val="Tahoma"/>
            <family val="2"/>
          </rPr>
          <t>Reference (short form)</t>
        </r>
        <r>
          <rPr>
            <b/>
            <sz val="9"/>
            <color indexed="81"/>
            <rFont val="Tahoma"/>
            <family val="2"/>
          </rPr>
          <t xml:space="preserve">
Recovery plan
Subbasin plan
Technical report
Website
Agency unpublished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xxx</author>
  </authors>
  <commentList>
    <comment ref="BX1" authorId="0" shapeId="0" xr:uid="{32D1ADEC-CA47-49F0-B930-2DEF04595C65}">
      <text>
        <r>
          <rPr>
            <b/>
            <sz val="9"/>
            <color indexed="81"/>
            <rFont val="Tahoma"/>
            <family val="2"/>
          </rPr>
          <t>200 mainstem hydro recovery plan module</t>
        </r>
      </text>
    </comment>
    <comment ref="AV2" authorId="0" shapeId="0" xr:uid="{8817A0F4-FBB8-426F-9888-096DE51594C1}">
      <text>
        <r>
          <rPr>
            <b/>
            <sz val="9"/>
            <color indexed="81"/>
            <rFont val="Tahoma"/>
            <family val="2"/>
          </rPr>
          <t>includes Hanford Reach above 395, abv PRD &amp; tribs</t>
        </r>
      </text>
    </comment>
    <comment ref="AL3" authorId="0" shapeId="0" xr:uid="{EC3D341C-9131-489E-9A63-93D529FB0FC9}">
      <text>
        <r>
          <rPr>
            <b/>
            <sz val="9"/>
            <color indexed="81"/>
            <rFont val="Tahoma"/>
            <family val="2"/>
          </rPr>
          <t>CRC estimates</t>
        </r>
      </text>
    </comment>
    <comment ref="AJ4" authorId="0" shapeId="0" xr:uid="{D7CFC9B5-4EEA-428A-BCBD-9146719F095C}">
      <text>
        <r>
          <rPr>
            <b/>
            <sz val="9"/>
            <color indexed="81"/>
            <rFont val="Tahoma"/>
            <family val="2"/>
          </rPr>
          <t>assume all clipped (hatchery)</t>
        </r>
      </text>
    </comment>
    <comment ref="AK4" authorId="0" shapeId="0" xr:uid="{A3555329-29E2-4CBA-8473-8530C22A165E}">
      <text>
        <r>
          <rPr>
            <b/>
            <sz val="9"/>
            <color indexed="81"/>
            <rFont val="Tahoma"/>
            <family val="2"/>
          </rPr>
          <t>assume all clipped (hatchery)</t>
        </r>
      </text>
    </comment>
    <comment ref="E5" authorId="0" shapeId="0" xr:uid="{A42D2A06-C083-4100-A5A6-A4112CCD50D6}">
      <text>
        <r>
          <rPr>
            <b/>
            <sz val="9"/>
            <color indexed="81"/>
            <rFont val="Tahoma"/>
            <family val="2"/>
          </rPr>
          <t>WDFW</t>
        </r>
      </text>
    </comment>
    <comment ref="F5" authorId="0" shapeId="0" xr:uid="{F030A60B-0C82-41C2-8077-EADC4EE6242B}">
      <text>
        <r>
          <rPr>
            <b/>
            <sz val="9"/>
            <color indexed="81"/>
            <rFont val="Tahoma"/>
            <family val="2"/>
          </rPr>
          <t>WDFW</t>
        </r>
      </text>
    </comment>
    <comment ref="G5" authorId="0" shapeId="0" xr:uid="{D23710BF-039D-46FD-BC5E-ABEDBDF2285F}">
      <text>
        <r>
          <rPr>
            <b/>
            <sz val="9"/>
            <color indexed="81"/>
            <rFont val="Tahoma"/>
            <family val="2"/>
          </rPr>
          <t>WDFW</t>
        </r>
      </text>
    </comment>
    <comment ref="H5" authorId="0" shapeId="0" xr:uid="{2F2FD117-BDB0-4E92-A84A-D033CDFBDFD6}">
      <text>
        <r>
          <rPr>
            <b/>
            <sz val="9"/>
            <color indexed="81"/>
            <rFont val="Tahoma"/>
            <family val="2"/>
          </rPr>
          <t>redd count expansion from Hillman et al.</t>
        </r>
      </text>
    </comment>
    <comment ref="Z5" authorId="0" shapeId="0" xr:uid="{49AB90ED-C1F9-4EDF-8B5F-920E01A0B5A7}">
      <text>
        <r>
          <rPr>
            <b/>
            <sz val="9"/>
            <color indexed="81"/>
            <rFont val="Tahoma"/>
            <family val="2"/>
          </rPr>
          <t>assume harvest of hatchery a run and b run is proportional to abundance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xxx</author>
  </authors>
  <commentList>
    <comment ref="D6" authorId="0" shapeId="0" xr:uid="{01D7618E-53B5-470A-ACE0-8099DFFE2532}">
      <text>
        <r>
          <rPr>
            <b/>
            <sz val="9"/>
            <color indexed="81"/>
            <rFont val="Tahoma"/>
            <family val="2"/>
          </rPr>
          <t>solved to match actual</t>
        </r>
      </text>
    </comment>
    <comment ref="D9" authorId="0" shapeId="0" xr:uid="{B8B1E5A8-C253-471B-A225-24CA86474EB2}">
      <text>
        <r>
          <rPr>
            <b/>
            <sz val="9"/>
            <color indexed="81"/>
            <rFont val="Tahoma"/>
            <family val="2"/>
          </rPr>
          <t>solved to match actual</t>
        </r>
      </text>
    </comment>
    <comment ref="D12" authorId="0" shapeId="0" xr:uid="{C6CEF1EB-8DFD-42CE-9B3B-2E43AC1632A2}">
      <text>
        <r>
          <rPr>
            <b/>
            <sz val="9"/>
            <color indexed="81"/>
            <rFont val="Tahoma"/>
            <family val="2"/>
          </rPr>
          <t>Based on pinniped predation. Note that TAC CR mouth redturn and exploitation rates do not include a coversion for this</t>
        </r>
      </text>
    </comment>
    <comment ref="K12" authorId="0" shapeId="0" xr:uid="{68FE678A-5053-49AD-80FE-38A3953B0510}">
      <text>
        <r>
          <rPr>
            <b/>
            <sz val="9"/>
            <color indexed="81"/>
            <rFont val="Tahoma"/>
            <family val="2"/>
          </rPr>
          <t>Based on pinniped predation. Note that TAC CR mouth redturn and exploitation rates do not include a coversion for this</t>
        </r>
      </text>
    </comment>
    <comment ref="K34" authorId="0" shapeId="0" xr:uid="{C5B8E8B8-C465-442E-9964-AFE6F3C4A7C9}">
      <text>
        <r>
          <rPr>
            <b/>
            <sz val="9"/>
            <color indexed="81"/>
            <rFont val="Tahoma"/>
            <family val="2"/>
          </rPr>
          <t>Based on pinniped predation. Note that TAC CR mouth redturn and exploitation rates do not include a coversion for this</t>
        </r>
      </text>
    </comment>
    <comment ref="T36" authorId="0" shapeId="0" xr:uid="{2773A3CA-EF32-4120-83FB-99A76C9EB7C5}">
      <text>
        <r>
          <rPr>
            <b/>
            <sz val="9"/>
            <color indexed="81"/>
            <rFont val="Tahoma"/>
            <family val="2"/>
          </rPr>
          <t>assume same SAR as current</t>
        </r>
      </text>
    </comment>
    <comment ref="X36" authorId="0" shapeId="0" xr:uid="{CAB4AF59-E507-49A6-BA8D-ED98BDD6A4CB}">
      <text>
        <r>
          <rPr>
            <b/>
            <sz val="9"/>
            <color indexed="81"/>
            <rFont val="Tahoma"/>
            <family val="2"/>
          </rPr>
          <t>assume same SAR as current</t>
        </r>
      </text>
    </comment>
    <comment ref="T37" authorId="0" shapeId="0" xr:uid="{0D02E043-8035-49E5-B313-F9A88609B847}">
      <text>
        <r>
          <rPr>
            <b/>
            <sz val="9"/>
            <color indexed="81"/>
            <rFont val="Tahoma"/>
            <family val="2"/>
          </rPr>
          <t>low end of anticipated range</t>
        </r>
      </text>
    </comment>
    <comment ref="Q41" authorId="0" shapeId="0" xr:uid="{8A5D4CA9-C36A-4A33-98CE-CA5728CDB295}">
      <text>
        <r>
          <rPr>
            <b/>
            <sz val="9"/>
            <color indexed="81"/>
            <rFont val="Tahoma"/>
            <family val="2"/>
          </rPr>
          <t>assume no change in ER until after recovery goal achieved (continue to be limited by natural impacts)</t>
        </r>
      </text>
    </comment>
    <comment ref="U41" authorId="0" shapeId="0" xr:uid="{96A7FC48-687C-4DDE-8F6E-D3851CA98A48}">
      <text>
        <r>
          <rPr>
            <b/>
            <sz val="9"/>
            <color indexed="81"/>
            <rFont val="Tahoma"/>
            <family val="2"/>
          </rPr>
          <t>assume about halfway between low and high values (in this case just used the same scalar as the wild</t>
        </r>
      </text>
    </comment>
    <comment ref="Y41" authorId="0" shapeId="0" xr:uid="{DFE7F791-6BED-46B7-BF68-99A8D76B2AF6}">
      <text>
        <r>
          <rPr>
            <b/>
            <sz val="9"/>
            <color indexed="81"/>
            <rFont val="Tahoma"/>
            <family val="2"/>
          </rPr>
          <t>assume able to achieve 70% target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Ray Beamesderfer</author>
    <author>Casey Baldwin</author>
    <author>xxx</author>
    <author>Conor Giorgi</author>
  </authors>
  <commentList>
    <comment ref="D5" authorId="0" shapeId="0" xr:uid="{00000000-0006-0000-0100-000001000000}">
      <text>
        <r>
          <rPr>
            <b/>
            <sz val="8"/>
            <color indexed="81"/>
            <rFont val="Tahoma"/>
            <family val="2"/>
          </rPr>
          <t>Recent 10-yr geometric mean
taken from NOAA status review 2015</t>
        </r>
      </text>
    </comment>
    <comment ref="H5" authorId="0" shapeId="0" xr:uid="{00000000-0006-0000-0100-000002000000}">
      <text>
        <r>
          <rPr>
            <b/>
            <sz val="8"/>
            <color indexed="81"/>
            <rFont val="Tahoma"/>
            <family val="2"/>
          </rPr>
          <t>Average/equilibrium abundance at high viability (e.g. minimum abundance threshold). Source: NMFS 2009 recovery plan</t>
        </r>
      </text>
    </comment>
    <comment ref="K5" authorId="0" shapeId="0" xr:uid="{00000000-0006-0000-0100-000003000000}">
      <text>
        <r>
          <rPr>
            <b/>
            <sz val="8"/>
            <color indexed="81"/>
            <rFont val="Tahoma"/>
            <family val="2"/>
          </rPr>
          <t>Source: NMFS 2009 Recovery Plan</t>
        </r>
      </text>
    </comment>
    <comment ref="L5" authorId="0" shapeId="0" xr:uid="{00000000-0006-0000-0100-000004000000}">
      <text>
        <r>
          <rPr>
            <b/>
            <sz val="8"/>
            <color indexed="81"/>
            <rFont val="Tahoma"/>
            <family val="2"/>
          </rPr>
          <t>Source: NMFS 2009 Recovery Plan</t>
        </r>
      </text>
    </comment>
    <comment ref="G7" authorId="1" shapeId="0" xr:uid="{00000000-0006-0000-0100-000005000000}">
      <text>
        <r>
          <rPr>
            <b/>
            <sz val="9"/>
            <color indexed="81"/>
            <rFont val="Tahoma"/>
            <family val="2"/>
          </rPr>
          <t>Casey Baldwin:</t>
        </r>
        <r>
          <rPr>
            <sz val="9"/>
            <color indexed="81"/>
            <rFont val="Tahoma"/>
            <family val="2"/>
          </rPr>
          <t xml:space="preserve">
From Table 5 of Mullen et al. 1992, they assumed steelhead were 5% of the fish populations in these watersheds, its unclear what that was based on.
</t>
        </r>
      </text>
    </comment>
    <comment ref="X7" authorId="0" shapeId="0" xr:uid="{00000000-0006-0000-0100-000006000000}">
      <text>
        <r>
          <rPr>
            <b/>
            <sz val="8"/>
            <color indexed="81"/>
            <rFont val="Tahoma"/>
            <family val="2"/>
          </rPr>
          <t>Ray Beamesderfer: 3x recovery exceeded historical capacity estimate so limited to historical capacity</t>
        </r>
      </text>
    </comment>
    <comment ref="F9" authorId="1" shapeId="0" xr:uid="{00000000-0006-0000-0100-000007000000}">
      <text>
        <r>
          <rPr>
            <b/>
            <sz val="9"/>
            <color indexed="81"/>
            <rFont val="Tahoma"/>
            <family val="2"/>
          </rPr>
          <t>Casey Baldwin:</t>
        </r>
        <r>
          <rPr>
            <sz val="9"/>
            <color indexed="81"/>
            <rFont val="Tahoma"/>
            <family val="2"/>
          </rPr>
          <t xml:space="preserve">
extrapolation of Scholz estimates are unreasonably high, Mullen has no legitamate estimate pre-settlement so we will use EDT template for the US (~5,000) and double that to cover the Canadian Okanagan (70% of the watershed is in Canada)
Further justification-the ICTRT used a recovery MAT of 500 for the U.S. portion and doubled that to 1000 if Canada were considered.</t>
        </r>
      </text>
    </comment>
    <comment ref="X9" authorId="0" shapeId="0" xr:uid="{00000000-0006-0000-0100-000008000000}">
      <text>
        <r>
          <rPr>
            <b/>
            <sz val="8"/>
            <color indexed="81"/>
            <rFont val="Tahoma"/>
            <family val="2"/>
          </rPr>
          <t>Ray Beamesderfer: 3x recovery exceeded historical capacity estimate so limited to historical capacity</t>
        </r>
      </text>
    </comment>
    <comment ref="D10" authorId="2" shapeId="0" xr:uid="{3D08B2AD-4F60-4733-8762-2F0EED62C135}">
      <text>
        <r>
          <rPr>
            <b/>
            <sz val="9"/>
            <color indexed="81"/>
            <rFont val="Tahoma"/>
            <family val="2"/>
          </rPr>
          <t>appears to be approximately equal to Tumwater dam count which includes both hatchery &amp; wild fish</t>
        </r>
      </text>
    </comment>
    <comment ref="G12" authorId="3" shapeId="0" xr:uid="{00000000-0006-0000-0100-000009000000}">
      <text>
        <r>
          <rPr>
            <b/>
            <sz val="9"/>
            <color indexed="81"/>
            <rFont val="Tahoma"/>
            <family val="2"/>
          </rPr>
          <t>Conor Giorgi:</t>
        </r>
        <r>
          <rPr>
            <sz val="9"/>
            <color indexed="81"/>
            <rFont val="Tahoma"/>
            <family val="2"/>
          </rPr>
          <t xml:space="preserve">
50% of Kettle assigned to upstream KOOT MPG. 40% KOOT MPG is assigned to Kootenay.
Conor Giorgi:
ONA ESTIMATED STHD RELATIVE ABUNDANCE BASED ON IP WITHIN THE KOOTENAI - 23,368</t>
        </r>
      </text>
    </comment>
    <comment ref="G13" authorId="3" shapeId="0" xr:uid="{00000000-0006-0000-0100-00000A000000}">
      <text>
        <r>
          <rPr>
            <b/>
            <sz val="9"/>
            <color indexed="81"/>
            <rFont val="Tahoma"/>
            <family val="2"/>
          </rPr>
          <t>Conor Giorgi:</t>
        </r>
        <r>
          <rPr>
            <sz val="9"/>
            <color indexed="81"/>
            <rFont val="Tahoma"/>
            <family val="2"/>
          </rPr>
          <t xml:space="preserve">
Pend Oreille Tribe is ~10% of KOOT sthd harvest.</t>
        </r>
      </text>
    </comment>
    <comment ref="F14" authorId="1" shapeId="0" xr:uid="{00000000-0006-0000-0100-00000B000000}">
      <text>
        <r>
          <rPr>
            <b/>
            <sz val="9"/>
            <color indexed="81"/>
            <rFont val="Tahoma"/>
            <family val="2"/>
          </rPr>
          <t>Casey Baldwin:</t>
        </r>
        <r>
          <rPr>
            <sz val="9"/>
            <color indexed="81"/>
            <rFont val="Tahoma"/>
            <family val="2"/>
          </rPr>
          <t xml:space="preserve">
ICFI 2017, EDT model of template conditions with BiOp hydro survival and recent ocean conditions.  
Could probably double or triple this for an estimate of historic potential with good Col. River and ocean conditions
</t>
        </r>
      </text>
    </comment>
    <comment ref="G14" authorId="3" shapeId="0" xr:uid="{00000000-0006-0000-0100-00000C000000}">
      <text>
        <r>
          <rPr>
            <b/>
            <sz val="9"/>
            <color indexed="81"/>
            <rFont val="Tahoma"/>
            <family val="2"/>
          </rPr>
          <t xml:space="preserve">Conor Giorgi:
</t>
        </r>
        <r>
          <rPr>
            <sz val="9"/>
            <color indexed="81"/>
            <rFont val="Tahoma"/>
            <family val="2"/>
          </rPr>
          <t>CCT-Sanpoil Chin are split 50/50 btwn sanpoil and rufus.  Rufus is included in sanpoil MPG so left it at 100% of CCT-Sanpoil.</t>
        </r>
      </text>
    </comment>
    <comment ref="J14" authorId="1" shapeId="0" xr:uid="{00000000-0006-0000-0100-00000D000000}">
      <text>
        <r>
          <rPr>
            <b/>
            <sz val="9"/>
            <color indexed="81"/>
            <rFont val="Tahoma"/>
            <family val="2"/>
          </rPr>
          <t>Casey Baldwin:</t>
        </r>
        <r>
          <rPr>
            <sz val="9"/>
            <color indexed="81"/>
            <rFont val="Tahoma"/>
            <family val="2"/>
          </rPr>
          <t xml:space="preserve">
EDT estimate with current habitat, recent ocean survival and BiOp hydro-survival</t>
        </r>
      </text>
    </comment>
    <comment ref="G17" authorId="3" shapeId="0" xr:uid="{00000000-0006-0000-0100-00000E000000}">
      <text>
        <r>
          <rPr>
            <b/>
            <sz val="9"/>
            <color indexed="81"/>
            <rFont val="Tahoma"/>
            <family val="2"/>
          </rPr>
          <t>Conor Giorgi:</t>
        </r>
        <r>
          <rPr>
            <sz val="9"/>
            <color indexed="81"/>
            <rFont val="Tahoma"/>
            <family val="2"/>
          </rPr>
          <t xml:space="preserve">
Assuming half the KOOT MPG was destined for headwaters.</t>
        </r>
      </text>
    </comment>
    <comment ref="L36" authorId="3" shapeId="0" xr:uid="{00000000-0006-0000-0100-00000F000000}">
      <text>
        <r>
          <rPr>
            <b/>
            <sz val="9"/>
            <color indexed="81"/>
            <rFont val="Tahoma"/>
            <family val="2"/>
          </rPr>
          <t>Conor Giorgi:</t>
        </r>
        <r>
          <rPr>
            <sz val="9"/>
            <color indexed="81"/>
            <rFont val="Tahoma"/>
            <family val="2"/>
          </rPr>
          <t xml:space="preserve">
STI EDT equilib. Abund for hangman creek assessment units under BiOp passage scenario.</t>
        </r>
      </text>
    </comment>
    <comment ref="L37" authorId="3" shapeId="0" xr:uid="{00000000-0006-0000-0100-000010000000}">
      <text>
        <r>
          <rPr>
            <b/>
            <sz val="9"/>
            <color indexed="81"/>
            <rFont val="Tahoma"/>
            <family val="2"/>
          </rPr>
          <t>Conor Giorgi:</t>
        </r>
        <r>
          <rPr>
            <sz val="9"/>
            <color indexed="81"/>
            <rFont val="Tahoma"/>
            <family val="2"/>
          </rPr>
          <t xml:space="preserve">
STI EDT equilib. Abund for spokane river assessment units under BiOp passage scenario.</t>
        </r>
      </text>
    </comment>
    <comment ref="K38" authorId="2" shapeId="0" xr:uid="{00000000-0006-0000-0100-000011000000}">
      <text>
        <r>
          <rPr>
            <b/>
            <sz val="9"/>
            <color indexed="81"/>
            <rFont val="Tahoma"/>
            <family val="2"/>
          </rPr>
          <t xml:space="preserve">revised downward from UCR harvest/use estimate for consistency with NPCC historical total &amp; other production areas. Still seem high.
</t>
        </r>
      </text>
    </comment>
    <comment ref="M38" authorId="3" shapeId="0" xr:uid="{00000000-0006-0000-0100-000012000000}">
      <text>
        <r>
          <rPr>
            <b/>
            <sz val="9"/>
            <color indexed="81"/>
            <rFont val="Tahoma"/>
            <family val="2"/>
          </rPr>
          <t>Conor Giorgi:</t>
        </r>
        <r>
          <rPr>
            <sz val="9"/>
            <color indexed="81"/>
            <rFont val="Tahoma"/>
            <family val="2"/>
          </rPr>
          <t xml:space="preserve">
CCT tribs equilib abund = 119, STI tribs equilib abund = 81. DOES NOT INCLUDE ALL TRIBS W/ POTENTIAL (E.G. KETTLE).
 ONA IP-based abundance for Christina Lake area = 1,398</t>
        </r>
      </text>
    </comment>
    <comment ref="M39" authorId="3" shapeId="0" xr:uid="{00000000-0006-0000-0100-000013000000}">
      <text>
        <r>
          <rPr>
            <b/>
            <sz val="9"/>
            <color indexed="81"/>
            <rFont val="Tahoma"/>
            <family val="2"/>
          </rPr>
          <t>Conor Giorgi:</t>
        </r>
        <r>
          <rPr>
            <sz val="9"/>
            <color indexed="81"/>
            <rFont val="Tahoma"/>
            <family val="2"/>
          </rPr>
          <t xml:space="preserve">
ONA relative abundances for transboundary (6,085), slocan (8,092), whatshan (2,114), and lower arrow (1,389) regions.</t>
        </r>
      </text>
    </comment>
    <comment ref="I40" authorId="3" shapeId="0" xr:uid="{00000000-0006-0000-0100-000014000000}">
      <text>
        <r>
          <rPr>
            <b/>
            <sz val="9"/>
            <color indexed="81"/>
            <rFont val="Tahoma"/>
            <family val="2"/>
          </rPr>
          <t>Conor Giorgi:</t>
        </r>
        <r>
          <rPr>
            <sz val="9"/>
            <color indexed="81"/>
            <rFont val="Tahoma"/>
            <family val="2"/>
          </rPr>
          <t xml:space="preserve">
Low goal and MAT were not originally calculated.  Intrinsic potential data, provided by NWFSC, was summarized solely for the Partnership process.</t>
        </r>
      </text>
    </comment>
    <comment ref="M41" authorId="3" shapeId="0" xr:uid="{00000000-0006-0000-0100-000015000000}">
      <text>
        <r>
          <rPr>
            <b/>
            <sz val="9"/>
            <color indexed="81"/>
            <rFont val="Tahoma"/>
            <family val="2"/>
          </rPr>
          <t>Conor Giorgi:</t>
        </r>
        <r>
          <rPr>
            <sz val="9"/>
            <color indexed="81"/>
            <rFont val="Tahoma"/>
            <family val="2"/>
          </rPr>
          <t xml:space="preserve">
CCT equilib abund under BiOp passage scenario (ICF 2017)</t>
        </r>
      </text>
    </comment>
    <comment ref="I42" authorId="3" shapeId="0" xr:uid="{00000000-0006-0000-0100-000016000000}">
      <text>
        <r>
          <rPr>
            <b/>
            <sz val="9"/>
            <color indexed="81"/>
            <rFont val="Tahoma"/>
            <family val="2"/>
          </rPr>
          <t>Conor Giorgi:</t>
        </r>
        <r>
          <rPr>
            <sz val="9"/>
            <color indexed="81"/>
            <rFont val="Tahoma"/>
            <family val="2"/>
          </rPr>
          <t xml:space="preserve">
Information on these populations in Canada (upstream of Mid-Arrow) is limited and would require engagement with Canada.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Conor Giorgi</author>
    <author>Casey Baldwin</author>
  </authors>
  <commentList>
    <comment ref="A12" authorId="0" shapeId="0" xr:uid="{00000000-0006-0000-0200-000001000000}">
      <text>
        <r>
          <rPr>
            <b/>
            <sz val="9"/>
            <color indexed="81"/>
            <rFont val="Tahoma"/>
            <family val="2"/>
          </rPr>
          <t>Conor Giorgi:</t>
        </r>
        <r>
          <rPr>
            <sz val="9"/>
            <color indexed="81"/>
            <rFont val="Tahoma"/>
            <family val="2"/>
          </rPr>
          <t xml:space="preserve">
Walker's 1985 estimates attributed higher populations for the tribes and higher per capita consumption rates, which were based upon historical catch records and ethnographic data.
</t>
        </r>
      </text>
    </comment>
    <comment ref="A48" authorId="1" shapeId="0" xr:uid="{00000000-0006-0000-0200-000002000000}">
      <text>
        <r>
          <rPr>
            <b/>
            <sz val="9"/>
            <color indexed="81"/>
            <rFont val="Tahoma"/>
            <family val="2"/>
          </rPr>
          <t>Casey Baldwin:</t>
        </r>
        <r>
          <rPr>
            <sz val="9"/>
            <color indexed="81"/>
            <rFont val="Tahoma"/>
            <family val="2"/>
          </rPr>
          <t xml:space="preserve">
this row was incorrectly using the yakima harvest in the previous version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Conor Giorgi</author>
  </authors>
  <commentList>
    <comment ref="I21" authorId="0" shapeId="0" xr:uid="{00000000-0006-0000-0300-000001000000}">
      <text>
        <r>
          <rPr>
            <b/>
            <sz val="9"/>
            <color indexed="81"/>
            <rFont val="Tahoma"/>
            <family val="2"/>
          </rPr>
          <t>Conor Giorgi:</t>
        </r>
        <r>
          <rPr>
            <sz val="9"/>
            <color indexed="81"/>
            <rFont val="Tahoma"/>
            <family val="2"/>
          </rPr>
          <t xml:space="preserve">
Pend Oreille was not included in original analysis performed by STI.  Summary was performed for the MAFAC process using IP data provided by NWFSC.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Conor Giorgi</author>
  </authors>
  <commentList>
    <comment ref="C11" authorId="0" shapeId="0" xr:uid="{00000000-0006-0000-0400-000001000000}">
      <text>
        <r>
          <rPr>
            <b/>
            <sz val="9"/>
            <color indexed="81"/>
            <rFont val="Tahoma"/>
            <family val="2"/>
          </rPr>
          <t xml:space="preserve">Casey Baldwin:
</t>
        </r>
        <r>
          <rPr>
            <sz val="9"/>
            <color indexed="81"/>
            <rFont val="Tahoma"/>
            <family val="2"/>
          </rPr>
          <t>will depend on harvest allocation agreements, for now Assume 50% (treaty non-treaty) of 50% (upriver downriver) of 50% (blocked area sharing) = 12.5%</t>
        </r>
        <r>
          <rPr>
            <sz val="9"/>
            <color indexed="81"/>
            <rFont val="Tahoma"/>
            <family val="2"/>
          </rPr>
          <t xml:space="preserve">
</t>
        </r>
      </text>
    </comment>
    <comment ref="C30" authorId="0" shapeId="0" xr:uid="{00000000-0006-0000-0400-000002000000}">
      <text>
        <r>
          <rPr>
            <b/>
            <sz val="9"/>
            <color indexed="81"/>
            <rFont val="Tahoma"/>
            <family val="2"/>
          </rPr>
          <t>Conor Giorgi:</t>
        </r>
        <r>
          <rPr>
            <sz val="9"/>
            <color indexed="81"/>
            <rFont val="Tahoma"/>
            <family val="2"/>
          </rPr>
          <t xml:space="preserve">
Original value provided in Scholz et al. 1985</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Ray Beamesderfer</author>
    <author>xxx</author>
  </authors>
  <commentList>
    <comment ref="J9" authorId="0" shapeId="0" xr:uid="{00000000-0006-0000-0500-000001000000}">
      <text>
        <r>
          <rPr>
            <b/>
            <sz val="8"/>
            <color indexed="81"/>
            <rFont val="Tahoma"/>
            <family val="2"/>
          </rPr>
          <t>based on abundance for B-run steelhead. Specific rates are not set for A-run as B-run are the indicator stock</t>
        </r>
      </text>
    </comment>
    <comment ref="C11" authorId="0" shapeId="0" xr:uid="{00000000-0006-0000-0500-000002000000}">
      <text>
        <r>
          <rPr>
            <b/>
            <sz val="8"/>
            <color indexed="81"/>
            <rFont val="Tahoma"/>
            <family val="2"/>
          </rPr>
          <t>2006-2015 avg. for combined nonindian Col R fisheries</t>
        </r>
      </text>
    </comment>
    <comment ref="J11" authorId="0" shapeId="0" xr:uid="{00000000-0006-0000-0500-000003000000}">
      <text>
        <r>
          <rPr>
            <b/>
            <sz val="8"/>
            <color indexed="81"/>
            <rFont val="Tahoma"/>
            <family val="2"/>
          </rPr>
          <t>aggregate non-Indian harvest rate allowed under US v. OR</t>
        </r>
      </text>
    </comment>
    <comment ref="C13" authorId="0" shapeId="0" xr:uid="{00000000-0006-0000-0500-000004000000}">
      <text>
        <r>
          <rPr>
            <b/>
            <sz val="8"/>
            <color indexed="81"/>
            <rFont val="Tahoma"/>
            <family val="2"/>
          </rPr>
          <t>2006-2015 avg. for combined nonindian Col R fisheries</t>
        </r>
      </text>
    </comment>
    <comment ref="J13" authorId="0" shapeId="0" xr:uid="{00000000-0006-0000-0500-000005000000}">
      <text>
        <r>
          <rPr>
            <b/>
            <sz val="8"/>
            <color indexed="81"/>
            <rFont val="Tahoma"/>
            <family val="2"/>
          </rPr>
          <t>aggregate non-Indian harvest rate allowed under US v. OR</t>
        </r>
      </text>
    </comment>
    <comment ref="C15" authorId="0" shapeId="0" xr:uid="{00000000-0006-0000-0500-000006000000}">
      <text>
        <r>
          <rPr>
            <b/>
            <sz val="8"/>
            <color indexed="81"/>
            <rFont val="Tahoma"/>
            <family val="2"/>
          </rPr>
          <t>2006-2015 avg. for combined nonindian Col R fisheries</t>
        </r>
      </text>
    </comment>
    <comment ref="J15" authorId="0" shapeId="0" xr:uid="{00000000-0006-0000-0500-000007000000}">
      <text>
        <r>
          <rPr>
            <b/>
            <sz val="8"/>
            <color indexed="81"/>
            <rFont val="Tahoma"/>
            <family val="2"/>
          </rPr>
          <t>aggregate non-Indian harvest rate allowed under US v. OR</t>
        </r>
      </text>
    </comment>
    <comment ref="M21" authorId="0" shapeId="0" xr:uid="{00000000-0006-0000-0500-000008000000}">
      <text>
        <r>
          <rPr>
            <b/>
            <sz val="8"/>
            <color indexed="81"/>
            <rFont val="Tahoma"/>
            <family val="2"/>
          </rPr>
          <t>Ray Beamesderfer:</t>
        </r>
        <r>
          <rPr>
            <sz val="8"/>
            <color indexed="81"/>
            <rFont val="Tahoma"/>
            <family val="2"/>
          </rPr>
          <t xml:space="preserve">
US v OR</t>
        </r>
      </text>
    </comment>
    <comment ref="N21" authorId="0" shapeId="0" xr:uid="{00000000-0006-0000-0500-000009000000}">
      <text>
        <r>
          <rPr>
            <b/>
            <sz val="8"/>
            <color indexed="81"/>
            <rFont val="Tahoma"/>
            <family val="2"/>
          </rPr>
          <t>Ray Beamesderfer:</t>
        </r>
        <r>
          <rPr>
            <sz val="8"/>
            <color indexed="81"/>
            <rFont val="Tahoma"/>
            <family val="2"/>
          </rPr>
          <t xml:space="preserve">
US v OR</t>
        </r>
      </text>
    </comment>
    <comment ref="P21" authorId="1" shapeId="0" xr:uid="{00000000-0006-0000-0500-00000A000000}">
      <text>
        <r>
          <rPr>
            <b/>
            <sz val="9"/>
            <color indexed="81"/>
            <rFont val="Tahoma"/>
            <family val="2"/>
          </rPr>
          <t>placeholder numbers from Ray</t>
        </r>
      </text>
    </comment>
    <comment ref="R21" authorId="1" shapeId="0" xr:uid="{00000000-0006-0000-0500-00000B000000}">
      <text>
        <r>
          <rPr>
            <b/>
            <sz val="9"/>
            <color indexed="81"/>
            <rFont val="Tahoma"/>
            <family val="2"/>
          </rPr>
          <t>placeholder numbers from Ray</t>
        </r>
      </text>
    </comment>
  </commentList>
</comments>
</file>

<file path=xl/sharedStrings.xml><?xml version="1.0" encoding="utf-8"?>
<sst xmlns="http://schemas.openxmlformats.org/spreadsheetml/2006/main" count="1708" uniqueCount="476">
  <si>
    <t xml:space="preserve">Quantitative sustainability reference values for (prototype) stock of Columbia R. Salmon and Steelhead. Sustainability includes conservation, viability, ESA recovery, and ecological/ecosystem function. </t>
  </si>
  <si>
    <t>Population</t>
  </si>
  <si>
    <t>Major Population Group</t>
  </si>
  <si>
    <t>Current</t>
  </si>
  <si>
    <t>Historical</t>
  </si>
  <si>
    <t>Abundance</t>
  </si>
  <si>
    <t>Metric</t>
  </si>
  <si>
    <t>Reference Values</t>
  </si>
  <si>
    <t>Capacity</t>
  </si>
  <si>
    <t>Potential</t>
  </si>
  <si>
    <t>Existing Goals</t>
  </si>
  <si>
    <t>Viable</t>
  </si>
  <si>
    <t>Tribal</t>
  </si>
  <si>
    <t>State</t>
  </si>
  <si>
    <t>Totals</t>
  </si>
  <si>
    <t>NPPC database</t>
  </si>
  <si>
    <t>Low</t>
  </si>
  <si>
    <t>Med</t>
  </si>
  <si>
    <t>High</t>
  </si>
  <si>
    <t>Delisting</t>
  </si>
  <si>
    <t>Rebuilding Expl. Rate</t>
  </si>
  <si>
    <r>
      <t>Optimum Yield</t>
    </r>
    <r>
      <rPr>
        <b/>
        <vertAlign val="superscript"/>
        <sz val="11"/>
        <color theme="1"/>
        <rFont val="Calibri"/>
        <family val="2"/>
        <scheme val="minor"/>
      </rPr>
      <t>b</t>
    </r>
  </si>
  <si>
    <t>PSC</t>
  </si>
  <si>
    <t>PFMC</t>
  </si>
  <si>
    <t>USvOR</t>
  </si>
  <si>
    <t>Numbers</t>
  </si>
  <si>
    <t>Quantitative fishery reference values for (prototype) stock of Columbia R. Salmon and Steelhead.</t>
  </si>
  <si>
    <r>
      <t>Max. Yield</t>
    </r>
    <r>
      <rPr>
        <b/>
        <vertAlign val="superscript"/>
        <sz val="11"/>
        <color theme="1"/>
        <rFont val="Calibri"/>
        <family val="2"/>
        <scheme val="minor"/>
      </rPr>
      <t>c</t>
    </r>
  </si>
  <si>
    <t>Fishery</t>
  </si>
  <si>
    <t>Terminal tribal</t>
  </si>
  <si>
    <t>Terminal sport</t>
  </si>
  <si>
    <t>Zone 6 tribal</t>
  </si>
  <si>
    <t>UpR. sport</t>
  </si>
  <si>
    <t>LCR comm.</t>
  </si>
  <si>
    <t>LCR sport</t>
  </si>
  <si>
    <t>US Ocean</t>
  </si>
  <si>
    <t>AK/CA</t>
  </si>
  <si>
    <t>Metrics</t>
  </si>
  <si>
    <t>Harvest (Natl.)</t>
  </si>
  <si>
    <t>Harvest (Hat.)</t>
  </si>
  <si>
    <t>Impact rate (Natl.)</t>
  </si>
  <si>
    <t>Impact rate (Hat.)</t>
  </si>
  <si>
    <t>Total</t>
  </si>
  <si>
    <t>--</t>
  </si>
  <si>
    <t>Production</t>
  </si>
  <si>
    <t>Return</t>
  </si>
  <si>
    <t>Broodstock</t>
  </si>
  <si>
    <t>Quantitative mitigation reference values (including hatcheries) for (prototype) stock of Columbia R. Salmon and Steelhead.</t>
  </si>
  <si>
    <t>Viability</t>
  </si>
  <si>
    <t>Hatchery</t>
  </si>
  <si>
    <t>&lt;2%</t>
  </si>
  <si>
    <t>0-66%</t>
  </si>
  <si>
    <t>13-20%</t>
  </si>
  <si>
    <t>0-17%</t>
  </si>
  <si>
    <t>0-8%</t>
  </si>
  <si>
    <t>Releases</t>
  </si>
  <si>
    <t>Location</t>
  </si>
  <si>
    <t>Program</t>
  </si>
  <si>
    <t>(US v OR)</t>
  </si>
  <si>
    <t>Rec Plan</t>
  </si>
  <si>
    <t>CPB  Options</t>
  </si>
  <si>
    <t>MPG</t>
  </si>
  <si>
    <t>Potential Goal Range</t>
  </si>
  <si>
    <t>v MAT</t>
  </si>
  <si>
    <t>Subbasin Plan</t>
  </si>
  <si>
    <t>Spnrs</t>
  </si>
  <si>
    <t>Col R</t>
  </si>
  <si>
    <t>(3 yr avg)</t>
  </si>
  <si>
    <t>(40 yr)</t>
  </si>
  <si>
    <t>For Plot</t>
  </si>
  <si>
    <t>Natural Production</t>
  </si>
  <si>
    <t>SAR</t>
  </si>
  <si>
    <t>Adult rtn</t>
  </si>
  <si>
    <t>Harvest</t>
  </si>
  <si>
    <t>EDT</t>
  </si>
  <si>
    <t>For plot</t>
  </si>
  <si>
    <t>Goal Range Totals)</t>
  </si>
  <si>
    <t>TBD</t>
  </si>
  <si>
    <t>Long term</t>
  </si>
  <si>
    <t>Avg</t>
  </si>
  <si>
    <t>Rtn goal</t>
  </si>
  <si>
    <t>Fisheries / Harvest</t>
  </si>
  <si>
    <t>AK/CAN</t>
  </si>
  <si>
    <t>Life History: Summer run</t>
  </si>
  <si>
    <t>Recent</t>
  </si>
  <si>
    <t>Methow</t>
  </si>
  <si>
    <t>Wenatchee</t>
  </si>
  <si>
    <t>Entiat</t>
  </si>
  <si>
    <t>Okanogan</t>
  </si>
  <si>
    <t>Sanpoil</t>
  </si>
  <si>
    <t>Kettle/Colville</t>
  </si>
  <si>
    <t>Kootenay</t>
  </si>
  <si>
    <t>Spokane</t>
  </si>
  <si>
    <t>Hangman Cr.</t>
  </si>
  <si>
    <t>Grand Total</t>
  </si>
  <si>
    <t>North Cascades</t>
  </si>
  <si>
    <t>Crab Creek</t>
  </si>
  <si>
    <t>Entiat River</t>
  </si>
  <si>
    <t>Methow River</t>
  </si>
  <si>
    <t>Okanogan River</t>
  </si>
  <si>
    <t>Wenatchee River</t>
  </si>
  <si>
    <t>Kettle River</t>
  </si>
  <si>
    <t>Kootenay River</t>
  </si>
  <si>
    <t>Pend Oreille River</t>
  </si>
  <si>
    <t>Sanpoil River</t>
  </si>
  <si>
    <t>Hangman Creek</t>
  </si>
  <si>
    <t>Spokane River</t>
  </si>
  <si>
    <t>N Cascades</t>
  </si>
  <si>
    <t>Crab</t>
  </si>
  <si>
    <t>Kettle</t>
  </si>
  <si>
    <t>Pend Oreille</t>
  </si>
  <si>
    <t>Kettle, Colville</t>
  </si>
  <si>
    <t>Upper Columbia River Steelhead</t>
  </si>
  <si>
    <t>ESA: Threatened</t>
  </si>
  <si>
    <t>Status</t>
  </si>
  <si>
    <t>Natural spawners</t>
  </si>
  <si>
    <t>Total spawners</t>
  </si>
  <si>
    <t>Wild/Natural</t>
  </si>
  <si>
    <t>15-22%</t>
  </si>
  <si>
    <t>Sum of NumReleased</t>
  </si>
  <si>
    <t>Column Labels</t>
  </si>
  <si>
    <t>Row Labels</t>
  </si>
  <si>
    <t>Rocky Reach Pool</t>
  </si>
  <si>
    <t>From FPC database</t>
  </si>
  <si>
    <t>Ocean</t>
  </si>
  <si>
    <t>Subtotal</t>
  </si>
  <si>
    <t>@ Columbia R Mouth</t>
  </si>
  <si>
    <t>Headwaters</t>
  </si>
  <si>
    <t>UC Total</t>
  </si>
  <si>
    <t>OKA (Okanogan)</t>
  </si>
  <si>
    <t>MET (Methow)</t>
  </si>
  <si>
    <t>ENT (Entiat)</t>
  </si>
  <si>
    <t>WEN (Wenatchee)</t>
  </si>
  <si>
    <t>UC</t>
  </si>
  <si>
    <t>Blocked Area Total</t>
  </si>
  <si>
    <t>SP Total</t>
  </si>
  <si>
    <t>HAN (Hangman)</t>
  </si>
  <si>
    <t>MAI (Mainstem)</t>
  </si>
  <si>
    <t>SP</t>
  </si>
  <si>
    <t>AC Total</t>
  </si>
  <si>
    <t>KOO (Kootenai)</t>
  </si>
  <si>
    <t>KET (Kettle)</t>
  </si>
  <si>
    <t>SAN (Sanpoil)</t>
  </si>
  <si>
    <t>SP/K/C</t>
  </si>
  <si>
    <t>Catch = 33%</t>
  </si>
  <si>
    <t>Catch = 50%</t>
  </si>
  <si>
    <t>Catch = 66%</t>
  </si>
  <si>
    <t>Catch = 85%</t>
  </si>
  <si>
    <t>Estimated Tribal Harvest</t>
  </si>
  <si>
    <t>Steelhead</t>
  </si>
  <si>
    <t>Sockeye</t>
  </si>
  <si>
    <t>Coho</t>
  </si>
  <si>
    <t>Fall Chinook</t>
  </si>
  <si>
    <t>Summer Chinook</t>
  </si>
  <si>
    <t>Spring Chinook</t>
  </si>
  <si>
    <t>All Chinook</t>
  </si>
  <si>
    <t>Estimated Harvest from Tribes (# of fish)</t>
  </si>
  <si>
    <t>Species</t>
  </si>
  <si>
    <t>Similar to Table 3.8 in Scholz et al., run estimates based on various catch rates applied to harvest estimates updated with values for entire Upper Columbia River.</t>
  </si>
  <si>
    <t>Pend d'Oreille</t>
  </si>
  <si>
    <t>Lakes</t>
  </si>
  <si>
    <t>Kootenai</t>
  </si>
  <si>
    <t>Kalispel</t>
  </si>
  <si>
    <t>Flathead</t>
  </si>
  <si>
    <t>CCT- Kettle Falls</t>
  </si>
  <si>
    <t>CCT- Sanpoil, Nespelem</t>
  </si>
  <si>
    <t>CCT- Okan., Met., Wen.</t>
  </si>
  <si>
    <t>Coeur d'Alene</t>
  </si>
  <si>
    <t>Total Chinook</t>
  </si>
  <si>
    <t>Tribe</t>
  </si>
  <si>
    <t>Total (# of fish)</t>
  </si>
  <si>
    <t>Historic Harvest by Species (# of fish)</t>
  </si>
  <si>
    <t>CCT- Okanogan</t>
  </si>
  <si>
    <t>Total (lbs)</t>
  </si>
  <si>
    <t>Harvest by Species (lbs)</t>
  </si>
  <si>
    <t>Tribal Consumption (lbs)</t>
  </si>
  <si>
    <t>Average Weight</t>
  </si>
  <si>
    <t>Scholz et al. unlabeled table on pg. 78 (proportion of fish harvested in UCR).</t>
  </si>
  <si>
    <t>Fall</t>
  </si>
  <si>
    <t>Summer</t>
  </si>
  <si>
    <t>Spring</t>
  </si>
  <si>
    <t>% of catch</t>
  </si>
  <si>
    <t>Race</t>
  </si>
  <si>
    <t>Historic Harvest/Consumption (lbs)</t>
  </si>
  <si>
    <t>Relevant salmon/sthd consumption data using Walker (1985) estimates from Scholz et al. Table 3.3 (pg. 75)</t>
  </si>
  <si>
    <t>Most tables in NPPC 1986, which are derived from previously published historic run size reports, have summer chinook composing approximately 50% of the total chinook run.</t>
  </si>
  <si>
    <t>Historical harvest was calculated using values from Scholz et al. 1985 Technical Report #2 and NPPC 1986.  Proportion of UCR harvest, by species, was found in Scholz (pg. 78).  Proportion of Chinook harvest was further broken by run according to run-specific harvest totals found in NPCC 1986 (Tables 3 &amp; 4 of that document). Species &amp; run specific anadromous fish consumption from Table 3.3 (Scholz, pg. 75) were broken down for each tribe by species.  The pounds of species consumed were divided by the species' average weight to get a number of fish consumed by each tribe.  Tribal catches were assigned to geographically appropriate major population groups.  The capture efficiencies of 85% 66%, 50%, and 33% were applied to the catches within the MPGs to estimate numbers of returning adults.</t>
  </si>
  <si>
    <t>Harvest-Based</t>
  </si>
  <si>
    <t>Far Upper Col.</t>
  </si>
  <si>
    <t>Within the Scholz 1985 document the catch of steelhead was estimated to be as low as 278k (table 3.8) or as high as 1.4 million (un-numbered table on page 78).</t>
  </si>
  <si>
    <t>Scholz shows 2 different estimates of the % of run that were steelhead (25% and 31% ; pgs 77-78), but also assumes that catch was proportional to relative abundance.  If historical tribal harvest was targeting Chinook then steelhead may have been much smaller portion of the catch.  Mullen (App H.) disagrees with the Scholz estimates for steelhead and suggests that steelhead catch was small, due partially to the smaller size and more elusive behavoir of steelhead and less suseptability to traditional fishing gear.</t>
  </si>
  <si>
    <t>Historical, Mullen et al. 1992</t>
  </si>
  <si>
    <t>Historical using EDT template x2 (for Canada). Contemporary observations (reviewed by Mullen et al 1992) suggested very few steelhead in the Okanogan in the 1900's.  I'm unaware of pre-settlement estimates except for Scholz 1985 which was very general and likely a large overestimate. Therefore we are using EDT Template for US portion and doubling it to cover Canadian portion</t>
  </si>
  <si>
    <t xml:space="preserve">15 tribes coalition document on passage appendix includes steelhead at only 14% </t>
  </si>
  <si>
    <t>Historical, Scholz 1985, expanded to each area with adjustments, remainder for headwaters, we combined the MPG areas into a subtotal due to difficulties and uncertainty regarding the watershed/population specific numbers.</t>
  </si>
  <si>
    <t>We are only showing a medium term goal because the tribes are not looking to reintroduce steelhead in the near-term based on risk assessment factors with ESA, disease and genetic concerns for resident redband trout. It therefore seems pre-mature to list any sort of long-term goal.  So the medium term goal covers the general desire to have some fish in a lot of places without committing to a long term abundance based goal.</t>
  </si>
  <si>
    <t>Need to include the concept that the tribal consumption based estimates included resident O. mykiss, mitigates the uncertainty of the really large estimates</t>
  </si>
  <si>
    <t>Col R (Wells)</t>
  </si>
  <si>
    <t>Blocked area</t>
  </si>
  <si>
    <t>CCT rate above Wells Dam is 5-12% on a sliding scale,  Not sure what the WDFW rate is for their sport fishery</t>
  </si>
  <si>
    <t>Ray had these ranges under the mainstem, but likely more appropriate for the whole river</t>
  </si>
  <si>
    <t>ONA</t>
  </si>
  <si>
    <t>Ktunaxa</t>
  </si>
  <si>
    <t>Colville</t>
  </si>
  <si>
    <t># Steelhead</t>
  </si>
  <si>
    <t># Sockeye</t>
  </si>
  <si>
    <t># Coho</t>
  </si>
  <si>
    <t># fall Chinook</t>
  </si>
  <si>
    <t># summer Chinook</t>
  </si>
  <si>
    <t># spring Chinook</t>
  </si>
  <si>
    <t>Annual Consumption (lbs)</t>
  </si>
  <si>
    <t>Fish Consumption Rate (lbs/day)</t>
  </si>
  <si>
    <t>Current Membership</t>
  </si>
  <si>
    <t>The low goal also includes stocking surplus fish from below blocked area into the blocked area</t>
  </si>
  <si>
    <t>Draft Tribal harvest goals based on approximate 2018 human populations and various fish consumption rate objectives.  Yellow highlighted cells have not undergone tribal policy approval and should not be considered offical tribal goals.  Pounds per day includes a correction factor of 0.8 to account for 20% inedible biomass/fish.  Species specific consumption goals are based on historic species composition as estimated by Scholz and do not reflect contemporary tribal objectives for species specific harvest needs.</t>
  </si>
  <si>
    <t>Far UC</t>
  </si>
  <si>
    <t>Goal</t>
  </si>
  <si>
    <t>5-12%</t>
  </si>
  <si>
    <t>20-34%</t>
  </si>
  <si>
    <t>Avg.</t>
  </si>
  <si>
    <t>Total Return</t>
  </si>
  <si>
    <t>@ Goals</t>
  </si>
  <si>
    <t>% hatchery</t>
  </si>
  <si>
    <t>To Upper Col R (PRD)</t>
  </si>
  <si>
    <t>Harvest (Col Basin)</t>
  </si>
  <si>
    <t>Hatchery Production</t>
  </si>
  <si>
    <t>Current Production</t>
  </si>
  <si>
    <t>Location (Program)</t>
  </si>
  <si>
    <t>Brood</t>
  </si>
  <si>
    <t>Yearlings</t>
  </si>
  <si>
    <t>PRD</t>
  </si>
  <si>
    <t>count</t>
  </si>
  <si>
    <t>all</t>
  </si>
  <si>
    <t>Intrinsic Potential model output generated by STI with data provided by the Northwest Fisheries Science Center.  Weighted streambed area (m2) for spring Chinook spawning and rearing habitats, as rated by the model.</t>
  </si>
  <si>
    <t>Intrinsic Potential model output generated by STI with data provided by the Northwest Fisheries Science Center.  Weighted streambed area (m2) for steelhead spawning and rearing habitats, as rated by the model.</t>
  </si>
  <si>
    <t>Subbasin &amp; Reporting Areas</t>
  </si>
  <si>
    <t>None</t>
  </si>
  <si>
    <t>Moderate</t>
  </si>
  <si>
    <t>Lower Sanpoil</t>
  </si>
  <si>
    <t>Upper Sanpoil</t>
  </si>
  <si>
    <t>West Fork Sanpoil</t>
  </si>
  <si>
    <t>Hangman</t>
  </si>
  <si>
    <t>Little Spokane</t>
  </si>
  <si>
    <t>Lower Spokane</t>
  </si>
  <si>
    <t>Upper Columbia</t>
  </si>
  <si>
    <t>Barnaby Creek</t>
  </si>
  <si>
    <t>Hall Creek</t>
  </si>
  <si>
    <t>Lake Roosevelt</t>
  </si>
  <si>
    <t>Nez Perce Creek</t>
  </si>
  <si>
    <t>Rufus Woods</t>
  </si>
  <si>
    <t>Stranger Creek</t>
  </si>
  <si>
    <t>Weighted streambed area, historically, for spring Chinook in square kilometers</t>
  </si>
  <si>
    <t>Weighted streambed area, historically, for steelhead in square kilometers</t>
  </si>
  <si>
    <r>
      <t xml:space="preserve">Intrinsic Potential analysis performed by Bussanich et al. 2017.  Measures reported were adopted from section 5.6 </t>
    </r>
    <r>
      <rPr>
        <i/>
        <sz val="11"/>
        <color theme="1"/>
        <rFont val="Calibri"/>
        <family val="2"/>
        <scheme val="minor"/>
      </rPr>
      <t xml:space="preserve">Summary of Results </t>
    </r>
    <r>
      <rPr>
        <sz val="11"/>
        <color theme="1"/>
        <rFont val="Calibri"/>
        <family val="2"/>
        <scheme val="minor"/>
      </rPr>
      <t>of that document.</t>
    </r>
  </si>
  <si>
    <t>Chinook IP Habitat (m2)</t>
  </si>
  <si>
    <t>Steelhead IP Habitat (m2)</t>
  </si>
  <si>
    <t>Christina Lake*</t>
  </si>
  <si>
    <t>Transboundary Region</t>
  </si>
  <si>
    <t>Slocan Watershed</t>
  </si>
  <si>
    <t>Whatshan Reservoir*</t>
  </si>
  <si>
    <t>Lower Arrow Reservoir</t>
  </si>
  <si>
    <t>Table B-5 in ICTRT 2007 (Appendix B - Pop. Size &amp; Complexity). Minimum abundance thresholds by species and historical population size (spawning area) for extant Interior Columbia Basin stream type chinook and steelhead populations. Median weighted area and corresponding spawners per kilometer are provided for populations in each size category.  Ranges for each population size category found in table B-2 for spring Chinook and table B-3 for steelhead.</t>
  </si>
  <si>
    <t>Population Size Categories</t>
  </si>
  <si>
    <t>UCR Spring Chinook</t>
  </si>
  <si>
    <t>UCR Steelhead</t>
  </si>
  <si>
    <t>Min. Abundance Threshold</t>
  </si>
  <si>
    <t>Median Weighted Area</t>
  </si>
  <si>
    <t>Area Range</t>
  </si>
  <si>
    <t>Basic</t>
  </si>
  <si>
    <t>12.5 - 29.6</t>
  </si>
  <si>
    <t>66.6 - 193.7</t>
  </si>
  <si>
    <t>Intermediate</t>
  </si>
  <si>
    <t>33.9 - 52.8</t>
  </si>
  <si>
    <t>229.3 - 550.5</t>
  </si>
  <si>
    <t>Large</t>
  </si>
  <si>
    <t>57.2 - 111.1</t>
  </si>
  <si>
    <t>686.7 - 921.0</t>
  </si>
  <si>
    <t>Very Large</t>
  </si>
  <si>
    <t>134.8 - 153.0</t>
  </si>
  <si>
    <t>1,175.4 - 1,175.4</t>
  </si>
  <si>
    <t>Major population groups and populations as defined by the ICTRT and associated maps produced by NOAA with weighted stream areas provided by STI and ONA (Bussanich et al. 2017) intrinsic potential analyses; both of which were performed using model outputs provided by the Northwest Fisheries Science Center.  Populations were assigned a size category based on the criteria described in ICTRT Tables 2, 3, and 5 (ICTRT 2007, Appendix B).</t>
  </si>
  <si>
    <t>Spring Chin. Weighted Streambed Area (km2)</t>
  </si>
  <si>
    <t>Spring Chinook Pop. Size Category</t>
  </si>
  <si>
    <t>Minimum Abundance Threshold</t>
  </si>
  <si>
    <t>Sthd. Weighted Streambed Area (km2)</t>
  </si>
  <si>
    <t>Steelhead Pop. Size Category</t>
  </si>
  <si>
    <t>Far Upper CR</t>
  </si>
  <si>
    <t>NA</t>
  </si>
  <si>
    <t>Kootenay/Transb.</t>
  </si>
  <si>
    <t>Pend Oreille/Transb./Salmo</t>
  </si>
  <si>
    <t>Proportion of UCR Historic Harvest</t>
  </si>
  <si>
    <t>Assumed percentage of tribal harvest from various steelhead MPGs and populations, a function of the Tribe's U&amp;A and use of invited fisheries.</t>
  </si>
  <si>
    <t>San/K/C</t>
  </si>
  <si>
    <t>East Cascades</t>
  </si>
  <si>
    <t>TOTAL</t>
  </si>
  <si>
    <t>Estimated Total Steelhead Harvest</t>
  </si>
  <si>
    <t>Pend Oreille/Transb.</t>
  </si>
  <si>
    <t>Combined</t>
  </si>
  <si>
    <t>Estimated # of steelhead harvested by each tribe, assigned to various MPGs and populations per the assumed percentages above.</t>
  </si>
  <si>
    <t>Estimated Total Spring Chinook Harvest</t>
  </si>
  <si>
    <r>
      <t xml:space="preserve">Abundance estimates under various catch efficiencies per MPG and Population based upon tribe's historic harvest of </t>
    </r>
    <r>
      <rPr>
        <b/>
        <sz val="11"/>
        <color theme="1"/>
        <rFont val="Calibri"/>
        <family val="2"/>
        <scheme val="minor"/>
      </rPr>
      <t>Steelhead</t>
    </r>
    <r>
      <rPr>
        <sz val="11"/>
        <color theme="1"/>
        <rFont val="Calibri"/>
        <family val="2"/>
        <scheme val="minor"/>
      </rPr>
      <t>, similar to Scholz Table 3.8</t>
    </r>
  </si>
  <si>
    <t>PEN (Pend Oreille/Transboundary)</t>
  </si>
  <si>
    <t>HWR (Columbia Headwaters)</t>
  </si>
  <si>
    <t>UCR Total Steelhead</t>
  </si>
  <si>
    <t>Sport Fishery</t>
  </si>
  <si>
    <t>Assumed 12.5% of Regional Harvest</t>
  </si>
  <si>
    <t>Percentage of totals from the above table for use in setting harvest goals for the blocked area, upstream of Chief Joseph Dam</t>
  </si>
  <si>
    <t>Percent of Total</t>
  </si>
  <si>
    <t>from UCR grp</t>
  </si>
  <si>
    <t>Spokane / L. Spokane</t>
  </si>
  <si>
    <t>Low goal</t>
  </si>
  <si>
    <t>Med goal</t>
  </si>
  <si>
    <t>High goal</t>
  </si>
  <si>
    <t>Passing &gt; Chief Joseph</t>
  </si>
  <si>
    <t>10-yr avg</t>
  </si>
  <si>
    <t>Anticipated</t>
  </si>
  <si>
    <t>production</t>
  </si>
  <si>
    <t>50,000 - 3 mil</t>
  </si>
  <si>
    <t>Limits</t>
  </si>
  <si>
    <t>20-50%</t>
  </si>
  <si>
    <t>Stock</t>
  </si>
  <si>
    <t>Record type</t>
  </si>
  <si>
    <t>Subject</t>
  </si>
  <si>
    <t>Variable</t>
  </si>
  <si>
    <t>Value</t>
  </si>
  <si>
    <t>Units</t>
  </si>
  <si>
    <t>Method</t>
  </si>
  <si>
    <t>Years</t>
  </si>
  <si>
    <t>Quantitative Goal Rules</t>
  </si>
  <si>
    <t>Reference</t>
  </si>
  <si>
    <t>Reference Link</t>
  </si>
  <si>
    <t>Notes</t>
  </si>
  <si>
    <t>Upper Columbia Steelhead</t>
  </si>
  <si>
    <t>na</t>
  </si>
  <si>
    <t>natural origin spawners adults</t>
  </si>
  <si>
    <t>geomean</t>
  </si>
  <si>
    <t>Recovery plan does not identify goals for Crab creek. Historically was not a lot of water, now there might be more water</t>
  </si>
  <si>
    <t>minimum abundance threshold</t>
  </si>
  <si>
    <t>not applicable</t>
  </si>
  <si>
    <t>Low range - 1</t>
  </si>
  <si>
    <t>UCSRB. 2007. Upper Columbia Spring Chinook Salmon and Steelhead Recovery Plan</t>
  </si>
  <si>
    <t>https://www.westcoast.fisheries.noaa.gov/protected_species/salmon_steelhead/recovery_planning_and_implementation/upper_columbia/upper_columbia_spring_chinook_steelhead_recovery_plan.html</t>
  </si>
  <si>
    <t>Low range - 2</t>
  </si>
  <si>
    <t>UCR Regional Technical Team</t>
  </si>
  <si>
    <t>Defined to produce equivalent number of fish to historical fishery area (based on MATs for upstream populations)</t>
  </si>
  <si>
    <t>3x MAT</t>
  </si>
  <si>
    <t>Mid-way between low- and high-range goals</t>
  </si>
  <si>
    <t>Mid range - 2</t>
  </si>
  <si>
    <t>High range - 4</t>
  </si>
  <si>
    <t>1.5x mid-range goal</t>
  </si>
  <si>
    <t>High range - 3</t>
  </si>
  <si>
    <t>https://ecosystems.azurewebsites.net/hstr-methow/</t>
  </si>
  <si>
    <t>Current Condition Equilibrium Abundance from EDT</t>
  </si>
  <si>
    <t>EDT Model (scenario)</t>
  </si>
  <si>
    <t>2013 US equilib. Abund. = 875 (2009 estimate = 1079); Canadian equilib. Abund = 1028.</t>
  </si>
  <si>
    <t>https://static1.squarespace.com/static/56f45574d51cd42551248613/t/57bf62809de4bb78a0b5740a/1472160389608/OBMEP+2015+Annual+Report.pdf</t>
  </si>
  <si>
    <t>Defined to produce equivalent number of fish to historical fishery area</t>
  </si>
  <si>
    <t>Mid range - 5</t>
  </si>
  <si>
    <t>pre 1900</t>
  </si>
  <si>
    <t>From Table 5 of Mullen et al. 1992, they assumed steelhead were 5% of the fish populations in these watersheds</t>
  </si>
  <si>
    <t>harvest-based</t>
  </si>
  <si>
    <t>extrapolation of Scholz estimates are unreasonably high, Mullen has no legitamate estimate pre-settlement so we will use EDT template for the US (~5,000) and double that to cover the Canadian Okanagan (70% of the watershed is in Canada)</t>
  </si>
  <si>
    <t>EDT Model (template)</t>
  </si>
  <si>
    <t>Historical tribal consumption &amp; harvest rate assumptions adapted from Scholz et al.</t>
  </si>
  <si>
    <t>blocked area</t>
  </si>
  <si>
    <t>Present condition</t>
  </si>
  <si>
    <t>NOR</t>
  </si>
  <si>
    <t>NOSAEJ</t>
  </si>
  <si>
    <t>WDFW data</t>
  </si>
  <si>
    <t>https://www.streamnet.org/ca-priority-data/</t>
  </si>
  <si>
    <t>2008-2017</t>
  </si>
  <si>
    <t>Escapement (natural origin)</t>
  </si>
  <si>
    <t>Year</t>
  </si>
  <si>
    <t>wild</t>
  </si>
  <si>
    <t xml:space="preserve"> Priest Rapids Dam Counts Separated into Components (Run Year = July 1 - June 30)</t>
  </si>
  <si>
    <t>Fishery Impact rates by stock (vs BON abundance)</t>
  </si>
  <si>
    <t>Fishery Impact rates by stock (vs CR abundance)</t>
  </si>
  <si>
    <t>Zone 6 Harvest</t>
  </si>
  <si>
    <t>BON return</t>
  </si>
  <si>
    <t>Zone 6 fishery impact (v BON)</t>
  </si>
  <si>
    <t>Zone 6 fishery harvest</t>
  </si>
  <si>
    <t>Zone 6 fishery impact (v BON count)</t>
  </si>
  <si>
    <t>LCR fishery impact (v Col R run)</t>
  </si>
  <si>
    <t>LCR fishery harvest</t>
  </si>
  <si>
    <t>Fishery harvest</t>
  </si>
  <si>
    <t>Columbia River run</t>
  </si>
  <si>
    <t>Fishery impact (v Col R)</t>
  </si>
  <si>
    <t>Total Zone 6 (treaty &amp; non)</t>
  </si>
  <si>
    <t>Treaty only</t>
  </si>
  <si>
    <t>Nontreaty only</t>
  </si>
  <si>
    <t>Nontreaty</t>
  </si>
  <si>
    <t>Nontreaty total</t>
  </si>
  <si>
    <t>Treaty</t>
  </si>
  <si>
    <t>Group A</t>
  </si>
  <si>
    <t>Group B</t>
  </si>
  <si>
    <t>Sport harvest MCN-PRD</t>
  </si>
  <si>
    <t>BON-MCN</t>
  </si>
  <si>
    <t>MCN-PRD</t>
  </si>
  <si>
    <t>Unclipped</t>
  </si>
  <si>
    <t>Clipped</t>
  </si>
  <si>
    <t>conv</t>
  </si>
  <si>
    <t>(Wild)</t>
  </si>
  <si>
    <t>(Hat )</t>
  </si>
  <si>
    <t>Wild</t>
  </si>
  <si>
    <t xml:space="preserve">Hat </t>
  </si>
  <si>
    <t>Hat</t>
  </si>
  <si>
    <t>hat</t>
  </si>
  <si>
    <t>PIT tags</t>
  </si>
  <si>
    <t>unclpd</t>
  </si>
  <si>
    <t>clpd</t>
  </si>
  <si>
    <t>total</t>
  </si>
  <si>
    <t>From Run Reconstruction Worksheet</t>
  </si>
  <si>
    <t>@ Bonneville Fam</t>
  </si>
  <si>
    <t>Harvest (total)</t>
  </si>
  <si>
    <t>Recent avg</t>
  </si>
  <si>
    <t>(2006-2015)</t>
  </si>
  <si>
    <t>Mainstem Non-treaty</t>
  </si>
  <si>
    <t>Mainstem Treaty</t>
  </si>
  <si>
    <t>&lt;70%</t>
  </si>
  <si>
    <t>for plot</t>
  </si>
  <si>
    <t>Escapement</t>
  </si>
  <si>
    <t>forwards</t>
  </si>
  <si>
    <t>backwards</t>
  </si>
  <si>
    <t>current</t>
  </si>
  <si>
    <t>Medium</t>
  </si>
  <si>
    <t>actual</t>
  </si>
  <si>
    <t>mort</t>
  </si>
  <si>
    <t>surv</t>
  </si>
  <si>
    <t>cummul</t>
  </si>
  <si>
    <t>#</t>
  </si>
  <si>
    <t>diff</t>
  </si>
  <si>
    <t>terminal run</t>
  </si>
  <si>
    <t>Natl loss from PRD to terminal area</t>
  </si>
  <si>
    <t>Harvest from PRD to terminal area</t>
  </si>
  <si>
    <t>@ PRD</t>
  </si>
  <si>
    <t>Natl loss from BON to PRD</t>
  </si>
  <si>
    <t>Harvest from BON to PRD</t>
  </si>
  <si>
    <t>@BON</t>
  </si>
  <si>
    <t>Natl loss from mouth to BON</t>
  </si>
  <si>
    <t>Harvest from mouth to BON</t>
  </si>
  <si>
    <t>CR run</t>
  </si>
  <si>
    <t>Total harvest</t>
  </si>
  <si>
    <t>ER v mouth</t>
  </si>
  <si>
    <t>Conversion loss</t>
  </si>
  <si>
    <t>%</t>
  </si>
  <si>
    <t>ER goal</t>
  </si>
  <si>
    <t>These are aspirational harvest rates identified to provide progressively reasonable opportunity</t>
  </si>
  <si>
    <t>scalar</t>
  </si>
  <si>
    <t>hatchery</t>
  </si>
  <si>
    <t>Natl loss from LGr to terminal area</t>
  </si>
  <si>
    <t>Harvest from LGR to terminal area</t>
  </si>
  <si>
    <t>harv rates adjusted to maintain similar hatchery escapement</t>
  </si>
  <si>
    <t>Natl loss from BON to MCN</t>
  </si>
  <si>
    <t>Harvest from BON to MCN</t>
  </si>
  <si>
    <t>releases</t>
  </si>
  <si>
    <t>Subjective assumptions for how much hatchery harvest rates might increase relative to wild rates</t>
  </si>
  <si>
    <t>Wells stock, fishery mitigation</t>
  </si>
  <si>
    <t>1.0 - 4.1 mil</t>
  </si>
  <si>
    <t>Col R (Ringold)</t>
  </si>
  <si>
    <t>(clppd only)</t>
  </si>
  <si>
    <t>Spt</t>
  </si>
  <si>
    <t>Spt harv</t>
  </si>
  <si>
    <t>ER v MCN</t>
  </si>
  <si>
    <t>ER v PRD</t>
  </si>
  <si>
    <t>395-PR</t>
  </si>
  <si>
    <t>&gt;PR</t>
  </si>
  <si>
    <t>UCR run (basically past hwy 395 bridge)</t>
  </si>
  <si>
    <t xml:space="preserve"> </t>
  </si>
  <si>
    <t>Terminal fishery impact</t>
  </si>
  <si>
    <t>(v Col R)</t>
  </si>
  <si>
    <t>Exploitation rate (v Col R)</t>
  </si>
  <si>
    <t>Terminal (&gt;PRD)</t>
  </si>
  <si>
    <t>Terminal harvest (sport) - includes above &amp; below PRD</t>
  </si>
  <si>
    <t>U Col Sport</t>
  </si>
  <si>
    <t>Col R Spt</t>
  </si>
  <si>
    <t>New (blocked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</si>
</sst>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_(* #,##0_);_(* \(#,##0\);_(* &quot;-&quot;??_);_(@_)"/>
    <numFmt numFmtId="167" formatCode="#,##0.0"/>
    <numFmt numFmtId="168" formatCode="0.000"/>
  </numFmts>
  <fonts count="36" x14ac:knownFonts="1">
    <font>
      <sz val="11"/>
      <color theme="1"/>
      <name val="Calibri"/>
      <family val="2"/>
      <scheme val="minor"/>
    </font>
    <font>
      <b/>
      <sz val="11"/>
      <color theme="0"/>
      <name val="Calibri"/>
      <family val="2"/>
      <scheme val="minor"/>
    </font>
    <font>
      <b/>
      <sz val="11"/>
      <color theme="1"/>
      <name val="Calibri"/>
      <family val="2"/>
      <scheme val="minor"/>
    </font>
    <font>
      <b/>
      <sz val="8"/>
      <color indexed="81"/>
      <name val="Tahoma"/>
      <family val="2"/>
    </font>
    <font>
      <b/>
      <u/>
      <sz val="11"/>
      <color theme="1"/>
      <name val="Calibri"/>
      <family val="2"/>
      <scheme val="minor"/>
    </font>
    <font>
      <b/>
      <sz val="14"/>
      <color theme="0"/>
      <name val="Calibri"/>
      <family val="2"/>
      <scheme val="minor"/>
    </font>
    <font>
      <i/>
      <sz val="11"/>
      <color theme="1"/>
      <name val="Calibri"/>
      <family val="2"/>
      <scheme val="minor"/>
    </font>
    <font>
      <sz val="11"/>
      <color theme="1"/>
      <name val="Calibri"/>
      <family val="2"/>
      <scheme val="minor"/>
    </font>
    <font>
      <sz val="11"/>
      <color theme="0"/>
      <name val="Calibri"/>
      <family val="2"/>
      <scheme val="minor"/>
    </font>
    <font>
      <b/>
      <vertAlign val="superscript"/>
      <sz val="11"/>
      <color theme="1"/>
      <name val="Calibri"/>
      <family val="2"/>
      <scheme val="minor"/>
    </font>
    <font>
      <b/>
      <u/>
      <sz val="14"/>
      <color theme="1"/>
      <name val="Calibri"/>
      <family val="2"/>
      <scheme val="minor"/>
    </font>
    <font>
      <b/>
      <sz val="9"/>
      <color indexed="81"/>
      <name val="Tahoma"/>
      <family val="2"/>
    </font>
    <font>
      <sz val="11"/>
      <color rgb="FFFF0000"/>
      <name val="Calibri"/>
      <family val="2"/>
      <scheme val="minor"/>
    </font>
    <font>
      <b/>
      <i/>
      <sz val="11"/>
      <color theme="1"/>
      <name val="Calibri"/>
      <family val="2"/>
      <scheme val="minor"/>
    </font>
    <font>
      <sz val="11"/>
      <color theme="4" tint="-0.499984740745262"/>
      <name val="Calibri"/>
      <family val="2"/>
      <scheme val="minor"/>
    </font>
    <font>
      <sz val="11"/>
      <name val="Calibri"/>
      <family val="2"/>
      <scheme val="minor"/>
    </font>
    <font>
      <b/>
      <sz val="11"/>
      <color rgb="FFFF0000"/>
      <name val="Calibri"/>
      <family val="2"/>
      <scheme val="minor"/>
    </font>
    <font>
      <b/>
      <sz val="14"/>
      <color rgb="FFFF0000"/>
      <name val="Calibri"/>
      <family val="2"/>
      <scheme val="minor"/>
    </font>
    <font>
      <sz val="10"/>
      <name val="Arial"/>
      <family val="2"/>
    </font>
    <font>
      <b/>
      <sz val="12"/>
      <color theme="1"/>
      <name val="Calibri"/>
      <family val="2"/>
      <scheme val="minor"/>
    </font>
    <font>
      <sz val="8"/>
      <color indexed="81"/>
      <name val="Tahoma"/>
      <family val="2"/>
    </font>
    <font>
      <sz val="10"/>
      <color theme="1"/>
      <name val="Arial"/>
      <family val="2"/>
    </font>
    <font>
      <sz val="9"/>
      <color indexed="81"/>
      <name val="Tahoma"/>
      <family val="2"/>
    </font>
    <font>
      <u/>
      <sz val="11"/>
      <color theme="1"/>
      <name val="Calibri"/>
      <family val="2"/>
      <scheme val="minor"/>
    </font>
    <font>
      <sz val="14"/>
      <color rgb="FFFF0000"/>
      <name val="Calibri"/>
      <family val="2"/>
      <scheme val="minor"/>
    </font>
    <font>
      <b/>
      <sz val="8"/>
      <color theme="1"/>
      <name val="Calibri"/>
      <family val="2"/>
      <scheme val="minor"/>
    </font>
    <font>
      <sz val="11"/>
      <color theme="0" tint="-0.499984740745262"/>
      <name val="Calibri"/>
      <family val="2"/>
      <scheme val="minor"/>
    </font>
    <font>
      <b/>
      <u/>
      <sz val="9"/>
      <color indexed="81"/>
      <name val="Tahoma"/>
      <family val="2"/>
    </font>
    <font>
      <u/>
      <sz val="11"/>
      <color theme="10"/>
      <name val="Calibri"/>
      <family val="2"/>
      <scheme val="minor"/>
    </font>
    <font>
      <sz val="11"/>
      <color theme="8" tint="-0.499984740745262"/>
      <name val="Calibri"/>
      <family val="2"/>
      <scheme val="minor"/>
    </font>
    <font>
      <b/>
      <sz val="11"/>
      <color theme="8" tint="-0.499984740745262"/>
      <name val="Calibri"/>
      <family val="2"/>
      <scheme val="minor"/>
    </font>
    <font>
      <b/>
      <sz val="11"/>
      <name val="Calibri"/>
      <family val="2"/>
      <scheme val="minor"/>
    </font>
    <font>
      <sz val="11"/>
      <color rgb="FF000000"/>
      <name val="Calibri"/>
      <family val="2"/>
      <scheme val="minor"/>
    </font>
    <font>
      <sz val="14"/>
      <color theme="1"/>
      <name val="Calibri"/>
      <family val="2"/>
      <scheme val="minor"/>
    </font>
    <font>
      <b/>
      <sz val="14"/>
      <color theme="1"/>
      <name val="Calibri"/>
      <family val="2"/>
      <scheme val="minor"/>
    </font>
    <font>
      <sz val="14"/>
      <color theme="0" tint="-0.499984740745262"/>
      <name val="Calibri"/>
      <family val="2"/>
      <scheme val="minor"/>
    </font>
  </fonts>
  <fills count="20">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8D85"/>
        <bgColor indexed="64"/>
      </patternFill>
    </fill>
    <fill>
      <patternFill patternType="solid">
        <fgColor rgb="FFB9FFFC"/>
        <bgColor indexed="64"/>
      </patternFill>
    </fill>
    <fill>
      <patternFill patternType="solid">
        <fgColor rgb="FFDDFFFD"/>
        <bgColor indexed="64"/>
      </patternFill>
    </fill>
  </fills>
  <borders count="3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7" fillId="0" borderId="0" applyFont="0" applyFill="0" applyBorder="0" applyAlignment="0" applyProtection="0"/>
    <xf numFmtId="0" fontId="18" fillId="0" borderId="0"/>
    <xf numFmtId="43" fontId="7" fillId="0" borderId="0" applyFont="0" applyFill="0" applyBorder="0" applyAlignment="0" applyProtection="0"/>
    <xf numFmtId="0" fontId="28" fillId="0" borderId="0" applyNumberFormat="0" applyFill="0" applyBorder="0" applyAlignment="0" applyProtection="0"/>
  </cellStyleXfs>
  <cellXfs count="562">
    <xf numFmtId="0" fontId="0" fillId="0" borderId="0" xfId="0"/>
    <xf numFmtId="0" fontId="1" fillId="2" borderId="0" xfId="0" applyFont="1" applyFill="1"/>
    <xf numFmtId="0" fontId="0" fillId="2" borderId="0" xfId="0" applyFill="1"/>
    <xf numFmtId="0" fontId="5" fillId="2" borderId="0" xfId="0" applyFont="1" applyFill="1"/>
    <xf numFmtId="0" fontId="2" fillId="4" borderId="1" xfId="0" applyFont="1" applyFill="1" applyBorder="1"/>
    <xf numFmtId="0" fontId="2" fillId="4" borderId="2" xfId="0" applyFont="1" applyFill="1" applyBorder="1" applyAlignment="1">
      <alignment horizontal="center"/>
    </xf>
    <xf numFmtId="0" fontId="2" fillId="4" borderId="1" xfId="0" applyFont="1" applyFill="1" applyBorder="1" applyAlignment="1">
      <alignment horizontal="center"/>
    </xf>
    <xf numFmtId="0" fontId="2" fillId="0" borderId="0" xfId="0" applyFont="1"/>
    <xf numFmtId="0" fontId="0" fillId="0" borderId="0" xfId="0" applyAlignment="1">
      <alignment horizontal="center"/>
    </xf>
    <xf numFmtId="3" fontId="0" fillId="2" borderId="0" xfId="0" applyNumberFormat="1" applyFill="1"/>
    <xf numFmtId="3" fontId="2" fillId="4" borderId="2" xfId="0" applyNumberFormat="1" applyFont="1" applyFill="1" applyBorder="1" applyAlignment="1">
      <alignment horizontal="center"/>
    </xf>
    <xf numFmtId="3" fontId="0" fillId="0" borderId="0" xfId="0" applyNumberFormat="1"/>
    <xf numFmtId="0" fontId="8" fillId="2" borderId="0" xfId="0" applyFont="1" applyFill="1"/>
    <xf numFmtId="0" fontId="10" fillId="5" borderId="0" xfId="0" applyFont="1" applyFill="1"/>
    <xf numFmtId="0" fontId="4" fillId="5" borderId="0" xfId="0" applyFont="1" applyFill="1"/>
    <xf numFmtId="0" fontId="4" fillId="5" borderId="0" xfId="0" applyFont="1" applyFill="1" applyAlignment="1">
      <alignment horizontal="centerContinuous"/>
    </xf>
    <xf numFmtId="0" fontId="2" fillId="5" borderId="0" xfId="0"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6" fillId="3" borderId="0" xfId="0" applyFont="1" applyFill="1"/>
    <xf numFmtId="0" fontId="6" fillId="3" borderId="0" xfId="0" applyFont="1" applyFill="1" applyAlignment="1">
      <alignment horizontal="center" vertical="center" wrapText="1"/>
    </xf>
    <xf numFmtId="0" fontId="6" fillId="3" borderId="1" xfId="0" applyFont="1" applyFill="1" applyBorder="1"/>
    <xf numFmtId="0" fontId="6" fillId="3" borderId="1" xfId="0" applyFont="1" applyFill="1" applyBorder="1" applyAlignment="1">
      <alignment horizontal="center" vertical="center" wrapText="1"/>
    </xf>
    <xf numFmtId="0" fontId="0" fillId="0" borderId="0" xfId="0" quotePrefix="1" applyAlignment="1">
      <alignment horizontal="center"/>
    </xf>
    <xf numFmtId="0" fontId="2" fillId="5" borderId="0" xfId="0" applyFont="1" applyFill="1"/>
    <xf numFmtId="0" fontId="2" fillId="5" borderId="0" xfId="0" applyFont="1" applyFill="1" applyAlignment="1">
      <alignment horizontal="centerContinuous"/>
    </xf>
    <xf numFmtId="0" fontId="2" fillId="5" borderId="0" xfId="0" applyFont="1" applyFill="1" applyAlignment="1">
      <alignment horizontal="center"/>
    </xf>
    <xf numFmtId="0" fontId="2" fillId="5" borderId="0" xfId="0" applyFont="1" applyFill="1" applyAlignment="1">
      <alignment vertical="center"/>
    </xf>
    <xf numFmtId="0" fontId="2" fillId="5" borderId="0" xfId="0" applyFont="1" applyFill="1" applyAlignment="1">
      <alignment horizontal="center" vertical="center"/>
    </xf>
    <xf numFmtId="0" fontId="2" fillId="4" borderId="0" xfId="0" applyFont="1" applyFill="1" applyAlignment="1">
      <alignment horizontal="center"/>
    </xf>
    <xf numFmtId="0" fontId="2" fillId="4" borderId="6" xfId="0" applyFont="1" applyFill="1" applyBorder="1" applyAlignment="1">
      <alignment horizontal="center"/>
    </xf>
    <xf numFmtId="0" fontId="2" fillId="4" borderId="6" xfId="0" applyFont="1" applyFill="1" applyBorder="1"/>
    <xf numFmtId="0" fontId="13" fillId="6" borderId="0" xfId="0" applyFont="1" applyFill="1"/>
    <xf numFmtId="3" fontId="13" fillId="6" borderId="0" xfId="0" applyNumberFormat="1" applyFont="1" applyFill="1"/>
    <xf numFmtId="0" fontId="6" fillId="3" borderId="0" xfId="0" applyFont="1" applyFill="1" applyAlignment="1">
      <alignment horizontal="center"/>
    </xf>
    <xf numFmtId="164" fontId="0" fillId="0" borderId="0" xfId="0" applyNumberFormat="1" applyAlignment="1">
      <alignment horizontal="center"/>
    </xf>
    <xf numFmtId="0" fontId="12" fillId="0" borderId="0" xfId="0" applyFont="1" applyAlignment="1">
      <alignment horizontal="center"/>
    </xf>
    <xf numFmtId="3" fontId="0" fillId="0" borderId="0" xfId="0" applyNumberFormat="1" applyAlignment="1">
      <alignment horizontal="right"/>
    </xf>
    <xf numFmtId="3" fontId="1" fillId="2" borderId="0" xfId="0" applyNumberFormat="1" applyFont="1" applyFill="1"/>
    <xf numFmtId="3" fontId="2" fillId="4" borderId="2" xfId="0" applyNumberFormat="1" applyFont="1" applyFill="1" applyBorder="1"/>
    <xf numFmtId="0" fontId="6" fillId="0" borderId="0" xfId="0" applyFont="1"/>
    <xf numFmtId="1" fontId="0" fillId="0" borderId="0" xfId="0" applyNumberFormat="1"/>
    <xf numFmtId="3" fontId="4" fillId="5" borderId="0" xfId="0" applyNumberFormat="1" applyFont="1" applyFill="1" applyAlignment="1">
      <alignment horizontal="centerContinuous"/>
    </xf>
    <xf numFmtId="3" fontId="2" fillId="5" borderId="0" xfId="0" applyNumberFormat="1" applyFont="1" applyFill="1" applyAlignment="1">
      <alignment horizontal="center" vertical="center" wrapText="1"/>
    </xf>
    <xf numFmtId="0" fontId="1" fillId="0" borderId="0" xfId="0" applyFont="1"/>
    <xf numFmtId="0" fontId="13" fillId="0" borderId="0" xfId="0" applyFont="1"/>
    <xf numFmtId="164" fontId="6" fillId="3" borderId="0" xfId="0" applyNumberFormat="1" applyFont="1" applyFill="1"/>
    <xf numFmtId="164" fontId="6" fillId="3" borderId="0" xfId="0" applyNumberFormat="1" applyFont="1" applyFill="1" applyAlignment="1">
      <alignment horizontal="center"/>
    </xf>
    <xf numFmtId="0" fontId="2" fillId="4" borderId="0" xfId="0" applyFont="1" applyFill="1"/>
    <xf numFmtId="3" fontId="4" fillId="4" borderId="7" xfId="0" applyNumberFormat="1" applyFont="1" applyFill="1" applyBorder="1" applyAlignment="1">
      <alignment horizontal="centerContinuous"/>
    </xf>
    <xf numFmtId="0" fontId="4" fillId="4" borderId="0" xfId="0" applyFont="1" applyFill="1" applyAlignment="1">
      <alignment horizontal="centerContinuous"/>
    </xf>
    <xf numFmtId="0" fontId="2" fillId="4" borderId="0" xfId="0" applyFont="1" applyFill="1" applyAlignment="1">
      <alignment horizontal="centerContinuous"/>
    </xf>
    <xf numFmtId="0" fontId="2" fillId="4" borderId="8" xfId="0" applyFont="1" applyFill="1" applyBorder="1" applyAlignment="1">
      <alignment horizontal="centerContinuous"/>
    </xf>
    <xf numFmtId="0" fontId="4" fillId="4" borderId="7" xfId="0" applyFont="1" applyFill="1" applyBorder="1" applyAlignment="1">
      <alignment horizontal="centerContinuous"/>
    </xf>
    <xf numFmtId="0" fontId="4" fillId="4" borderId="7" xfId="0" applyFont="1" applyFill="1" applyBorder="1"/>
    <xf numFmtId="0" fontId="0" fillId="8" borderId="0" xfId="0" applyFill="1"/>
    <xf numFmtId="0" fontId="8" fillId="0" borderId="0" xfId="0" applyFont="1"/>
    <xf numFmtId="165" fontId="0" fillId="0" borderId="0" xfId="0" applyNumberFormat="1"/>
    <xf numFmtId="0" fontId="0" fillId="0" borderId="0" xfId="0" applyAlignment="1">
      <alignment horizontal="right"/>
    </xf>
    <xf numFmtId="0" fontId="2" fillId="0" borderId="1" xfId="0" applyFont="1" applyBorder="1"/>
    <xf numFmtId="0" fontId="2" fillId="0" borderId="1" xfId="0" applyFont="1" applyBorder="1" applyAlignment="1">
      <alignment horizontal="center"/>
    </xf>
    <xf numFmtId="0" fontId="4" fillId="0" borderId="0" xfId="0" applyFont="1"/>
    <xf numFmtId="0" fontId="6" fillId="0" borderId="1" xfId="0" applyFont="1" applyBorder="1"/>
    <xf numFmtId="9" fontId="0" fillId="0" borderId="0" xfId="1" applyFont="1"/>
    <xf numFmtId="9" fontId="7" fillId="0" borderId="0" xfId="1" applyAlignment="1">
      <alignment horizontal="center" vertical="center" wrapText="1"/>
    </xf>
    <xf numFmtId="9" fontId="6" fillId="0" borderId="0" xfId="1" applyFont="1"/>
    <xf numFmtId="9" fontId="6" fillId="0" borderId="0" xfId="1" applyFont="1" applyAlignment="1">
      <alignment horizontal="center" vertical="center" wrapText="1"/>
    </xf>
    <xf numFmtId="9" fontId="6" fillId="0" borderId="1" xfId="1" applyFont="1" applyBorder="1"/>
    <xf numFmtId="9" fontId="6" fillId="0" borderId="1" xfId="1" applyFont="1" applyBorder="1" applyAlignment="1">
      <alignment horizontal="center" vertical="center" wrapText="1"/>
    </xf>
    <xf numFmtId="0" fontId="15" fillId="0" borderId="0" xfId="0" quotePrefix="1" applyFont="1" applyAlignment="1">
      <alignment horizontal="center"/>
    </xf>
    <xf numFmtId="0" fontId="15" fillId="0" borderId="0" xfId="0" applyFont="1" applyAlignment="1">
      <alignment horizontal="center"/>
    </xf>
    <xf numFmtId="0" fontId="2" fillId="0" borderId="0" xfId="0" applyFont="1" applyAlignment="1">
      <alignment horizontal="center"/>
    </xf>
    <xf numFmtId="3" fontId="4" fillId="4" borderId="0" xfId="0" applyNumberFormat="1" applyFont="1" applyFill="1" applyAlignment="1">
      <alignment horizontal="centerContinuous"/>
    </xf>
    <xf numFmtId="0" fontId="12" fillId="0" borderId="0" xfId="0" applyFont="1"/>
    <xf numFmtId="3" fontId="2" fillId="4" borderId="1" xfId="0" applyNumberFormat="1" applyFont="1" applyFill="1" applyBorder="1" applyAlignment="1">
      <alignment horizontal="center"/>
    </xf>
    <xf numFmtId="3" fontId="6" fillId="0" borderId="0" xfId="0" applyNumberFormat="1" applyFont="1"/>
    <xf numFmtId="0" fontId="6" fillId="0" borderId="0" xfId="0" applyFont="1" applyAlignment="1">
      <alignment horizontal="center"/>
    </xf>
    <xf numFmtId="0" fontId="2" fillId="6" borderId="0" xfId="0" applyFont="1" applyFill="1"/>
    <xf numFmtId="3" fontId="2" fillId="6" borderId="0" xfId="0" applyNumberFormat="1" applyFont="1" applyFill="1"/>
    <xf numFmtId="0" fontId="17" fillId="8" borderId="0" xfId="0" applyFont="1" applyFill="1" applyAlignment="1">
      <alignment vertical="center"/>
    </xf>
    <xf numFmtId="0" fontId="12" fillId="8" borderId="0" xfId="0" applyFont="1" applyFill="1" applyAlignment="1">
      <alignment vertical="center"/>
    </xf>
    <xf numFmtId="0" fontId="16" fillId="8" borderId="0" xfId="0" applyFont="1" applyFill="1" applyAlignment="1">
      <alignment vertical="center"/>
    </xf>
    <xf numFmtId="0" fontId="12" fillId="8" borderId="0" xfId="0" applyFont="1" applyFill="1"/>
    <xf numFmtId="0" fontId="2" fillId="7" borderId="8" xfId="0" applyFont="1" applyFill="1" applyBorder="1" applyAlignment="1">
      <alignment horizontal="center" vertical="center"/>
    </xf>
    <xf numFmtId="0" fontId="2" fillId="7" borderId="0" xfId="0" applyFont="1" applyFill="1" applyAlignment="1">
      <alignment horizontal="center" vertical="center"/>
    </xf>
    <xf numFmtId="0" fontId="0" fillId="0" borderId="1" xfId="0" applyBorder="1"/>
    <xf numFmtId="0" fontId="0" fillId="0" borderId="7" xfId="0" applyBorder="1"/>
    <xf numFmtId="0" fontId="15" fillId="0" borderId="0" xfId="0" applyFont="1"/>
    <xf numFmtId="0" fontId="18" fillId="0" borderId="0" xfId="2"/>
    <xf numFmtId="0" fontId="15" fillId="0" borderId="4" xfId="0" applyFont="1" applyBorder="1"/>
    <xf numFmtId="0" fontId="0" fillId="4" borderId="0" xfId="0" applyFill="1"/>
    <xf numFmtId="3" fontId="18" fillId="0" borderId="0" xfId="2" applyNumberFormat="1"/>
    <xf numFmtId="3" fontId="18" fillId="0" borderId="0" xfId="2" quotePrefix="1" applyNumberFormat="1" applyAlignment="1">
      <alignment horizontal="center"/>
    </xf>
    <xf numFmtId="3" fontId="21" fillId="0" borderId="0" xfId="2" applyNumberFormat="1" applyFont="1" applyAlignment="1">
      <alignment horizontal="right"/>
    </xf>
    <xf numFmtId="3" fontId="18" fillId="0" borderId="0" xfId="2" applyNumberFormat="1" applyAlignment="1">
      <alignment horizontal="right"/>
    </xf>
    <xf numFmtId="0" fontId="14" fillId="0" borderId="0" xfId="0" applyFont="1" applyAlignment="1">
      <alignment horizontal="right"/>
    </xf>
    <xf numFmtId="0" fontId="0" fillId="0" borderId="2" xfId="0" applyBorder="1"/>
    <xf numFmtId="0" fontId="2" fillId="10" borderId="12" xfId="0" applyFont="1" applyFill="1" applyBorder="1"/>
    <xf numFmtId="0" fontId="2" fillId="10" borderId="13" xfId="0" applyFont="1" applyFill="1" applyBorder="1"/>
    <xf numFmtId="0" fontId="4" fillId="9" borderId="4" xfId="0" applyFont="1" applyFill="1" applyBorder="1" applyAlignment="1">
      <alignment horizontal="centerContinuous"/>
    </xf>
    <xf numFmtId="0" fontId="2" fillId="9" borderId="4" xfId="0" applyFont="1" applyFill="1" applyBorder="1" applyAlignment="1">
      <alignment horizontal="centerContinuous"/>
    </xf>
    <xf numFmtId="0" fontId="2" fillId="9" borderId="2" xfId="0" applyFont="1" applyFill="1" applyBorder="1"/>
    <xf numFmtId="0" fontId="0" fillId="0" borderId="4" xfId="0" quotePrefix="1" applyBorder="1" applyAlignment="1">
      <alignment horizontal="center"/>
    </xf>
    <xf numFmtId="0" fontId="0" fillId="0" borderId="0" xfId="0" applyAlignment="1">
      <alignment horizontal="left"/>
    </xf>
    <xf numFmtId="0" fontId="0" fillId="0" borderId="0" xfId="0" pivotButton="1"/>
    <xf numFmtId="3" fontId="13" fillId="0" borderId="0" xfId="0" applyNumberFormat="1" applyFont="1"/>
    <xf numFmtId="166" fontId="0" fillId="0" borderId="0" xfId="3" applyNumberFormat="1" applyFont="1" applyAlignment="1">
      <alignment horizontal="center"/>
    </xf>
    <xf numFmtId="3" fontId="0" fillId="0" borderId="0" xfId="0" applyNumberFormat="1" applyAlignment="1">
      <alignment horizontal="center"/>
    </xf>
    <xf numFmtId="3" fontId="2" fillId="11" borderId="15" xfId="0" applyNumberFormat="1" applyFont="1" applyFill="1" applyBorder="1" applyAlignment="1">
      <alignment horizontal="center"/>
    </xf>
    <xf numFmtId="3" fontId="2" fillId="11" borderId="16" xfId="0" applyNumberFormat="1" applyFont="1" applyFill="1" applyBorder="1" applyAlignment="1">
      <alignment horizontal="center"/>
    </xf>
    <xf numFmtId="3" fontId="2" fillId="11" borderId="17" xfId="0" applyNumberFormat="1" applyFont="1" applyFill="1" applyBorder="1" applyAlignment="1">
      <alignment horizontal="center"/>
    </xf>
    <xf numFmtId="0" fontId="0" fillId="11" borderId="16" xfId="0" applyFill="1" applyBorder="1"/>
    <xf numFmtId="3" fontId="2" fillId="11" borderId="19" xfId="0" applyNumberFormat="1" applyFont="1" applyFill="1" applyBorder="1" applyAlignment="1">
      <alignment horizontal="center"/>
    </xf>
    <xf numFmtId="3" fontId="2" fillId="11" borderId="1" xfId="0" applyNumberFormat="1" applyFont="1" applyFill="1" applyBorder="1" applyAlignment="1">
      <alignment horizontal="center"/>
    </xf>
    <xf numFmtId="0" fontId="2" fillId="11" borderId="1" xfId="0" applyFont="1" applyFill="1" applyBorder="1"/>
    <xf numFmtId="0" fontId="2" fillId="11" borderId="20" xfId="0" applyFont="1" applyFill="1" applyBorder="1"/>
    <xf numFmtId="3" fontId="0" fillId="11" borderId="21" xfId="0" applyNumberFormat="1" applyFill="1" applyBorder="1" applyAlignment="1">
      <alignment horizontal="center"/>
    </xf>
    <xf numFmtId="3" fontId="0" fillId="11" borderId="0" xfId="0" applyNumberFormat="1" applyFill="1" applyAlignment="1">
      <alignment horizontal="center"/>
    </xf>
    <xf numFmtId="0" fontId="0" fillId="11" borderId="0" xfId="0" applyFill="1"/>
    <xf numFmtId="3" fontId="2" fillId="11" borderId="23" xfId="0" applyNumberFormat="1" applyFont="1" applyFill="1" applyBorder="1" applyAlignment="1">
      <alignment horizontal="center"/>
    </xf>
    <xf numFmtId="3" fontId="2" fillId="11" borderId="14" xfId="0" applyNumberFormat="1" applyFont="1" applyFill="1" applyBorder="1" applyAlignment="1">
      <alignment horizontal="center"/>
    </xf>
    <xf numFmtId="0" fontId="2" fillId="11" borderId="14" xfId="0" applyFont="1" applyFill="1" applyBorder="1"/>
    <xf numFmtId="0" fontId="2" fillId="11" borderId="24" xfId="0" applyFont="1" applyFill="1" applyBorder="1"/>
    <xf numFmtId="0" fontId="2" fillId="11" borderId="25" xfId="0" applyFont="1" applyFill="1" applyBorder="1" applyAlignment="1">
      <alignment horizontal="center"/>
    </xf>
    <xf numFmtId="0" fontId="2" fillId="11" borderId="26" xfId="0" applyFont="1" applyFill="1" applyBorder="1" applyAlignment="1">
      <alignment horizontal="center"/>
    </xf>
    <xf numFmtId="0" fontId="2" fillId="11" borderId="26" xfId="0" applyFont="1" applyFill="1" applyBorder="1"/>
    <xf numFmtId="3" fontId="2" fillId="0" borderId="15" xfId="0" applyNumberFormat="1" applyFont="1" applyBorder="1" applyAlignment="1">
      <alignment horizontal="center"/>
    </xf>
    <xf numFmtId="0" fontId="0" fillId="0" borderId="16" xfId="0" applyBorder="1"/>
    <xf numFmtId="3" fontId="2" fillId="0" borderId="1" xfId="0" applyNumberFormat="1" applyFont="1" applyBorder="1" applyAlignment="1">
      <alignment horizontal="center"/>
    </xf>
    <xf numFmtId="0" fontId="2" fillId="0" borderId="20" xfId="0" applyFont="1" applyBorder="1"/>
    <xf numFmtId="3" fontId="0" fillId="0" borderId="21" xfId="0" applyNumberFormat="1" applyBorder="1" applyAlignment="1">
      <alignment horizontal="center"/>
    </xf>
    <xf numFmtId="3" fontId="2" fillId="0" borderId="16" xfId="0" applyNumberFormat="1" applyFont="1" applyBorder="1" applyAlignment="1">
      <alignment horizontal="center"/>
    </xf>
    <xf numFmtId="3" fontId="0" fillId="0" borderId="19" xfId="0" applyNumberFormat="1" applyBorder="1" applyAlignment="1">
      <alignment horizontal="center"/>
    </xf>
    <xf numFmtId="3" fontId="0" fillId="0" borderId="1" xfId="0" applyNumberFormat="1" applyBorder="1" applyAlignment="1">
      <alignment horizontal="center"/>
    </xf>
    <xf numFmtId="3" fontId="6" fillId="0" borderId="21" xfId="0" applyNumberFormat="1" applyFont="1" applyBorder="1" applyAlignment="1">
      <alignment horizontal="center"/>
    </xf>
    <xf numFmtId="3" fontId="6" fillId="0" borderId="0" xfId="0" applyNumberFormat="1" applyFont="1" applyAlignment="1">
      <alignment horizontal="center"/>
    </xf>
    <xf numFmtId="3" fontId="2" fillId="0" borderId="15" xfId="0" applyNumberFormat="1" applyFont="1" applyBorder="1"/>
    <xf numFmtId="3" fontId="2" fillId="0" borderId="19" xfId="0" applyNumberFormat="1" applyFont="1" applyBorder="1"/>
    <xf numFmtId="3" fontId="2" fillId="0" borderId="21" xfId="0" applyNumberFormat="1" applyFont="1" applyBorder="1"/>
    <xf numFmtId="0" fontId="0" fillId="0" borderId="22" xfId="0" applyBorder="1"/>
    <xf numFmtId="0" fontId="0" fillId="0" borderId="30" xfId="0" applyBorder="1"/>
    <xf numFmtId="0" fontId="2" fillId="0" borderId="16" xfId="0" applyFont="1" applyBorder="1"/>
    <xf numFmtId="3" fontId="0" fillId="0" borderId="19" xfId="0" applyNumberFormat="1" applyBorder="1"/>
    <xf numFmtId="3" fontId="0" fillId="0" borderId="21" xfId="0" applyNumberFormat="1" applyBorder="1"/>
    <xf numFmtId="164" fontId="0" fillId="0" borderId="0" xfId="1" applyNumberFormat="1" applyFont="1"/>
    <xf numFmtId="3" fontId="6" fillId="0" borderId="21" xfId="0" applyNumberFormat="1" applyFont="1" applyBorder="1"/>
    <xf numFmtId="9" fontId="0" fillId="12" borderId="15" xfId="1" applyFont="1" applyFill="1" applyBorder="1" applyAlignment="1">
      <alignment horizontal="center"/>
    </xf>
    <xf numFmtId="0" fontId="0" fillId="12" borderId="18" xfId="0" applyFill="1" applyBorder="1" applyAlignment="1">
      <alignment horizontal="center"/>
    </xf>
    <xf numFmtId="9" fontId="0" fillId="12" borderId="21" xfId="1" applyFont="1" applyFill="1" applyBorder="1" applyAlignment="1">
      <alignment horizontal="center"/>
    </xf>
    <xf numFmtId="0" fontId="0" fillId="12" borderId="22" xfId="0" applyFill="1" applyBorder="1" applyAlignment="1">
      <alignment horizontal="center"/>
    </xf>
    <xf numFmtId="0" fontId="0" fillId="12" borderId="25" xfId="0" applyFill="1" applyBorder="1" applyAlignment="1">
      <alignment horizontal="center"/>
    </xf>
    <xf numFmtId="0" fontId="0" fillId="12" borderId="27" xfId="0" applyFill="1" applyBorder="1" applyAlignment="1">
      <alignment horizontal="center"/>
    </xf>
    <xf numFmtId="0" fontId="4" fillId="4" borderId="0" xfId="0" applyFont="1" applyFill="1" applyAlignment="1">
      <alignment horizontal="center"/>
    </xf>
    <xf numFmtId="0" fontId="1" fillId="2" borderId="0" xfId="0" applyFont="1" applyFill="1" applyAlignment="1">
      <alignment horizontal="center"/>
    </xf>
    <xf numFmtId="0" fontId="13" fillId="6" borderId="0" xfId="0" applyFont="1" applyFill="1" applyAlignment="1">
      <alignment horizontal="center"/>
    </xf>
    <xf numFmtId="0" fontId="2" fillId="6" borderId="0" xfId="0" applyFont="1" applyFill="1" applyAlignment="1">
      <alignment horizontal="center"/>
    </xf>
    <xf numFmtId="0" fontId="0" fillId="12" borderId="0" xfId="0" applyFill="1" applyAlignment="1">
      <alignment horizontal="center"/>
    </xf>
    <xf numFmtId="3" fontId="0" fillId="0" borderId="5" xfId="0" applyNumberFormat="1" applyBorder="1" applyAlignment="1">
      <alignment horizontal="right"/>
    </xf>
    <xf numFmtId="3" fontId="0" fillId="0" borderId="7" xfId="0" applyNumberFormat="1" applyBorder="1" applyAlignment="1">
      <alignment horizontal="right"/>
    </xf>
    <xf numFmtId="3" fontId="0" fillId="0" borderId="8" xfId="0" applyNumberFormat="1" applyBorder="1" applyAlignment="1">
      <alignment horizontal="right"/>
    </xf>
    <xf numFmtId="3" fontId="0" fillId="0" borderId="2" xfId="0" applyNumberFormat="1" applyBorder="1" applyAlignment="1">
      <alignment horizontal="right"/>
    </xf>
    <xf numFmtId="3" fontId="0" fillId="0" borderId="6" xfId="0" applyNumberFormat="1" applyBorder="1" applyAlignment="1">
      <alignment horizontal="right"/>
    </xf>
    <xf numFmtId="9" fontId="0" fillId="0" borderId="0" xfId="0" applyNumberFormat="1"/>
    <xf numFmtId="0" fontId="2" fillId="11" borderId="18" xfId="0" applyFont="1" applyFill="1" applyBorder="1"/>
    <xf numFmtId="0" fontId="2" fillId="0" borderId="18" xfId="0" applyFont="1" applyBorder="1"/>
    <xf numFmtId="0" fontId="2" fillId="0" borderId="26" xfId="0" applyFont="1" applyBorder="1" applyAlignment="1">
      <alignment horizontal="center"/>
    </xf>
    <xf numFmtId="0" fontId="0" fillId="0" borderId="20" xfId="0" applyBorder="1"/>
    <xf numFmtId="0" fontId="6" fillId="0" borderId="22" xfId="0" applyFont="1" applyBorder="1" applyAlignment="1">
      <alignment horizontal="right"/>
    </xf>
    <xf numFmtId="0" fontId="2" fillId="0" borderId="25" xfId="0" applyFont="1" applyBorder="1" applyAlignment="1">
      <alignment horizontal="center"/>
    </xf>
    <xf numFmtId="0" fontId="2" fillId="0" borderId="27" xfId="0" applyFont="1" applyBorder="1"/>
    <xf numFmtId="0" fontId="0" fillId="11" borderId="20" xfId="0" applyFill="1" applyBorder="1"/>
    <xf numFmtId="0" fontId="0" fillId="11" borderId="22" xfId="0" applyFill="1" applyBorder="1"/>
    <xf numFmtId="0" fontId="2" fillId="0" borderId="16" xfId="0" applyFont="1" applyBorder="1" applyAlignment="1">
      <alignment horizontal="center"/>
    </xf>
    <xf numFmtId="0" fontId="0" fillId="0" borderId="1" xfId="0" applyBorder="1" applyAlignment="1">
      <alignment horizontal="center"/>
    </xf>
    <xf numFmtId="2" fontId="6" fillId="0" borderId="0" xfId="0" applyNumberFormat="1" applyFont="1"/>
    <xf numFmtId="0" fontId="2" fillId="0" borderId="15" xfId="0" applyFont="1" applyBorder="1"/>
    <xf numFmtId="0" fontId="0" fillId="0" borderId="19" xfId="0" applyBorder="1" applyAlignment="1">
      <alignment horizontal="center"/>
    </xf>
    <xf numFmtId="0" fontId="0" fillId="0" borderId="21" xfId="0" applyBorder="1" applyAlignment="1">
      <alignment horizontal="center"/>
    </xf>
    <xf numFmtId="0" fontId="6" fillId="0" borderId="21" xfId="0" applyFont="1" applyBorder="1" applyAlignment="1">
      <alignment horizontal="center"/>
    </xf>
    <xf numFmtId="37" fontId="0" fillId="0" borderId="0" xfId="3" applyNumberFormat="1" applyFont="1"/>
    <xf numFmtId="3" fontId="2" fillId="11" borderId="15" xfId="0" applyNumberFormat="1" applyFont="1" applyFill="1" applyBorder="1"/>
    <xf numFmtId="3" fontId="2" fillId="11" borderId="16" xfId="0" applyNumberFormat="1" applyFont="1" applyFill="1" applyBorder="1"/>
    <xf numFmtId="0" fontId="2" fillId="11" borderId="16" xfId="0" applyFont="1" applyFill="1" applyBorder="1"/>
    <xf numFmtId="3" fontId="0" fillId="11" borderId="21" xfId="0" applyNumberFormat="1" applyFill="1" applyBorder="1"/>
    <xf numFmtId="3" fontId="0" fillId="11" borderId="0" xfId="0" applyNumberFormat="1" applyFill="1"/>
    <xf numFmtId="4" fontId="0" fillId="11" borderId="0" xfId="0" applyNumberFormat="1" applyFill="1"/>
    <xf numFmtId="3" fontId="0" fillId="11" borderId="19" xfId="0" applyNumberFormat="1" applyFill="1" applyBorder="1"/>
    <xf numFmtId="3" fontId="0" fillId="11" borderId="1" xfId="0" applyNumberFormat="1" applyFill="1" applyBorder="1"/>
    <xf numFmtId="4" fontId="0" fillId="11" borderId="1" xfId="0" applyNumberFormat="1" applyFill="1" applyBorder="1"/>
    <xf numFmtId="4" fontId="0" fillId="12" borderId="0" xfId="0" applyNumberFormat="1" applyFill="1"/>
    <xf numFmtId="0" fontId="0" fillId="12" borderId="22" xfId="0" applyFill="1" applyBorder="1"/>
    <xf numFmtId="3" fontId="0" fillId="12" borderId="0" xfId="0" applyNumberFormat="1" applyFill="1"/>
    <xf numFmtId="3" fontId="15" fillId="0" borderId="0" xfId="0" applyNumberFormat="1" applyFont="1"/>
    <xf numFmtId="0" fontId="0" fillId="0" borderId="1" xfId="0" quotePrefix="1" applyBorder="1" applyAlignment="1">
      <alignment horizontal="center"/>
    </xf>
    <xf numFmtId="0" fontId="2" fillId="3" borderId="12" xfId="0" applyFont="1" applyFill="1" applyBorder="1"/>
    <xf numFmtId="0" fontId="2" fillId="3" borderId="14" xfId="0" applyFont="1" applyFill="1" applyBorder="1"/>
    <xf numFmtId="0" fontId="0" fillId="0" borderId="3" xfId="0" applyBorder="1"/>
    <xf numFmtId="0" fontId="12" fillId="0" borderId="4" xfId="0" applyFont="1" applyBorder="1"/>
    <xf numFmtId="3" fontId="15" fillId="0" borderId="4" xfId="0" applyNumberFormat="1" applyFont="1" applyBorder="1"/>
    <xf numFmtId="3" fontId="0" fillId="0" borderId="4" xfId="0" applyNumberFormat="1" applyBorder="1"/>
    <xf numFmtId="0" fontId="4" fillId="9" borderId="5" xfId="0" applyFont="1" applyFill="1" applyBorder="1" applyAlignment="1">
      <alignment horizontal="centerContinuous"/>
    </xf>
    <xf numFmtId="0" fontId="2" fillId="9" borderId="6" xfId="0" applyFont="1" applyFill="1" applyBorder="1" applyAlignment="1">
      <alignment horizontal="center"/>
    </xf>
    <xf numFmtId="0" fontId="2" fillId="0" borderId="3" xfId="0" quotePrefix="1" applyFont="1" applyBorder="1" applyAlignment="1">
      <alignment horizontal="left"/>
    </xf>
    <xf numFmtId="0" fontId="0" fillId="0" borderId="4" xfId="0" applyBorder="1"/>
    <xf numFmtId="0" fontId="2" fillId="0" borderId="3" xfId="0" applyFont="1" applyBorder="1"/>
    <xf numFmtId="3" fontId="2" fillId="3" borderId="14" xfId="0" applyNumberFormat="1" applyFont="1" applyFill="1" applyBorder="1"/>
    <xf numFmtId="164" fontId="13" fillId="9" borderId="14" xfId="0" applyNumberFormat="1" applyFont="1" applyFill="1" applyBorder="1"/>
    <xf numFmtId="0" fontId="13" fillId="9" borderId="13" xfId="0" applyFont="1" applyFill="1" applyBorder="1" applyAlignment="1">
      <alignment horizontal="center"/>
    </xf>
    <xf numFmtId="3" fontId="2" fillId="0" borderId="0" xfId="0" applyNumberFormat="1" applyFont="1" applyAlignment="1">
      <alignment horizontal="center"/>
    </xf>
    <xf numFmtId="9" fontId="2" fillId="0" borderId="8" xfId="1" applyFont="1" applyBorder="1" applyAlignment="1">
      <alignment horizontal="center"/>
    </xf>
    <xf numFmtId="0" fontId="4" fillId="3" borderId="4" xfId="0" applyFont="1" applyFill="1" applyBorder="1" applyAlignment="1">
      <alignment horizontal="centerContinuous"/>
    </xf>
    <xf numFmtId="0" fontId="2" fillId="3" borderId="1" xfId="0" applyFont="1" applyFill="1" applyBorder="1" applyAlignment="1">
      <alignment horizontal="center"/>
    </xf>
    <xf numFmtId="0" fontId="2" fillId="3" borderId="4" xfId="0" applyFont="1" applyFill="1" applyBorder="1" applyAlignment="1">
      <alignment horizontal="center"/>
    </xf>
    <xf numFmtId="0" fontId="0" fillId="11" borderId="22" xfId="0" applyFill="1" applyBorder="1" applyAlignment="1">
      <alignment horizontal="left" vertical="center"/>
    </xf>
    <xf numFmtId="0" fontId="0" fillId="0" borderId="0" xfId="0" applyAlignment="1">
      <alignment horizontal="left" vertical="top" wrapText="1"/>
    </xf>
    <xf numFmtId="0" fontId="2" fillId="0" borderId="0" xfId="0" applyFont="1" applyAlignment="1">
      <alignment horizontal="left"/>
    </xf>
    <xf numFmtId="3" fontId="0" fillId="0" borderId="0" xfId="3" applyNumberFormat="1" applyFont="1" applyAlignment="1">
      <alignment horizontal="center"/>
    </xf>
    <xf numFmtId="3" fontId="2" fillId="0" borderId="0" xfId="3" applyNumberFormat="1" applyFont="1" applyAlignment="1">
      <alignment horizontal="center"/>
    </xf>
    <xf numFmtId="3" fontId="0" fillId="0" borderId="1" xfId="3" applyNumberFormat="1" applyFont="1" applyBorder="1" applyAlignment="1">
      <alignment horizontal="center"/>
    </xf>
    <xf numFmtId="166" fontId="2" fillId="0" borderId="0" xfId="3" applyNumberFormat="1" applyFont="1"/>
    <xf numFmtId="3" fontId="7" fillId="0" borderId="0" xfId="3" applyNumberFormat="1" applyAlignment="1">
      <alignment horizontal="center"/>
    </xf>
    <xf numFmtId="3" fontId="7" fillId="0" borderId="1" xfId="3" applyNumberFormat="1" applyBorder="1" applyAlignment="1">
      <alignment horizontal="center"/>
    </xf>
    <xf numFmtId="0" fontId="0" fillId="0" borderId="1" xfId="0" applyBorder="1" applyAlignment="1">
      <alignment horizontal="left"/>
    </xf>
    <xf numFmtId="3" fontId="7" fillId="0" borderId="16" xfId="3" applyNumberFormat="1" applyBorder="1" applyAlignment="1">
      <alignment horizontal="center"/>
    </xf>
    <xf numFmtId="43" fontId="2" fillId="0" borderId="0" xfId="3" applyFont="1"/>
    <xf numFmtId="3" fontId="2" fillId="0" borderId="0" xfId="0" applyNumberFormat="1" applyFont="1"/>
    <xf numFmtId="166" fontId="7" fillId="0" borderId="0" xfId="3" applyNumberFormat="1"/>
    <xf numFmtId="0" fontId="0" fillId="0" borderId="0" xfId="0" applyAlignment="1">
      <alignment horizontal="center" vertical="center" wrapText="1"/>
    </xf>
    <xf numFmtId="0" fontId="0" fillId="0" borderId="1" xfId="0" applyBorder="1" applyAlignment="1">
      <alignment horizontal="center" vertical="center" wrapText="1"/>
    </xf>
    <xf numFmtId="167" fontId="0" fillId="0" borderId="0" xfId="0" applyNumberFormat="1" applyAlignment="1">
      <alignment horizontal="center"/>
    </xf>
    <xf numFmtId="167" fontId="0" fillId="11" borderId="0" xfId="0" applyNumberFormat="1" applyFill="1" applyAlignment="1">
      <alignment horizontal="center"/>
    </xf>
    <xf numFmtId="0" fontId="0" fillId="11" borderId="0" xfId="0" applyFill="1" applyAlignment="1">
      <alignment horizontal="center"/>
    </xf>
    <xf numFmtId="167" fontId="0" fillId="0" borderId="1" xfId="0" applyNumberFormat="1" applyBorder="1" applyAlignment="1">
      <alignment horizontal="center"/>
    </xf>
    <xf numFmtId="0" fontId="0" fillId="11" borderId="1" xfId="0" applyFill="1" applyBorder="1"/>
    <xf numFmtId="167" fontId="0" fillId="11" borderId="1" xfId="0" applyNumberFormat="1" applyFill="1" applyBorder="1" applyAlignment="1">
      <alignment horizontal="center"/>
    </xf>
    <xf numFmtId="0" fontId="0" fillId="11" borderId="1" xfId="0" applyFill="1" applyBorder="1" applyAlignment="1">
      <alignment horizontal="center"/>
    </xf>
    <xf numFmtId="3" fontId="0" fillId="0" borderId="4" xfId="0" applyNumberFormat="1" applyBorder="1" applyAlignment="1">
      <alignment horizontal="center"/>
    </xf>
    <xf numFmtId="3" fontId="2" fillId="0" borderId="21" xfId="0" applyNumberFormat="1" applyFont="1" applyBorder="1" applyAlignment="1">
      <alignment horizontal="center"/>
    </xf>
    <xf numFmtId="3" fontId="2" fillId="0" borderId="19" xfId="0" applyNumberFormat="1" applyFont="1" applyBorder="1" applyAlignment="1">
      <alignment horizontal="center"/>
    </xf>
    <xf numFmtId="0" fontId="2" fillId="0" borderId="30" xfId="0" applyFont="1" applyBorder="1"/>
    <xf numFmtId="0" fontId="2" fillId="0" borderId="29" xfId="0" applyFont="1" applyBorder="1"/>
    <xf numFmtId="0" fontId="0" fillId="0" borderId="31" xfId="0" applyBorder="1"/>
    <xf numFmtId="0" fontId="0" fillId="0" borderId="29" xfId="0" applyBorder="1"/>
    <xf numFmtId="0" fontId="0" fillId="0" borderId="32" xfId="0" applyBorder="1"/>
    <xf numFmtId="3" fontId="2" fillId="0" borderId="33" xfId="0" applyNumberFormat="1"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3" fontId="2" fillId="0" borderId="11" xfId="0" applyNumberFormat="1" applyFont="1" applyBorder="1" applyAlignment="1">
      <alignment horizontal="center"/>
    </xf>
    <xf numFmtId="9" fontId="7" fillId="0" borderId="7" xfId="1" applyBorder="1" applyAlignment="1">
      <alignment horizontal="center"/>
    </xf>
    <xf numFmtId="9" fontId="7" fillId="0" borderId="0" xfId="1" applyAlignment="1">
      <alignment horizontal="center"/>
    </xf>
    <xf numFmtId="9" fontId="7" fillId="0" borderId="8" xfId="1" applyBorder="1" applyAlignment="1">
      <alignment horizontal="center"/>
    </xf>
    <xf numFmtId="9" fontId="2" fillId="0" borderId="0" xfId="1" applyFont="1" applyAlignment="1">
      <alignment horizontal="center"/>
    </xf>
    <xf numFmtId="9" fontId="7" fillId="0" borderId="10" xfId="1" applyBorder="1" applyAlignment="1">
      <alignment horizontal="center"/>
    </xf>
    <xf numFmtId="9" fontId="0" fillId="0" borderId="21" xfId="0" applyNumberFormat="1" applyBorder="1"/>
    <xf numFmtId="9" fontId="2" fillId="0" borderId="10" xfId="1" applyFont="1" applyBorder="1" applyAlignment="1">
      <alignment horizontal="center"/>
    </xf>
    <xf numFmtId="3" fontId="0" fillId="0" borderId="6" xfId="0" applyNumberFormat="1" applyBorder="1"/>
    <xf numFmtId="9" fontId="7" fillId="0" borderId="2" xfId="1" applyBorder="1" applyAlignment="1">
      <alignment horizontal="center"/>
    </xf>
    <xf numFmtId="9" fontId="7" fillId="0" borderId="1" xfId="1" applyBorder="1" applyAlignment="1">
      <alignment horizontal="center"/>
    </xf>
    <xf numFmtId="9" fontId="7" fillId="0" borderId="6" xfId="1" applyBorder="1" applyAlignment="1">
      <alignment horizontal="center"/>
    </xf>
    <xf numFmtId="9" fontId="2" fillId="0" borderId="1" xfId="1" applyFont="1" applyBorder="1" applyAlignment="1">
      <alignment horizontal="center"/>
    </xf>
    <xf numFmtId="9" fontId="7" fillId="0" borderId="11" xfId="1" applyBorder="1" applyAlignment="1">
      <alignment horizontal="center"/>
    </xf>
    <xf numFmtId="9" fontId="0" fillId="0" borderId="19" xfId="0" applyNumberFormat="1" applyBorder="1"/>
    <xf numFmtId="3" fontId="2" fillId="0" borderId="36" xfId="0" applyNumberFormat="1" applyFont="1" applyBorder="1"/>
    <xf numFmtId="9" fontId="7" fillId="0" borderId="16" xfId="1" applyBorder="1" applyAlignment="1">
      <alignment horizontal="center"/>
    </xf>
    <xf numFmtId="9" fontId="7" fillId="0" borderId="36" xfId="1" applyBorder="1" applyAlignment="1">
      <alignment horizontal="center"/>
    </xf>
    <xf numFmtId="9" fontId="0" fillId="0" borderId="15" xfId="0" applyNumberFormat="1" applyBorder="1"/>
    <xf numFmtId="9" fontId="7" fillId="0" borderId="0" xfId="1"/>
    <xf numFmtId="0" fontId="2" fillId="0" borderId="32" xfId="0" applyFont="1" applyBorder="1"/>
    <xf numFmtId="3" fontId="2" fillId="0" borderId="32" xfId="0" applyNumberFormat="1" applyFont="1" applyBorder="1" applyAlignment="1">
      <alignment horizontal="center"/>
    </xf>
    <xf numFmtId="0" fontId="2" fillId="0" borderId="6" xfId="0" applyFont="1" applyBorder="1"/>
    <xf numFmtId="3" fontId="2" fillId="0" borderId="6" xfId="0" applyNumberFormat="1" applyFont="1" applyBorder="1" applyAlignment="1">
      <alignment horizontal="center"/>
    </xf>
    <xf numFmtId="3" fontId="0" fillId="0" borderId="8" xfId="0" applyNumberFormat="1" applyBorder="1"/>
    <xf numFmtId="3" fontId="7" fillId="0" borderId="0" xfId="1" applyNumberFormat="1" applyAlignment="1">
      <alignment horizontal="center"/>
    </xf>
    <xf numFmtId="3" fontId="7" fillId="0" borderId="8" xfId="1" applyNumberFormat="1" applyBorder="1" applyAlignment="1">
      <alignment horizontal="center"/>
    </xf>
    <xf numFmtId="3" fontId="7" fillId="0" borderId="1" xfId="1" applyNumberFormat="1" applyBorder="1" applyAlignment="1">
      <alignment horizontal="center"/>
    </xf>
    <xf numFmtId="3" fontId="7" fillId="0" borderId="6" xfId="1" applyNumberFormat="1" applyBorder="1" applyAlignment="1">
      <alignment horizontal="center"/>
    </xf>
    <xf numFmtId="3" fontId="7" fillId="0" borderId="16" xfId="1" applyNumberFormat="1" applyBorder="1" applyAlignment="1">
      <alignment horizontal="center"/>
    </xf>
    <xf numFmtId="3" fontId="7" fillId="0" borderId="36" xfId="1" applyNumberFormat="1" applyBorder="1" applyAlignment="1">
      <alignment horizontal="center"/>
    </xf>
    <xf numFmtId="3" fontId="0" fillId="0" borderId="15" xfId="0" applyNumberFormat="1" applyBorder="1"/>
    <xf numFmtId="0" fontId="2" fillId="11" borderId="27" xfId="0" applyFont="1" applyFill="1" applyBorder="1"/>
    <xf numFmtId="0" fontId="2" fillId="11" borderId="25" xfId="0" applyFont="1" applyFill="1" applyBorder="1"/>
    <xf numFmtId="0" fontId="0" fillId="12" borderId="20" xfId="0" applyFill="1" applyBorder="1"/>
    <xf numFmtId="3" fontId="0" fillId="12" borderId="1" xfId="0" applyNumberFormat="1" applyFill="1" applyBorder="1"/>
    <xf numFmtId="4" fontId="0" fillId="12" borderId="1" xfId="0" applyNumberFormat="1" applyFill="1" applyBorder="1"/>
    <xf numFmtId="0" fontId="0" fillId="12" borderId="24" xfId="0" applyFill="1" applyBorder="1"/>
    <xf numFmtId="3" fontId="0" fillId="11" borderId="14" xfId="0" applyNumberFormat="1" applyFill="1" applyBorder="1"/>
    <xf numFmtId="3" fontId="2" fillId="0" borderId="26" xfId="0" applyNumberFormat="1" applyFont="1" applyBorder="1" applyAlignment="1">
      <alignment horizontal="center"/>
    </xf>
    <xf numFmtId="3" fontId="2" fillId="11" borderId="25" xfId="0" applyNumberFormat="1" applyFont="1" applyFill="1" applyBorder="1" applyAlignment="1">
      <alignment horizontal="center"/>
    </xf>
    <xf numFmtId="9" fontId="0" fillId="0" borderId="22" xfId="0" applyNumberFormat="1" applyBorder="1" applyAlignment="1">
      <alignment horizontal="left"/>
    </xf>
    <xf numFmtId="37" fontId="0" fillId="0" borderId="0" xfId="3" applyNumberFormat="1" applyFont="1" applyAlignment="1">
      <alignment horizontal="center"/>
    </xf>
    <xf numFmtId="37" fontId="0" fillId="11" borderId="21" xfId="3" applyNumberFormat="1" applyFont="1" applyFill="1" applyBorder="1" applyAlignment="1">
      <alignment horizontal="center"/>
    </xf>
    <xf numFmtId="9" fontId="0" fillId="0" borderId="18" xfId="0" applyNumberFormat="1" applyBorder="1" applyAlignment="1">
      <alignment horizontal="left"/>
    </xf>
    <xf numFmtId="37" fontId="0" fillId="0" borderId="16" xfId="3" applyNumberFormat="1" applyFont="1" applyBorder="1" applyAlignment="1">
      <alignment horizontal="center"/>
    </xf>
    <xf numFmtId="37" fontId="0" fillId="11" borderId="15" xfId="3" applyNumberFormat="1" applyFont="1" applyFill="1" applyBorder="1" applyAlignment="1">
      <alignment horizontal="center"/>
    </xf>
    <xf numFmtId="0" fontId="0" fillId="0" borderId="4" xfId="0" applyBorder="1" applyAlignment="1">
      <alignment horizontal="center"/>
    </xf>
    <xf numFmtId="3" fontId="0" fillId="0" borderId="1" xfId="0" applyNumberFormat="1" applyBorder="1" applyAlignment="1">
      <alignment horizontal="right"/>
    </xf>
    <xf numFmtId="0" fontId="0" fillId="0" borderId="5" xfId="0" quotePrefix="1" applyBorder="1" applyAlignment="1">
      <alignment horizontal="center"/>
    </xf>
    <xf numFmtId="0" fontId="0" fillId="3" borderId="14" xfId="0" quotePrefix="1" applyFill="1" applyBorder="1" applyAlignment="1">
      <alignment horizontal="center"/>
    </xf>
    <xf numFmtId="3" fontId="12" fillId="0" borderId="0" xfId="0" applyNumberFormat="1" applyFont="1" applyAlignment="1">
      <alignment horizontal="right" vertical="center"/>
    </xf>
    <xf numFmtId="0" fontId="12" fillId="0" borderId="7" xfId="0" applyFont="1" applyBorder="1"/>
    <xf numFmtId="3" fontId="12" fillId="0" borderId="3" xfId="0" applyNumberFormat="1" applyFont="1" applyBorder="1" applyAlignment="1">
      <alignment horizontal="right"/>
    </xf>
    <xf numFmtId="3" fontId="12" fillId="0" borderId="4" xfId="0" applyNumberFormat="1" applyFont="1" applyBorder="1" applyAlignment="1">
      <alignment horizontal="right"/>
    </xf>
    <xf numFmtId="3" fontId="12" fillId="0" borderId="5" xfId="0" applyNumberFormat="1" applyFont="1" applyBorder="1" applyAlignment="1">
      <alignment horizontal="right"/>
    </xf>
    <xf numFmtId="3" fontId="12" fillId="0" borderId="7" xfId="0" applyNumberFormat="1" applyFont="1" applyBorder="1" applyAlignment="1">
      <alignment horizontal="right"/>
    </xf>
    <xf numFmtId="3" fontId="12" fillId="0" borderId="0" xfId="0" applyNumberFormat="1" applyFont="1" applyAlignment="1">
      <alignment horizontal="right"/>
    </xf>
    <xf numFmtId="3" fontId="12" fillId="0" borderId="8" xfId="0" applyNumberFormat="1" applyFont="1" applyBorder="1" applyAlignment="1">
      <alignment horizontal="right"/>
    </xf>
    <xf numFmtId="0" fontId="12" fillId="0" borderId="2" xfId="0" applyFont="1" applyBorder="1"/>
    <xf numFmtId="3" fontId="12" fillId="0" borderId="2" xfId="0" applyNumberFormat="1" applyFont="1" applyBorder="1" applyAlignment="1">
      <alignment horizontal="right"/>
    </xf>
    <xf numFmtId="3" fontId="12" fillId="0" borderId="1" xfId="0" applyNumberFormat="1" applyFont="1" applyBorder="1" applyAlignment="1">
      <alignment horizontal="right"/>
    </xf>
    <xf numFmtId="3" fontId="12" fillId="0" borderId="6" xfId="0" applyNumberFormat="1" applyFont="1" applyBorder="1" applyAlignment="1">
      <alignment horizontal="right"/>
    </xf>
    <xf numFmtId="0" fontId="16" fillId="0" borderId="7" xfId="0" applyFont="1" applyBorder="1" applyAlignment="1">
      <alignment wrapText="1"/>
    </xf>
    <xf numFmtId="0" fontId="12" fillId="0" borderId="9" xfId="0" applyFont="1" applyBorder="1"/>
    <xf numFmtId="3" fontId="0" fillId="0" borderId="4" xfId="0" quotePrefix="1" applyNumberFormat="1" applyBorder="1" applyAlignment="1">
      <alignment horizontal="right"/>
    </xf>
    <xf numFmtId="3" fontId="0" fillId="0" borderId="3" xfId="0" quotePrefix="1" applyNumberFormat="1" applyBorder="1" applyAlignment="1">
      <alignment horizontal="right"/>
    </xf>
    <xf numFmtId="3" fontId="0" fillId="0" borderId="5" xfId="0" quotePrefix="1" applyNumberFormat="1" applyBorder="1" applyAlignment="1">
      <alignment horizontal="right"/>
    </xf>
    <xf numFmtId="3" fontId="12" fillId="8" borderId="0" xfId="0" applyNumberFormat="1" applyFont="1" applyFill="1"/>
    <xf numFmtId="0" fontId="12" fillId="0" borderId="1" xfId="0" applyFont="1" applyBorder="1"/>
    <xf numFmtId="3" fontId="15" fillId="0" borderId="1" xfId="0" applyNumberFormat="1" applyFont="1" applyBorder="1"/>
    <xf numFmtId="3" fontId="0" fillId="0" borderId="1" xfId="0" applyNumberFormat="1" applyBorder="1"/>
    <xf numFmtId="0" fontId="0" fillId="0" borderId="12" xfId="0" applyBorder="1"/>
    <xf numFmtId="3" fontId="0" fillId="0" borderId="14" xfId="0" applyNumberFormat="1" applyBorder="1"/>
    <xf numFmtId="3" fontId="0" fillId="0" borderId="13" xfId="0" applyNumberFormat="1" applyBorder="1"/>
    <xf numFmtId="0" fontId="0" fillId="0" borderId="13" xfId="0" applyBorder="1"/>
    <xf numFmtId="3" fontId="0" fillId="0" borderId="12" xfId="0" applyNumberFormat="1" applyBorder="1"/>
    <xf numFmtId="0" fontId="4" fillId="9" borderId="3" xfId="0" applyFont="1" applyFill="1" applyBorder="1" applyAlignment="1">
      <alignment horizontal="centerContinuous"/>
    </xf>
    <xf numFmtId="0" fontId="2" fillId="9" borderId="2" xfId="0" applyFont="1" applyFill="1" applyBorder="1" applyAlignment="1">
      <alignment horizontal="center"/>
    </xf>
    <xf numFmtId="0" fontId="2" fillId="9" borderId="14" xfId="0" applyFont="1" applyFill="1" applyBorder="1" applyAlignment="1">
      <alignment horizontal="center"/>
    </xf>
    <xf numFmtId="0" fontId="26" fillId="0" borderId="0" xfId="0" applyFont="1"/>
    <xf numFmtId="0" fontId="26" fillId="8" borderId="0" xfId="0" applyFont="1" applyFill="1"/>
    <xf numFmtId="3" fontId="26" fillId="0" borderId="0" xfId="0" applyNumberFormat="1" applyFont="1"/>
    <xf numFmtId="168" fontId="26" fillId="0" borderId="0" xfId="0" applyNumberFormat="1" applyFont="1" applyAlignment="1">
      <alignment horizontal="center"/>
    </xf>
    <xf numFmtId="3" fontId="26" fillId="0" borderId="5" xfId="0" applyNumberFormat="1" applyFont="1" applyBorder="1" applyAlignment="1">
      <alignment horizontal="right"/>
    </xf>
    <xf numFmtId="3" fontId="26" fillId="0" borderId="0" xfId="0" applyNumberFormat="1" applyFont="1" applyAlignment="1">
      <alignment horizontal="left"/>
    </xf>
    <xf numFmtId="0" fontId="26" fillId="0" borderId="0" xfId="0" applyFont="1" applyAlignment="1">
      <alignment horizontal="center"/>
    </xf>
    <xf numFmtId="9" fontId="26" fillId="0" borderId="0" xfId="1" applyFont="1" applyAlignment="1">
      <alignment horizontal="center"/>
    </xf>
    <xf numFmtId="0" fontId="2" fillId="9" borderId="6" xfId="0" applyFont="1" applyFill="1" applyBorder="1"/>
    <xf numFmtId="0" fontId="15" fillId="0" borderId="9" xfId="0" applyFont="1" applyBorder="1"/>
    <xf numFmtId="0" fontId="0" fillId="0" borderId="10" xfId="0" applyBorder="1"/>
    <xf numFmtId="0" fontId="0" fillId="0" borderId="11" xfId="0" applyBorder="1"/>
    <xf numFmtId="0" fontId="13" fillId="9" borderId="37" xfId="0" applyFont="1" applyFill="1" applyBorder="1"/>
    <xf numFmtId="0" fontId="2" fillId="14" borderId="0" xfId="0" applyFont="1" applyFill="1"/>
    <xf numFmtId="0" fontId="2" fillId="14" borderId="0" xfId="0" applyFont="1" applyFill="1" applyAlignment="1">
      <alignment horizontal="center"/>
    </xf>
    <xf numFmtId="0" fontId="2" fillId="14" borderId="0" xfId="0" applyFont="1" applyFill="1" applyAlignment="1">
      <alignment horizontal="right"/>
    </xf>
    <xf numFmtId="0" fontId="28" fillId="0" borderId="0" xfId="4"/>
    <xf numFmtId="0" fontId="28" fillId="0" borderId="1" xfId="4" applyBorder="1"/>
    <xf numFmtId="0" fontId="0" fillId="0" borderId="5" xfId="0" quotePrefix="1" applyBorder="1" applyAlignment="1">
      <alignment horizontal="center" vertical="center"/>
    </xf>
    <xf numFmtId="0" fontId="16" fillId="0" borderId="0" xfId="0" applyFont="1"/>
    <xf numFmtId="0" fontId="0" fillId="3" borderId="0" xfId="0" applyFill="1"/>
    <xf numFmtId="168" fontId="29" fillId="0" borderId="0" xfId="0" applyNumberFormat="1" applyFont="1"/>
    <xf numFmtId="0" fontId="16" fillId="0" borderId="0" xfId="0" applyFont="1" applyAlignment="1">
      <alignment horizontal="right"/>
    </xf>
    <xf numFmtId="0" fontId="30" fillId="0" borderId="0" xfId="0" applyFont="1"/>
    <xf numFmtId="0" fontId="12" fillId="0" borderId="1" xfId="0" applyFont="1" applyBorder="1" applyAlignment="1">
      <alignment horizontal="right"/>
    </xf>
    <xf numFmtId="3" fontId="12" fillId="0" borderId="0" xfId="0" applyNumberFormat="1" applyFont="1" applyAlignment="1">
      <alignment horizontal="left"/>
    </xf>
    <xf numFmtId="3" fontId="12" fillId="0" borderId="0" xfId="0" applyNumberFormat="1" applyFont="1" applyAlignment="1">
      <alignment horizontal="center"/>
    </xf>
    <xf numFmtId="0" fontId="29" fillId="0" borderId="0" xfId="0" applyFont="1"/>
    <xf numFmtId="3" fontId="0" fillId="0" borderId="0" xfId="0" applyNumberFormat="1" applyAlignment="1">
      <alignment horizontal="left"/>
    </xf>
    <xf numFmtId="3" fontId="15" fillId="9" borderId="1" xfId="0" applyNumberFormat="1" applyFont="1" applyFill="1" applyBorder="1" applyAlignment="1">
      <alignment horizontal="center"/>
    </xf>
    <xf numFmtId="3" fontId="0" fillId="9" borderId="0" xfId="0" applyNumberFormat="1" applyFill="1" applyAlignment="1">
      <alignment horizontal="center"/>
    </xf>
    <xf numFmtId="0" fontId="32" fillId="15" borderId="0" xfId="0" applyFont="1" applyFill="1" applyAlignment="1">
      <alignment horizontal="center" vertical="center" wrapText="1"/>
    </xf>
    <xf numFmtId="0" fontId="12" fillId="0" borderId="0" xfId="0" applyFont="1" applyAlignment="1">
      <alignment horizontal="right"/>
    </xf>
    <xf numFmtId="0" fontId="29" fillId="0" borderId="0" xfId="0" applyFont="1" applyAlignment="1">
      <alignment horizontal="center"/>
    </xf>
    <xf numFmtId="3" fontId="15" fillId="9" borderId="0" xfId="0" applyNumberFormat="1" applyFont="1" applyFill="1" applyAlignment="1">
      <alignment horizontal="right"/>
    </xf>
    <xf numFmtId="3" fontId="15" fillId="9" borderId="0" xfId="0" applyNumberFormat="1" applyFont="1" applyFill="1" applyAlignment="1">
      <alignment horizontal="center"/>
    </xf>
    <xf numFmtId="3" fontId="0" fillId="9" borderId="0" xfId="0" applyNumberFormat="1" applyFill="1" applyAlignment="1">
      <alignment horizontal="right"/>
    </xf>
    <xf numFmtId="3" fontId="0" fillId="15" borderId="0" xfId="0" applyNumberFormat="1" applyFill="1" applyAlignment="1">
      <alignment horizontal="center"/>
    </xf>
    <xf numFmtId="9" fontId="12" fillId="0" borderId="0" xfId="1" applyFont="1"/>
    <xf numFmtId="9" fontId="2" fillId="0" borderId="0" xfId="1" applyFont="1"/>
    <xf numFmtId="9" fontId="16" fillId="0" borderId="0" xfId="1" applyFont="1"/>
    <xf numFmtId="9" fontId="0" fillId="0" borderId="0" xfId="1" applyFont="1" applyAlignment="1">
      <alignment horizontal="center"/>
    </xf>
    <xf numFmtId="9" fontId="12" fillId="0" borderId="0" xfId="1" applyFont="1" applyAlignment="1">
      <alignment horizontal="center"/>
    </xf>
    <xf numFmtId="9" fontId="0" fillId="0" borderId="0" xfId="1" applyFont="1" applyAlignment="1">
      <alignment horizontal="right"/>
    </xf>
    <xf numFmtId="9" fontId="0" fillId="0" borderId="0" xfId="1" applyFont="1" applyAlignment="1">
      <alignment horizontal="center" vertical="center" wrapText="1"/>
    </xf>
    <xf numFmtId="3" fontId="15" fillId="9" borderId="0" xfId="0" applyNumberFormat="1" applyFont="1" applyFill="1"/>
    <xf numFmtId="3" fontId="12" fillId="0" borderId="0" xfId="0" applyNumberFormat="1" applyFont="1"/>
    <xf numFmtId="3" fontId="31" fillId="9" borderId="0" xfId="0" applyNumberFormat="1" applyFont="1" applyFill="1"/>
    <xf numFmtId="3" fontId="16" fillId="0" borderId="0" xfId="0" applyNumberFormat="1" applyFont="1"/>
    <xf numFmtId="3" fontId="15" fillId="9" borderId="1" xfId="0" applyNumberFormat="1" applyFont="1" applyFill="1" applyBorder="1" applyAlignment="1">
      <alignment horizontal="right"/>
    </xf>
    <xf numFmtId="3" fontId="15" fillId="9" borderId="1" xfId="0" applyNumberFormat="1" applyFont="1" applyFill="1" applyBorder="1"/>
    <xf numFmtId="3" fontId="0" fillId="0" borderId="0" xfId="0" applyNumberFormat="1" applyAlignment="1">
      <alignment horizontal="center" vertical="center" wrapText="1"/>
    </xf>
    <xf numFmtId="3" fontId="15" fillId="9" borderId="0" xfId="0" applyNumberFormat="1" applyFont="1" applyFill="1" applyAlignment="1">
      <alignment horizontal="center" vertical="center" wrapText="1"/>
    </xf>
    <xf numFmtId="9" fontId="0" fillId="0" borderId="0" xfId="1" applyFont="1" applyAlignment="1">
      <alignment horizontal="left"/>
    </xf>
    <xf numFmtId="3" fontId="0" fillId="9" borderId="0" xfId="0" applyNumberFormat="1" applyFill="1"/>
    <xf numFmtId="3" fontId="2" fillId="9" borderId="0" xfId="0" applyNumberFormat="1" applyFont="1" applyFill="1"/>
    <xf numFmtId="3" fontId="0" fillId="9" borderId="0" xfId="0" applyNumberFormat="1" applyFill="1" applyAlignment="1">
      <alignment horizontal="center" vertical="center" wrapText="1"/>
    </xf>
    <xf numFmtId="0" fontId="2" fillId="0" borderId="3" xfId="0" quotePrefix="1" applyFont="1" applyBorder="1"/>
    <xf numFmtId="0" fontId="2" fillId="9" borderId="0" xfId="0" applyFont="1" applyFill="1" applyAlignment="1">
      <alignment horizontal="center"/>
    </xf>
    <xf numFmtId="164" fontId="0" fillId="0" borderId="2" xfId="0" applyNumberFormat="1" applyBorder="1" applyAlignment="1">
      <alignment horizontal="right"/>
    </xf>
    <xf numFmtId="164" fontId="13" fillId="9" borderId="1" xfId="0" applyNumberFormat="1" applyFont="1" applyFill="1" applyBorder="1"/>
    <xf numFmtId="0" fontId="0" fillId="0" borderId="3" xfId="0" applyBorder="1" applyAlignment="1">
      <alignment horizontal="right"/>
    </xf>
    <xf numFmtId="3" fontId="13" fillId="9" borderId="12" xfId="0" applyNumberFormat="1" applyFont="1" applyFill="1" applyBorder="1" applyAlignment="1">
      <alignment horizontal="center"/>
    </xf>
    <xf numFmtId="0" fontId="13" fillId="9" borderId="1" xfId="0" quotePrefix="1" applyFont="1" applyFill="1" applyBorder="1" applyAlignment="1">
      <alignment horizontal="center"/>
    </xf>
    <xf numFmtId="3" fontId="13" fillId="9" borderId="1" xfId="0" applyNumberFormat="1" applyFont="1" applyFill="1" applyBorder="1" applyAlignment="1">
      <alignment horizontal="center"/>
    </xf>
    <xf numFmtId="168" fontId="0" fillId="0" borderId="0" xfId="0" applyNumberFormat="1"/>
    <xf numFmtId="168" fontId="0" fillId="0" borderId="0" xfId="0" applyNumberFormat="1" applyAlignment="1">
      <alignment horizontal="left"/>
    </xf>
    <xf numFmtId="168" fontId="0" fillId="0" borderId="0" xfId="0" applyNumberFormat="1" applyAlignment="1">
      <alignment horizontal="center"/>
    </xf>
    <xf numFmtId="3" fontId="0" fillId="0" borderId="37" xfId="0" applyNumberFormat="1" applyBorder="1"/>
    <xf numFmtId="2" fontId="0" fillId="0" borderId="0" xfId="0" applyNumberFormat="1"/>
    <xf numFmtId="168" fontId="0" fillId="16" borderId="0" xfId="0" applyNumberFormat="1" applyFill="1"/>
    <xf numFmtId="168" fontId="0" fillId="13" borderId="0" xfId="0" applyNumberFormat="1" applyFill="1"/>
    <xf numFmtId="0" fontId="0" fillId="0" borderId="0" xfId="0" quotePrefix="1"/>
    <xf numFmtId="3" fontId="0" fillId="0" borderId="0" xfId="0" quotePrefix="1" applyNumberFormat="1"/>
    <xf numFmtId="168" fontId="12" fillId="0" borderId="0" xfId="0" applyNumberFormat="1" applyFont="1"/>
    <xf numFmtId="164" fontId="0" fillId="0" borderId="0" xfId="1" applyNumberFormat="1" applyFont="1" applyAlignment="1">
      <alignment horizontal="right"/>
    </xf>
    <xf numFmtId="164" fontId="0" fillId="0" borderId="0" xfId="0" applyNumberFormat="1"/>
    <xf numFmtId="9" fontId="12" fillId="0" borderId="0" xfId="1" applyFont="1" applyAlignment="1">
      <alignment horizontal="right"/>
    </xf>
    <xf numFmtId="3" fontId="0" fillId="0" borderId="0" xfId="1" applyNumberFormat="1" applyFont="1"/>
    <xf numFmtId="0" fontId="16" fillId="3" borderId="0" xfId="0" applyFont="1" applyFill="1"/>
    <xf numFmtId="0" fontId="12" fillId="3" borderId="0" xfId="0" applyFont="1" applyFill="1"/>
    <xf numFmtId="0" fontId="0" fillId="9" borderId="0" xfId="0" applyFill="1"/>
    <xf numFmtId="0" fontId="12" fillId="9" borderId="0" xfId="0" applyFont="1" applyFill="1"/>
    <xf numFmtId="0" fontId="16" fillId="9" borderId="0" xfId="0" applyFont="1" applyFill="1"/>
    <xf numFmtId="3" fontId="0" fillId="9" borderId="1" xfId="0" applyNumberFormat="1" applyFill="1" applyBorder="1" applyAlignment="1">
      <alignment horizontal="center"/>
    </xf>
    <xf numFmtId="0" fontId="12" fillId="9" borderId="1" xfId="0" applyFont="1" applyFill="1" applyBorder="1" applyAlignment="1">
      <alignment horizontal="right"/>
    </xf>
    <xf numFmtId="0" fontId="12" fillId="9" borderId="1" xfId="0" applyFont="1" applyFill="1" applyBorder="1"/>
    <xf numFmtId="0" fontId="0" fillId="9" borderId="1" xfId="0" applyFill="1" applyBorder="1"/>
    <xf numFmtId="0" fontId="32" fillId="9" borderId="0" xfId="0" applyFont="1" applyFill="1" applyAlignment="1">
      <alignment horizontal="center" vertical="center" wrapText="1"/>
    </xf>
    <xf numFmtId="3" fontId="12" fillId="9" borderId="0" xfId="0" applyNumberFormat="1" applyFont="1" applyFill="1"/>
    <xf numFmtId="3" fontId="16" fillId="9" borderId="0" xfId="0" applyNumberFormat="1" applyFont="1" applyFill="1"/>
    <xf numFmtId="3" fontId="12" fillId="9" borderId="0" xfId="0" applyNumberFormat="1" applyFont="1" applyFill="1" applyAlignment="1">
      <alignment horizontal="center"/>
    </xf>
    <xf numFmtId="164" fontId="0" fillId="0" borderId="7" xfId="0" applyNumberFormat="1" applyBorder="1" applyAlignment="1">
      <alignment horizontal="right"/>
    </xf>
    <xf numFmtId="0" fontId="0" fillId="9" borderId="0" xfId="0" applyFill="1" applyAlignment="1">
      <alignment horizontal="center" vertical="center" wrapText="1"/>
    </xf>
    <xf numFmtId="0" fontId="0" fillId="9" borderId="0" xfId="0" applyFill="1" applyAlignment="1">
      <alignment horizontal="center"/>
    </xf>
    <xf numFmtId="0" fontId="16" fillId="8" borderId="0" xfId="0" applyFont="1" applyFill="1"/>
    <xf numFmtId="3" fontId="0" fillId="0" borderId="8" xfId="0" applyNumberFormat="1" applyBorder="1" applyAlignment="1">
      <alignment horizontal="center"/>
    </xf>
    <xf numFmtId="0" fontId="0" fillId="0" borderId="0" xfId="0" applyAlignment="1">
      <alignment horizontal="left" vertical="center"/>
    </xf>
    <xf numFmtId="0" fontId="7" fillId="0" borderId="0" xfId="0" applyFont="1" applyAlignment="1">
      <alignment horizontal="left" vertical="center"/>
    </xf>
    <xf numFmtId="164" fontId="7" fillId="0" borderId="0" xfId="1" applyNumberFormat="1"/>
    <xf numFmtId="3" fontId="0" fillId="0" borderId="3" xfId="0" applyNumberFormat="1" applyBorder="1" applyAlignment="1">
      <alignment horizontal="right"/>
    </xf>
    <xf numFmtId="1" fontId="0" fillId="0" borderId="0" xfId="0" applyNumberFormat="1" applyAlignment="1">
      <alignment horizontal="center"/>
    </xf>
    <xf numFmtId="3" fontId="0" fillId="0" borderId="7" xfId="0" applyNumberFormat="1" applyBorder="1" applyAlignment="1">
      <alignment horizontal="center"/>
    </xf>
    <xf numFmtId="0" fontId="0" fillId="0" borderId="2" xfId="0" quotePrefix="1" applyBorder="1" applyAlignment="1">
      <alignment horizontal="center"/>
    </xf>
    <xf numFmtId="3" fontId="2" fillId="0" borderId="4" xfId="0" applyNumberFormat="1" applyFont="1" applyBorder="1" applyAlignment="1">
      <alignment horizontal="center"/>
    </xf>
    <xf numFmtId="3" fontId="2" fillId="0" borderId="5" xfId="0" applyNumberFormat="1" applyFont="1" applyBorder="1" applyAlignment="1">
      <alignment horizontal="center"/>
    </xf>
    <xf numFmtId="9" fontId="0" fillId="0" borderId="1" xfId="1" applyFont="1" applyBorder="1" applyAlignment="1">
      <alignment horizontal="center"/>
    </xf>
    <xf numFmtId="9" fontId="0" fillId="0" borderId="6" xfId="1" applyFont="1" applyBorder="1" applyAlignment="1">
      <alignment horizontal="center"/>
    </xf>
    <xf numFmtId="0" fontId="5" fillId="17" borderId="0" xfId="0" applyFont="1" applyFill="1" applyAlignment="1">
      <alignment vertical="center"/>
    </xf>
    <xf numFmtId="0" fontId="24" fillId="17" borderId="0" xfId="0" applyFont="1" applyFill="1" applyAlignment="1">
      <alignment vertical="center"/>
    </xf>
    <xf numFmtId="0" fontId="5" fillId="17" borderId="0" xfId="0" applyFont="1" applyFill="1" applyAlignment="1">
      <alignment horizontal="right" vertical="center"/>
    </xf>
    <xf numFmtId="0" fontId="17" fillId="17" borderId="0" xfId="0" applyFont="1" applyFill="1" applyAlignment="1">
      <alignment vertical="center"/>
    </xf>
    <xf numFmtId="0" fontId="24" fillId="17" borderId="0" xfId="0" applyFont="1" applyFill="1"/>
    <xf numFmtId="0" fontId="24" fillId="8" borderId="0" xfId="0" applyFont="1" applyFill="1"/>
    <xf numFmtId="0" fontId="33" fillId="0" borderId="0" xfId="0" applyFont="1"/>
    <xf numFmtId="0" fontId="34" fillId="8" borderId="12" xfId="0" applyFont="1" applyFill="1" applyBorder="1" applyAlignment="1">
      <alignment horizontal="center"/>
    </xf>
    <xf numFmtId="164" fontId="34" fillId="8" borderId="13" xfId="0" applyNumberFormat="1" applyFont="1" applyFill="1" applyBorder="1" applyAlignment="1">
      <alignment horizontal="center"/>
    </xf>
    <xf numFmtId="0" fontId="33" fillId="8" borderId="0" xfId="0" applyFont="1" applyFill="1"/>
    <xf numFmtId="0" fontId="35" fillId="0" borderId="0" xfId="0" applyFont="1"/>
    <xf numFmtId="0" fontId="2" fillId="7" borderId="14" xfId="0" quotePrefix="1" applyFont="1" applyFill="1" applyBorder="1" applyAlignment="1">
      <alignment horizontal="centerContinuous"/>
    </xf>
    <xf numFmtId="0" fontId="2" fillId="7" borderId="14" xfId="0" applyFont="1" applyFill="1" applyBorder="1" applyAlignment="1">
      <alignment horizontal="centerContinuous"/>
    </xf>
    <xf numFmtId="0" fontId="2" fillId="7" borderId="13" xfId="0" applyFont="1" applyFill="1" applyBorder="1" applyAlignment="1">
      <alignment horizontal="centerContinuous"/>
    </xf>
    <xf numFmtId="0" fontId="2" fillId="18" borderId="12" xfId="0" applyFont="1" applyFill="1" applyBorder="1"/>
    <xf numFmtId="0" fontId="0" fillId="18" borderId="13" xfId="0" applyFill="1" applyBorder="1"/>
    <xf numFmtId="0" fontId="4" fillId="19" borderId="3" xfId="0" applyFont="1" applyFill="1" applyBorder="1" applyAlignment="1">
      <alignment horizontal="centerContinuous"/>
    </xf>
    <xf numFmtId="0" fontId="0" fillId="19" borderId="5" xfId="0" applyFill="1" applyBorder="1" applyAlignment="1">
      <alignment horizontal="centerContinuous"/>
    </xf>
    <xf numFmtId="0" fontId="4" fillId="19" borderId="4" xfId="0" applyFont="1" applyFill="1" applyBorder="1" applyAlignment="1">
      <alignment horizontal="centerContinuous"/>
    </xf>
    <xf numFmtId="0" fontId="2" fillId="19" borderId="4" xfId="0" applyFont="1" applyFill="1" applyBorder="1" applyAlignment="1">
      <alignment horizontal="centerContinuous"/>
    </xf>
    <xf numFmtId="0" fontId="2" fillId="19" borderId="5" xfId="0" applyFont="1" applyFill="1" applyBorder="1" applyAlignment="1">
      <alignment horizontal="centerContinuous"/>
    </xf>
    <xf numFmtId="0" fontId="2" fillId="19" borderId="7" xfId="0" applyFont="1" applyFill="1" applyBorder="1" applyAlignment="1">
      <alignment horizontal="center" vertical="center"/>
    </xf>
    <xf numFmtId="0" fontId="2" fillId="19" borderId="8" xfId="0" applyFont="1" applyFill="1" applyBorder="1" applyAlignment="1">
      <alignment horizontal="center" vertical="center"/>
    </xf>
    <xf numFmtId="0" fontId="2" fillId="19" borderId="0" xfId="0" applyFont="1" applyFill="1" applyAlignment="1">
      <alignment horizontal="center" vertical="center"/>
    </xf>
    <xf numFmtId="0" fontId="2" fillId="19" borderId="12" xfId="0" applyFont="1" applyFill="1" applyBorder="1" applyAlignment="1">
      <alignment horizontal="center" vertical="center"/>
    </xf>
    <xf numFmtId="0" fontId="2" fillId="19" borderId="5" xfId="0" applyFont="1" applyFill="1" applyBorder="1" applyAlignment="1">
      <alignment horizontal="center" vertical="center"/>
    </xf>
    <xf numFmtId="0" fontId="2" fillId="4" borderId="12" xfId="0" applyFont="1" applyFill="1" applyBorder="1"/>
    <xf numFmtId="0" fontId="0" fillId="4" borderId="13" xfId="0" applyFill="1" applyBorder="1"/>
    <xf numFmtId="0" fontId="2" fillId="19" borderId="12" xfId="0" applyFont="1" applyFill="1" applyBorder="1" applyAlignment="1">
      <alignment horizontal="centerContinuous"/>
    </xf>
    <xf numFmtId="0" fontId="0" fillId="19" borderId="14" xfId="0" applyFill="1" applyBorder="1" applyAlignment="1">
      <alignment horizontal="centerContinuous"/>
    </xf>
    <xf numFmtId="3" fontId="2" fillId="19" borderId="14" xfId="0" applyNumberFormat="1" applyFont="1" applyFill="1" applyBorder="1" applyAlignment="1">
      <alignment horizontal="right"/>
    </xf>
    <xf numFmtId="3" fontId="2" fillId="19" borderId="13" xfId="0" applyNumberFormat="1" applyFont="1" applyFill="1" applyBorder="1" applyAlignment="1">
      <alignment horizontal="right"/>
    </xf>
    <xf numFmtId="0" fontId="0" fillId="0" borderId="7" xfId="0" applyFont="1" applyBorder="1"/>
    <xf numFmtId="3" fontId="0" fillId="0" borderId="0" xfId="0" applyNumberFormat="1" applyFont="1"/>
    <xf numFmtId="0" fontId="0" fillId="0" borderId="0" xfId="0" applyFont="1" applyAlignment="1">
      <alignment horizontal="center"/>
    </xf>
    <xf numFmtId="3" fontId="2" fillId="0" borderId="4" xfId="0" applyNumberFormat="1" applyFont="1" applyBorder="1" applyAlignment="1">
      <alignment horizontal="center"/>
    </xf>
    <xf numFmtId="3" fontId="0" fillId="0" borderId="8" xfId="0" applyNumberForma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3" fontId="0" fillId="0" borderId="0" xfId="0" applyNumberFormat="1" applyAlignment="1">
      <alignment horizontal="center"/>
    </xf>
    <xf numFmtId="0" fontId="0" fillId="0" borderId="0" xfId="0" applyAlignment="1">
      <alignment horizontal="center"/>
    </xf>
    <xf numFmtId="9" fontId="0" fillId="0" borderId="1" xfId="1" applyFont="1" applyBorder="1" applyAlignment="1">
      <alignment horizontal="center"/>
    </xf>
    <xf numFmtId="3" fontId="0" fillId="0" borderId="8" xfId="0" applyNumberFormat="1" applyFont="1" applyBorder="1" applyAlignment="1">
      <alignment horizontal="center"/>
    </xf>
    <xf numFmtId="3" fontId="0" fillId="0" borderId="8" xfId="0" applyNumberFormat="1" applyFont="1" applyBorder="1"/>
    <xf numFmtId="0" fontId="0" fillId="0" borderId="1" xfId="0" applyBorder="1" applyAlignment="1">
      <alignment horizontal="center"/>
    </xf>
    <xf numFmtId="0" fontId="0" fillId="0" borderId="6" xfId="0" applyBorder="1"/>
    <xf numFmtId="0" fontId="2" fillId="3" borderId="14" xfId="0" applyFont="1" applyFill="1" applyBorder="1" applyAlignment="1">
      <alignment horizontal="center"/>
    </xf>
    <xf numFmtId="0" fontId="2" fillId="0" borderId="13" xfId="0" applyFont="1" applyBorder="1" applyAlignment="1">
      <alignment horizontal="center"/>
    </xf>
    <xf numFmtId="0" fontId="0" fillId="0" borderId="8" xfId="0" quotePrefix="1" applyBorder="1" applyAlignment="1">
      <alignment horizontal="center" vertical="center"/>
    </xf>
    <xf numFmtId="0" fontId="2" fillId="0" borderId="9" xfId="0" applyFont="1" applyBorder="1" applyAlignment="1">
      <alignment horizontal="center" vertical="center" textRotation="90"/>
    </xf>
    <xf numFmtId="0" fontId="2" fillId="0" borderId="10" xfId="0" applyFont="1" applyBorder="1" applyAlignment="1">
      <alignment horizontal="center" vertical="center" textRotation="90"/>
    </xf>
    <xf numFmtId="0" fontId="2" fillId="0" borderId="11" xfId="0" applyFont="1" applyBorder="1" applyAlignment="1">
      <alignment horizontal="center" vertical="center" textRotation="90"/>
    </xf>
    <xf numFmtId="0" fontId="2" fillId="0" borderId="7" xfId="0" applyFont="1" applyBorder="1" applyAlignment="1">
      <alignment horizontal="center" vertical="center" textRotation="90"/>
    </xf>
    <xf numFmtId="0" fontId="2" fillId="0" borderId="3"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16" borderId="3" xfId="0" applyFont="1" applyFill="1" applyBorder="1" applyAlignment="1">
      <alignment horizontal="center" vertical="center"/>
    </xf>
    <xf numFmtId="0" fontId="0" fillId="16" borderId="5" xfId="0" applyFill="1" applyBorder="1" applyAlignment="1">
      <alignment horizontal="center" vertical="center"/>
    </xf>
    <xf numFmtId="0" fontId="0" fillId="16" borderId="7" xfId="0" applyFill="1" applyBorder="1" applyAlignment="1">
      <alignment horizontal="center" vertical="center"/>
    </xf>
    <xf numFmtId="0" fontId="0" fillId="16" borderId="8" xfId="0" applyFill="1" applyBorder="1" applyAlignment="1">
      <alignment horizontal="center" vertical="center"/>
    </xf>
    <xf numFmtId="3" fontId="26" fillId="0" borderId="4" xfId="0" applyNumberFormat="1" applyFont="1" applyBorder="1" applyAlignment="1">
      <alignment horizontal="right" vertical="center"/>
    </xf>
    <xf numFmtId="3" fontId="26" fillId="0" borderId="0" xfId="0" applyNumberFormat="1" applyFont="1" applyAlignment="1">
      <alignment horizontal="right" vertical="center"/>
    </xf>
    <xf numFmtId="3" fontId="26" fillId="0" borderId="1" xfId="0" applyNumberFormat="1" applyFont="1" applyBorder="1" applyAlignment="1">
      <alignment horizontal="right" vertical="center"/>
    </xf>
    <xf numFmtId="0" fontId="4" fillId="7" borderId="3" xfId="0" applyFont="1" applyFill="1" applyBorder="1" applyAlignment="1">
      <alignment horizontal="center"/>
    </xf>
    <xf numFmtId="0" fontId="23" fillId="7" borderId="4" xfId="0" applyFont="1" applyFill="1" applyBorder="1" applyAlignment="1">
      <alignment horizontal="center"/>
    </xf>
    <xf numFmtId="0" fontId="2" fillId="7" borderId="7" xfId="0" applyFont="1" applyFill="1" applyBorder="1" applyAlignment="1">
      <alignment horizontal="center" vertical="center"/>
    </xf>
    <xf numFmtId="0" fontId="0" fillId="7" borderId="0" xfId="0" applyFill="1"/>
    <xf numFmtId="0" fontId="2" fillId="3" borderId="4" xfId="0" applyFont="1" applyFill="1" applyBorder="1" applyAlignment="1">
      <alignment horizontal="center"/>
    </xf>
    <xf numFmtId="0" fontId="0" fillId="0" borderId="5" xfId="0" applyBorder="1" applyAlignment="1">
      <alignment horizontal="center"/>
    </xf>
    <xf numFmtId="0" fontId="2" fillId="3" borderId="1" xfId="0" applyFont="1" applyFill="1" applyBorder="1" applyAlignment="1">
      <alignment horizontal="center"/>
    </xf>
    <xf numFmtId="3" fontId="0" fillId="0" borderId="4" xfId="0" applyNumberFormat="1" applyBorder="1" applyAlignment="1">
      <alignment horizontal="center"/>
    </xf>
    <xf numFmtId="0" fontId="0" fillId="0" borderId="5" xfId="0" applyBorder="1"/>
    <xf numFmtId="0" fontId="0" fillId="0" borderId="8" xfId="0" applyBorder="1"/>
    <xf numFmtId="0" fontId="0" fillId="0" borderId="0" xfId="0" applyAlignment="1">
      <alignment horizontal="center" vertical="center"/>
    </xf>
    <xf numFmtId="3" fontId="12" fillId="0" borderId="0" xfId="0" applyNumberFormat="1" applyFont="1" applyAlignment="1">
      <alignment horizontal="center"/>
    </xf>
    <xf numFmtId="0" fontId="12" fillId="0" borderId="0" xfId="0" applyFont="1" applyAlignment="1">
      <alignment horizontal="center"/>
    </xf>
    <xf numFmtId="3" fontId="34" fillId="8" borderId="14" xfId="0" applyNumberFormat="1" applyFont="1" applyFill="1" applyBorder="1" applyAlignment="1">
      <alignment horizontal="center"/>
    </xf>
    <xf numFmtId="3" fontId="0" fillId="0" borderId="13" xfId="0" applyNumberFormat="1" applyBorder="1" applyAlignment="1">
      <alignment horizontal="center"/>
    </xf>
    <xf numFmtId="0" fontId="19" fillId="0" borderId="0" xfId="0" applyFont="1" applyAlignment="1">
      <alignment horizontal="center" vertical="center" textRotation="90"/>
    </xf>
    <xf numFmtId="0" fontId="16" fillId="0" borderId="9" xfId="0" applyFont="1" applyBorder="1" applyAlignment="1">
      <alignment horizontal="center" vertical="center" textRotation="90" wrapText="1"/>
    </xf>
    <xf numFmtId="0" fontId="16" fillId="0" borderId="10" xfId="0" applyFont="1" applyBorder="1" applyAlignment="1">
      <alignment horizontal="center" vertical="center" textRotation="90" wrapText="1"/>
    </xf>
    <xf numFmtId="0" fontId="16" fillId="0" borderId="11" xfId="0" applyFont="1" applyBorder="1" applyAlignment="1">
      <alignment horizontal="center" vertical="center" textRotation="90" wrapText="1"/>
    </xf>
    <xf numFmtId="0" fontId="16" fillId="0" borderId="9" xfId="0" applyFont="1" applyBorder="1" applyAlignment="1">
      <alignment vertical="center"/>
    </xf>
    <xf numFmtId="0" fontId="16" fillId="0" borderId="11" xfId="0" applyFont="1" applyBorder="1" applyAlignment="1">
      <alignment vertical="center"/>
    </xf>
    <xf numFmtId="3" fontId="12" fillId="0" borderId="5" xfId="0" applyNumberFormat="1" applyFont="1" applyBorder="1" applyAlignment="1">
      <alignment horizontal="right" vertical="center"/>
    </xf>
    <xf numFmtId="3" fontId="12" fillId="0" borderId="8" xfId="0" applyNumberFormat="1" applyFont="1" applyBorder="1" applyAlignment="1">
      <alignment horizontal="right" vertical="center"/>
    </xf>
    <xf numFmtId="3" fontId="12" fillId="0" borderId="6" xfId="0" applyNumberFormat="1" applyFont="1" applyBorder="1" applyAlignment="1">
      <alignment horizontal="right" vertical="center"/>
    </xf>
    <xf numFmtId="0" fontId="0" fillId="0" borderId="34" xfId="0" applyBorder="1" applyAlignment="1">
      <alignment horizontal="center"/>
    </xf>
    <xf numFmtId="0" fontId="0" fillId="0" borderId="35" xfId="0" applyBorder="1" applyAlignment="1">
      <alignment horizontal="center"/>
    </xf>
    <xf numFmtId="0" fontId="0" fillId="0" borderId="0" xfId="0" applyAlignment="1">
      <alignment horizontal="left"/>
    </xf>
    <xf numFmtId="3" fontId="2" fillId="0" borderId="29" xfId="0" applyNumberFormat="1" applyFont="1" applyBorder="1" applyAlignment="1">
      <alignment horizontal="center"/>
    </xf>
    <xf numFmtId="3" fontId="2" fillId="0" borderId="32" xfId="0" applyNumberFormat="1" applyFont="1" applyBorder="1" applyAlignment="1">
      <alignment horizontal="center"/>
    </xf>
    <xf numFmtId="0" fontId="0" fillId="0" borderId="28" xfId="0" applyBorder="1" applyAlignment="1">
      <alignment horizontal="center"/>
    </xf>
    <xf numFmtId="0" fontId="0" fillId="0" borderId="19" xfId="0" applyBorder="1" applyAlignment="1">
      <alignment horizontal="center"/>
    </xf>
    <xf numFmtId="0" fontId="0" fillId="0" borderId="0" xfId="0" applyAlignment="1">
      <alignment horizontal="left" vertical="top" wrapText="1"/>
    </xf>
    <xf numFmtId="0" fontId="2" fillId="0" borderId="29" xfId="0" applyFont="1" applyBorder="1" applyAlignment="1">
      <alignment horizontal="center"/>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0" fillId="11" borderId="22" xfId="0" applyFill="1" applyBorder="1" applyAlignment="1">
      <alignment horizontal="left" vertical="center"/>
    </xf>
    <xf numFmtId="0" fontId="0" fillId="0" borderId="0" xfId="0" applyAlignment="1">
      <alignment horizontal="center" wrapText="1"/>
    </xf>
    <xf numFmtId="43" fontId="0" fillId="0" borderId="0" xfId="3" applyFont="1" applyAlignment="1">
      <alignment horizontal="center" vertical="center" wrapText="1"/>
    </xf>
    <xf numFmtId="43" fontId="7" fillId="0" borderId="0" xfId="3" applyAlignment="1">
      <alignment horizontal="center" vertical="center" wrapText="1"/>
    </xf>
    <xf numFmtId="166" fontId="2" fillId="0" borderId="0" xfId="3" applyNumberFormat="1" applyFont="1" applyAlignment="1">
      <alignment horizontal="center" wrapText="1"/>
    </xf>
    <xf numFmtId="166" fontId="2" fillId="0" borderId="1" xfId="3" applyNumberFormat="1" applyFont="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textRotation="90" wrapText="1"/>
    </xf>
    <xf numFmtId="0" fontId="2" fillId="0" borderId="1" xfId="0" applyFont="1" applyBorder="1" applyAlignment="1">
      <alignment horizontal="center" vertical="center" textRotation="90" wrapText="1"/>
    </xf>
    <xf numFmtId="0" fontId="2" fillId="11" borderId="0" xfId="0" applyFont="1" applyFill="1" applyAlignment="1">
      <alignment horizontal="center" vertical="center" textRotation="90" wrapText="1"/>
    </xf>
    <xf numFmtId="0" fontId="2" fillId="11" borderId="1" xfId="0" applyFont="1" applyFill="1" applyBorder="1" applyAlignment="1">
      <alignment horizontal="center" vertical="center" textRotation="90" wrapText="1"/>
    </xf>
    <xf numFmtId="0" fontId="25" fillId="0" borderId="0" xfId="0" applyFont="1" applyAlignment="1">
      <alignment horizontal="center" textRotation="45"/>
    </xf>
    <xf numFmtId="0" fontId="25" fillId="11" borderId="0" xfId="0" applyFont="1" applyFill="1" applyAlignment="1">
      <alignment horizontal="center" textRotation="45"/>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11" borderId="0" xfId="0" applyFont="1" applyFill="1" applyAlignment="1">
      <alignment horizontal="center"/>
    </xf>
    <xf numFmtId="0" fontId="2" fillId="11" borderId="1" xfId="0" applyFont="1" applyFill="1" applyBorder="1" applyAlignment="1">
      <alignment horizontal="center"/>
    </xf>
    <xf numFmtId="0" fontId="2" fillId="11" borderId="0" xfId="0" applyFont="1" applyFill="1" applyAlignment="1">
      <alignment horizontal="center" vertical="center" wrapText="1"/>
    </xf>
    <xf numFmtId="0" fontId="2" fillId="11" borderId="1" xfId="0" applyFont="1" applyFill="1" applyBorder="1" applyAlignment="1">
      <alignment horizontal="center" vertical="center" wrapText="1"/>
    </xf>
    <xf numFmtId="0" fontId="2" fillId="11" borderId="0" xfId="0" applyFont="1" applyFill="1" applyAlignment="1">
      <alignment horizontal="center" wrapText="1"/>
    </xf>
    <xf numFmtId="0" fontId="2" fillId="11" borderId="1" xfId="0" applyFont="1" applyFill="1" applyBorder="1" applyAlignment="1">
      <alignment horizontal="center" wrapText="1"/>
    </xf>
    <xf numFmtId="0" fontId="2" fillId="0" borderId="0" xfId="0" applyFont="1" applyAlignment="1">
      <alignment horizontal="left" wrapText="1"/>
    </xf>
    <xf numFmtId="0" fontId="2" fillId="0" borderId="16" xfId="0" applyFont="1" applyBorder="1" applyAlignment="1">
      <alignment horizontal="left" wrapText="1"/>
    </xf>
    <xf numFmtId="3" fontId="0" fillId="12" borderId="14" xfId="0" applyNumberFormat="1" applyFill="1" applyBorder="1" applyAlignment="1">
      <alignment horizontal="center"/>
    </xf>
  </cellXfs>
  <cellStyles count="5">
    <cellStyle name="Comma" xfId="3" builtinId="3"/>
    <cellStyle name="Hyperlink" xfId="4" builtinId="8"/>
    <cellStyle name="Normal" xfId="0" builtinId="0"/>
    <cellStyle name="Normal 3" xfId="2" xr:uid="{00000000-0005-0000-0000-000002000000}"/>
    <cellStyle name="Percent" xfId="1" builtinId="5"/>
  </cellStyles>
  <dxfs count="1">
    <dxf>
      <numFmt numFmtId="3" formatCode="#,##0"/>
    </dxf>
  </dxfs>
  <tableStyles count="0" defaultTableStyle="TableStyleMedium2" defaultPivotStyle="PivotStyleLight16"/>
  <colors>
    <mruColors>
      <color rgb="FFDDFFFD"/>
      <color rgb="FFB9FFFC"/>
      <color rgb="FF81FFF9"/>
      <color rgb="FF6DFFF8"/>
      <color rgb="FF00DAD0"/>
      <color rgb="FF00B8AF"/>
      <color rgb="FF008D85"/>
      <color rgb="FF00645F"/>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1754624383201"/>
          <c:y val="4.6837858088423633E-2"/>
          <c:w val="0.85726660414246525"/>
          <c:h val="0.8272737283327628"/>
        </c:manualLayout>
      </c:layout>
      <c:barChart>
        <c:barDir val="col"/>
        <c:grouping val="stacked"/>
        <c:varyColors val="0"/>
        <c:ser>
          <c:idx val="0"/>
          <c:order val="0"/>
          <c:tx>
            <c:v>Combined</c:v>
          </c:tx>
          <c:spPr>
            <a:solidFill>
              <a:srgbClr val="008D85"/>
            </a:solidFill>
            <a:ln>
              <a:solidFill>
                <a:schemeClr val="tx1"/>
              </a:solidFill>
            </a:ln>
            <a:effectLst/>
          </c:spPr>
          <c:invertIfNegative val="0"/>
          <c:cat>
            <c:numRef>
              <c:f>Runs!$B$6:$B$61</c:f>
              <c:numCache>
                <c:formatCode>General</c:formatCode>
                <c:ptCount val="56"/>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pt idx="41">
                  <c:v>2003</c:v>
                </c:pt>
                <c:pt idx="42">
                  <c:v>2004</c:v>
                </c:pt>
                <c:pt idx="43">
                  <c:v>2005</c:v>
                </c:pt>
                <c:pt idx="44">
                  <c:v>2006</c:v>
                </c:pt>
                <c:pt idx="45">
                  <c:v>2007</c:v>
                </c:pt>
                <c:pt idx="46">
                  <c:v>2008</c:v>
                </c:pt>
                <c:pt idx="47">
                  <c:v>2009</c:v>
                </c:pt>
                <c:pt idx="48">
                  <c:v>2010</c:v>
                </c:pt>
                <c:pt idx="49">
                  <c:v>2011</c:v>
                </c:pt>
                <c:pt idx="50">
                  <c:v>2012</c:v>
                </c:pt>
                <c:pt idx="51">
                  <c:v>2013</c:v>
                </c:pt>
                <c:pt idx="52">
                  <c:v>2014</c:v>
                </c:pt>
                <c:pt idx="53">
                  <c:v>2015</c:v>
                </c:pt>
                <c:pt idx="54">
                  <c:v>2016</c:v>
                </c:pt>
                <c:pt idx="55">
                  <c:v>2017</c:v>
                </c:pt>
              </c:numCache>
            </c:numRef>
          </c:cat>
          <c:val>
            <c:numRef>
              <c:f>Runs!$D$6:$D$61</c:f>
              <c:numCache>
                <c:formatCode>General</c:formatCode>
                <c:ptCount val="56"/>
                <c:pt idx="0">
                  <c:v>9334</c:v>
                </c:pt>
                <c:pt idx="1">
                  <c:v>9274</c:v>
                </c:pt>
                <c:pt idx="2">
                  <c:v>5999</c:v>
                </c:pt>
                <c:pt idx="3">
                  <c:v>9041</c:v>
                </c:pt>
                <c:pt idx="4">
                  <c:v>13006</c:v>
                </c:pt>
                <c:pt idx="5">
                  <c:v>7354</c:v>
                </c:pt>
                <c:pt idx="6">
                  <c:v>10523</c:v>
                </c:pt>
                <c:pt idx="7">
                  <c:v>6650</c:v>
                </c:pt>
                <c:pt idx="8">
                  <c:v>5558</c:v>
                </c:pt>
                <c:pt idx="9">
                  <c:v>11102</c:v>
                </c:pt>
                <c:pt idx="10">
                  <c:v>6429</c:v>
                </c:pt>
                <c:pt idx="11">
                  <c:v>6999</c:v>
                </c:pt>
                <c:pt idx="12">
                  <c:v>3089</c:v>
                </c:pt>
                <c:pt idx="13">
                  <c:v>2462</c:v>
                </c:pt>
                <c:pt idx="14">
                  <c:v>9248</c:v>
                </c:pt>
                <c:pt idx="15">
                  <c:v>9812</c:v>
                </c:pt>
                <c:pt idx="16">
                  <c:v>4545</c:v>
                </c:pt>
                <c:pt idx="17">
                  <c:v>8409</c:v>
                </c:pt>
                <c:pt idx="18">
                  <c:v>8524</c:v>
                </c:pt>
                <c:pt idx="19">
                  <c:v>9003</c:v>
                </c:pt>
                <c:pt idx="20">
                  <c:v>11159</c:v>
                </c:pt>
                <c:pt idx="21">
                  <c:v>31809</c:v>
                </c:pt>
                <c:pt idx="22">
                  <c:v>26168</c:v>
                </c:pt>
                <c:pt idx="23">
                  <c:v>34775</c:v>
                </c:pt>
                <c:pt idx="24">
                  <c:v>22396</c:v>
                </c:pt>
                <c:pt idx="25">
                  <c:v>14265</c:v>
                </c:pt>
                <c:pt idx="26">
                  <c:v>10208</c:v>
                </c:pt>
                <c:pt idx="27">
                  <c:v>10667</c:v>
                </c:pt>
                <c:pt idx="28">
                  <c:v>7830</c:v>
                </c:pt>
                <c:pt idx="29">
                  <c:v>14027</c:v>
                </c:pt>
                <c:pt idx="30">
                  <c:v>13733</c:v>
                </c:pt>
                <c:pt idx="31">
                  <c:v>5493</c:v>
                </c:pt>
                <c:pt idx="32">
                  <c:v>6707</c:v>
                </c:pt>
                <c:pt idx="33">
                  <c:v>4357</c:v>
                </c:pt>
                <c:pt idx="34">
                  <c:v>8377</c:v>
                </c:pt>
                <c:pt idx="35">
                  <c:v>9536</c:v>
                </c:pt>
                <c:pt idx="36">
                  <c:v>5837</c:v>
                </c:pt>
                <c:pt idx="54">
                  <c:v>6498</c:v>
                </c:pt>
                <c:pt idx="55">
                  <c:v>5804</c:v>
                </c:pt>
              </c:numCache>
            </c:numRef>
          </c:val>
          <c:extLst>
            <c:ext xmlns:c16="http://schemas.microsoft.com/office/drawing/2014/chart" uri="{C3380CC4-5D6E-409C-BE32-E72D297353CC}">
              <c16:uniqueId val="{00000000-0BAE-49B5-9A2D-64335ACB553B}"/>
            </c:ext>
          </c:extLst>
        </c:ser>
        <c:ser>
          <c:idx val="1"/>
          <c:order val="1"/>
          <c:tx>
            <c:v>Wild</c:v>
          </c:tx>
          <c:spPr>
            <a:solidFill>
              <a:srgbClr val="00645F"/>
            </a:solidFill>
            <a:ln>
              <a:solidFill>
                <a:schemeClr val="tx1"/>
              </a:solidFill>
            </a:ln>
            <a:effectLst/>
          </c:spPr>
          <c:invertIfNegative val="0"/>
          <c:val>
            <c:numRef>
              <c:f>Runs!$V$6:$V$61</c:f>
              <c:numCache>
                <c:formatCode>General</c:formatCode>
                <c:ptCount val="56"/>
                <c:pt idx="37">
                  <c:v>1429</c:v>
                </c:pt>
                <c:pt idx="38">
                  <c:v>2393</c:v>
                </c:pt>
                <c:pt idx="39">
                  <c:v>5943</c:v>
                </c:pt>
                <c:pt idx="40">
                  <c:v>3113</c:v>
                </c:pt>
                <c:pt idx="41">
                  <c:v>2889</c:v>
                </c:pt>
                <c:pt idx="42">
                  <c:v>3249</c:v>
                </c:pt>
                <c:pt idx="43">
                  <c:v>2929</c:v>
                </c:pt>
                <c:pt idx="44">
                  <c:v>1680</c:v>
                </c:pt>
                <c:pt idx="45">
                  <c:v>3177</c:v>
                </c:pt>
                <c:pt idx="46">
                  <c:v>3028</c:v>
                </c:pt>
                <c:pt idx="47">
                  <c:v>7519</c:v>
                </c:pt>
                <c:pt idx="48">
                  <c:v>7875</c:v>
                </c:pt>
                <c:pt idx="49">
                  <c:v>5360</c:v>
                </c:pt>
                <c:pt idx="50">
                  <c:v>3562</c:v>
                </c:pt>
                <c:pt idx="51">
                  <c:v>5552</c:v>
                </c:pt>
                <c:pt idx="52">
                  <c:v>7040</c:v>
                </c:pt>
                <c:pt idx="53">
                  <c:v>4977</c:v>
                </c:pt>
              </c:numCache>
            </c:numRef>
          </c:val>
          <c:extLst>
            <c:ext xmlns:c16="http://schemas.microsoft.com/office/drawing/2014/chart" uri="{C3380CC4-5D6E-409C-BE32-E72D297353CC}">
              <c16:uniqueId val="{00000000-F137-4899-ABFB-6D8963936C2B}"/>
            </c:ext>
          </c:extLst>
        </c:ser>
        <c:ser>
          <c:idx val="2"/>
          <c:order val="2"/>
          <c:tx>
            <c:v>Hatchery</c:v>
          </c:tx>
          <c:spPr>
            <a:solidFill>
              <a:srgbClr val="00DAD0"/>
            </a:solidFill>
            <a:ln>
              <a:solidFill>
                <a:schemeClr val="tx1"/>
              </a:solidFill>
            </a:ln>
            <a:effectLst/>
          </c:spPr>
          <c:invertIfNegative val="0"/>
          <c:val>
            <c:numRef>
              <c:f>Runs!$W$6:$W$61</c:f>
              <c:numCache>
                <c:formatCode>General</c:formatCode>
                <c:ptCount val="56"/>
                <c:pt idx="37">
                  <c:v>6921</c:v>
                </c:pt>
                <c:pt idx="38">
                  <c:v>9119</c:v>
                </c:pt>
                <c:pt idx="39">
                  <c:v>23842</c:v>
                </c:pt>
                <c:pt idx="40">
                  <c:v>11891</c:v>
                </c:pt>
                <c:pt idx="41">
                  <c:v>14776</c:v>
                </c:pt>
                <c:pt idx="42">
                  <c:v>15041</c:v>
                </c:pt>
                <c:pt idx="43">
                  <c:v>9509</c:v>
                </c:pt>
                <c:pt idx="44">
                  <c:v>8699</c:v>
                </c:pt>
                <c:pt idx="45">
                  <c:v>12481</c:v>
                </c:pt>
                <c:pt idx="46">
                  <c:v>13156</c:v>
                </c:pt>
                <c:pt idx="47">
                  <c:v>32628</c:v>
                </c:pt>
                <c:pt idx="48">
                  <c:v>18356</c:v>
                </c:pt>
                <c:pt idx="49">
                  <c:v>15566</c:v>
                </c:pt>
                <c:pt idx="50">
                  <c:v>13605</c:v>
                </c:pt>
                <c:pt idx="51">
                  <c:v>9555</c:v>
                </c:pt>
                <c:pt idx="52">
                  <c:v>12764</c:v>
                </c:pt>
                <c:pt idx="53">
                  <c:v>9375</c:v>
                </c:pt>
              </c:numCache>
            </c:numRef>
          </c:val>
          <c:extLst>
            <c:ext xmlns:c16="http://schemas.microsoft.com/office/drawing/2014/chart" uri="{C3380CC4-5D6E-409C-BE32-E72D297353CC}">
              <c16:uniqueId val="{00000001-F137-4899-ABFB-6D8963936C2B}"/>
            </c:ext>
          </c:extLst>
        </c:ser>
        <c:dLbls>
          <c:showLegendKey val="0"/>
          <c:showVal val="0"/>
          <c:showCatName val="0"/>
          <c:showSerName val="0"/>
          <c:showPercent val="0"/>
          <c:showBubbleSize val="0"/>
        </c:dLbls>
        <c:gapWidth val="10"/>
        <c:overlap val="100"/>
        <c:axId val="439215800"/>
        <c:axId val="480200584"/>
      </c:barChart>
      <c:catAx>
        <c:axId val="4392158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480200584"/>
        <c:crosses val="autoZero"/>
        <c:auto val="1"/>
        <c:lblAlgn val="ctr"/>
        <c:lblOffset val="100"/>
        <c:tickLblSkip val="5"/>
        <c:noMultiLvlLbl val="0"/>
      </c:catAx>
      <c:valAx>
        <c:axId val="480200584"/>
        <c:scaling>
          <c:orientation val="minMax"/>
          <c:max val="40000"/>
        </c:scaling>
        <c:delete val="0"/>
        <c:axPos val="l"/>
        <c:majorGridlines>
          <c:spPr>
            <a:ln w="9525" cap="flat" cmpd="sng" algn="ctr">
              <a:solidFill>
                <a:schemeClr val="bg1">
                  <a:lumMod val="50000"/>
                </a:schemeClr>
              </a:solidFill>
              <a:prstDash val="dash"/>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b="1">
                    <a:solidFill>
                      <a:schemeClr val="tx1"/>
                    </a:solidFill>
                  </a:rPr>
                  <a:t>Priest Rapids Dam Count</a:t>
                </a:r>
              </a:p>
            </c:rich>
          </c:tx>
          <c:layout>
            <c:manualLayout>
              <c:xMode val="edge"/>
              <c:yMode val="edge"/>
              <c:x val="1.1152983247732486E-2"/>
              <c:y val="0.1402881229670558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439215800"/>
        <c:crosses val="autoZero"/>
        <c:crossBetween val="between"/>
        <c:majorUnit val="10000"/>
      </c:valAx>
      <c:spPr>
        <a:noFill/>
        <a:ln>
          <a:solidFill>
            <a:schemeClr val="tx1"/>
          </a:solidFill>
        </a:ln>
        <a:effectLst/>
      </c:spPr>
    </c:plotArea>
    <c:legend>
      <c:legendPos val="r"/>
      <c:layout>
        <c:manualLayout>
          <c:xMode val="edge"/>
          <c:yMode val="edge"/>
          <c:x val="0.17007858748839461"/>
          <c:y val="0.11719344760409545"/>
          <c:w val="9.2881207169265179E-2"/>
          <c:h val="0.24536440451409228"/>
        </c:manualLayout>
      </c:layout>
      <c:overlay val="0"/>
      <c:spPr>
        <a:solidFill>
          <a:schemeClr val="bg1"/>
        </a:solidFill>
        <a:ln>
          <a:solidFill>
            <a:schemeClr val="tx1"/>
          </a:solid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sng" strike="noStrike" kern="1200" spc="0" baseline="0">
                <a:solidFill>
                  <a:schemeClr val="tx1"/>
                </a:solidFill>
                <a:latin typeface="+mn-lt"/>
                <a:ea typeface="+mn-ea"/>
                <a:cs typeface="+mn-cs"/>
              </a:defRPr>
            </a:pPr>
            <a:r>
              <a:rPr lang="en-US" b="1" u="none">
                <a:solidFill>
                  <a:schemeClr val="tx1"/>
                </a:solidFill>
              </a:rPr>
              <a:t>Current Production (Smolts)</a:t>
            </a:r>
          </a:p>
        </c:rich>
      </c:tx>
      <c:overlay val="0"/>
      <c:spPr>
        <a:noFill/>
        <a:ln>
          <a:noFill/>
        </a:ln>
        <a:effectLst/>
      </c:spPr>
      <c:txPr>
        <a:bodyPr rot="0" spcFirstLastPara="1" vertOverflow="ellipsis" vert="horz" wrap="square" anchor="ctr" anchorCtr="1"/>
        <a:lstStyle/>
        <a:p>
          <a:pPr>
            <a:defRPr sz="1400" b="1" i="0" u="sng"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22974759879452894"/>
          <c:y val="0.14705205289055182"/>
          <c:w val="0.58319716837720259"/>
          <c:h val="0.75353182802504282"/>
        </c:manualLayout>
      </c:layout>
      <c:pieChart>
        <c:varyColors val="1"/>
        <c:ser>
          <c:idx val="0"/>
          <c:order val="0"/>
          <c:spPr>
            <a:ln w="6350">
              <a:solidFill>
                <a:schemeClr val="tx1"/>
              </a:solidFill>
            </a:ln>
          </c:spPr>
          <c:dPt>
            <c:idx val="0"/>
            <c:bubble3D val="0"/>
            <c:spPr>
              <a:solidFill>
                <a:srgbClr val="008D85"/>
              </a:solidFill>
              <a:ln w="6350">
                <a:solidFill>
                  <a:schemeClr val="tx1"/>
                </a:solidFill>
              </a:ln>
              <a:effectLst/>
            </c:spPr>
            <c:extLst>
              <c:ext xmlns:c16="http://schemas.microsoft.com/office/drawing/2014/chart" uri="{C3380CC4-5D6E-409C-BE32-E72D297353CC}">
                <c16:uniqueId val="{00000002-9BF8-42DC-9577-551FD2CF263F}"/>
              </c:ext>
            </c:extLst>
          </c:dPt>
          <c:dPt>
            <c:idx val="1"/>
            <c:bubble3D val="0"/>
            <c:spPr>
              <a:solidFill>
                <a:srgbClr val="00B8AF"/>
              </a:solidFill>
              <a:ln w="6350">
                <a:solidFill>
                  <a:schemeClr val="tx1"/>
                </a:solidFill>
              </a:ln>
              <a:effectLst/>
            </c:spPr>
            <c:extLst>
              <c:ext xmlns:c16="http://schemas.microsoft.com/office/drawing/2014/chart" uri="{C3380CC4-5D6E-409C-BE32-E72D297353CC}">
                <c16:uniqueId val="{00000004-9BF8-42DC-9577-551FD2CF263F}"/>
              </c:ext>
            </c:extLst>
          </c:dPt>
          <c:dPt>
            <c:idx val="2"/>
            <c:bubble3D val="0"/>
            <c:spPr>
              <a:solidFill>
                <a:srgbClr val="00DAD0"/>
              </a:solidFill>
              <a:ln w="6350">
                <a:solidFill>
                  <a:schemeClr val="tx1"/>
                </a:solidFill>
              </a:ln>
              <a:effectLst/>
            </c:spPr>
            <c:extLst>
              <c:ext xmlns:c16="http://schemas.microsoft.com/office/drawing/2014/chart" uri="{C3380CC4-5D6E-409C-BE32-E72D297353CC}">
                <c16:uniqueId val="{00000003-9BF8-42DC-9577-551FD2CF263F}"/>
              </c:ext>
            </c:extLst>
          </c:dPt>
          <c:dPt>
            <c:idx val="3"/>
            <c:bubble3D val="0"/>
            <c:spPr>
              <a:solidFill>
                <a:srgbClr val="6DFFF8"/>
              </a:solidFill>
              <a:ln w="6350">
                <a:solidFill>
                  <a:schemeClr val="tx1"/>
                </a:solidFill>
              </a:ln>
              <a:effectLst/>
            </c:spPr>
            <c:extLst>
              <c:ext xmlns:c16="http://schemas.microsoft.com/office/drawing/2014/chart" uri="{C3380CC4-5D6E-409C-BE32-E72D297353CC}">
                <c16:uniqueId val="{00000001-9BF8-42DC-9577-551FD2CF263F}"/>
              </c:ext>
            </c:extLst>
          </c:dPt>
          <c:dPt>
            <c:idx val="4"/>
            <c:bubble3D val="0"/>
            <c:spPr>
              <a:solidFill>
                <a:srgbClr val="00645F"/>
              </a:solidFill>
              <a:ln w="6350">
                <a:solidFill>
                  <a:schemeClr val="tx1"/>
                </a:solidFill>
              </a:ln>
              <a:effectLst/>
            </c:spPr>
            <c:extLst>
              <c:ext xmlns:c16="http://schemas.microsoft.com/office/drawing/2014/chart" uri="{C3380CC4-5D6E-409C-BE32-E72D297353CC}">
                <c16:uniqueId val="{00000008-432A-4BB8-BFB1-A2186C9018C6}"/>
              </c:ext>
            </c:extLst>
          </c:dPt>
          <c:dLbls>
            <c:dLbl>
              <c:idx val="0"/>
              <c:layout>
                <c:manualLayout>
                  <c:x val="-1.6221643902299625E-2"/>
                  <c:y val="7.0025972471332451E-2"/>
                </c:manualLayout>
              </c:layout>
              <c:showLegendKey val="0"/>
              <c:showVal val="1"/>
              <c:showCatName val="1"/>
              <c:showSerName val="0"/>
              <c:showPercent val="0"/>
              <c:showBubbleSize val="0"/>
              <c:extLst>
                <c:ext xmlns:c15="http://schemas.microsoft.com/office/drawing/2012/chart" uri="{CE6537A1-D6FC-4f65-9D91-7224C49458BB}">
                  <c15:layout>
                    <c:manualLayout>
                      <c:w val="0.23326997531375579"/>
                      <c:h val="0.17909571134273164"/>
                    </c:manualLayout>
                  </c15:layout>
                </c:ext>
                <c:ext xmlns:c16="http://schemas.microsoft.com/office/drawing/2014/chart" uri="{C3380CC4-5D6E-409C-BE32-E72D297353CC}">
                  <c16:uniqueId val="{00000002-9BF8-42DC-9577-551FD2CF263F}"/>
                </c:ext>
              </c:extLst>
            </c:dLbl>
            <c:dLbl>
              <c:idx val="1"/>
              <c:layout>
                <c:manualLayout>
                  <c:x val="-1.6577970252460092E-2"/>
                  <c:y val="-2.1202350158946146E-2"/>
                </c:manualLayout>
              </c:layout>
              <c:showLegendKey val="0"/>
              <c:showVal val="1"/>
              <c:showCatName val="1"/>
              <c:showSerName val="0"/>
              <c:showPercent val="0"/>
              <c:showBubbleSize val="0"/>
              <c:extLst>
                <c:ext xmlns:c15="http://schemas.microsoft.com/office/drawing/2012/chart" uri="{CE6537A1-D6FC-4f65-9D91-7224C49458BB}">
                  <c15:layout>
                    <c:manualLayout>
                      <c:w val="0.21578176163781251"/>
                      <c:h val="0.17686163505516964"/>
                    </c:manualLayout>
                  </c15:layout>
                </c:ext>
                <c:ext xmlns:c16="http://schemas.microsoft.com/office/drawing/2014/chart" uri="{C3380CC4-5D6E-409C-BE32-E72D297353CC}">
                  <c16:uniqueId val="{00000004-9BF8-42DC-9577-551FD2CF263F}"/>
                </c:ext>
              </c:extLst>
            </c:dLbl>
            <c:dLbl>
              <c:idx val="2"/>
              <c:layout>
                <c:manualLayout>
                  <c:x val="-0.18466149561940726"/>
                  <c:y val="-8.2596426666774261E-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47705152751678376"/>
                      <c:h val="0.12017816227616226"/>
                    </c:manualLayout>
                  </c15:layout>
                </c:ext>
                <c:ext xmlns:c16="http://schemas.microsoft.com/office/drawing/2014/chart" uri="{C3380CC4-5D6E-409C-BE32-E72D297353CC}">
                  <c16:uniqueId val="{00000003-9BF8-42DC-9577-551FD2CF263F}"/>
                </c:ext>
              </c:extLst>
            </c:dLbl>
            <c:dLbl>
              <c:idx val="3"/>
              <c:layout>
                <c:manualLayout>
                  <c:x val="2.7367003114847292E-2"/>
                  <c:y val="-4.2841463685279926E-2"/>
                </c:manualLayout>
              </c:layout>
              <c:showLegendKey val="0"/>
              <c:showVal val="1"/>
              <c:showCatName val="1"/>
              <c:showSerName val="0"/>
              <c:showPercent val="0"/>
              <c:showBubbleSize val="0"/>
              <c:extLst>
                <c:ext xmlns:c15="http://schemas.microsoft.com/office/drawing/2012/chart" uri="{CE6537A1-D6FC-4f65-9D91-7224C49458BB}">
                  <c15:layout>
                    <c:manualLayout>
                      <c:w val="0.2239324922621517"/>
                      <c:h val="0.20049813074872941"/>
                    </c:manualLayout>
                  </c15:layout>
                </c:ext>
                <c:ext xmlns:c16="http://schemas.microsoft.com/office/drawing/2014/chart" uri="{C3380CC4-5D6E-409C-BE32-E72D297353CC}">
                  <c16:uniqueId val="{00000001-9BF8-42DC-9577-551FD2CF263F}"/>
                </c:ext>
              </c:extLst>
            </c:dLbl>
            <c:dLbl>
              <c:idx val="4"/>
              <c:layout>
                <c:manualLayout>
                  <c:x val="-2.4065545807766327E-2"/>
                  <c:y val="0.13849104111142274"/>
                </c:manualLayout>
              </c:layout>
              <c:showLegendKey val="0"/>
              <c:showVal val="1"/>
              <c:showCatName val="1"/>
              <c:showSerName val="0"/>
              <c:showPercent val="0"/>
              <c:showBubbleSize val="0"/>
              <c:extLst>
                <c:ext xmlns:c15="http://schemas.microsoft.com/office/drawing/2012/chart" uri="{CE6537A1-D6FC-4f65-9D91-7224C49458BB}">
                  <c15:layout>
                    <c:manualLayout>
                      <c:w val="0.30854271953984058"/>
                      <c:h val="0.19961728011098606"/>
                    </c:manualLayout>
                  </c15:layout>
                </c:ext>
                <c:ext xmlns:c16="http://schemas.microsoft.com/office/drawing/2014/chart" uri="{C3380CC4-5D6E-409C-BE32-E72D297353CC}">
                  <c16:uniqueId val="{00000008-432A-4BB8-BFB1-A2186C9018C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Summary!$S$15:$S$19</c:f>
              <c:strCache>
                <c:ptCount val="5"/>
                <c:pt idx="0">
                  <c:v>Methow</c:v>
                </c:pt>
                <c:pt idx="1">
                  <c:v>Okanogan</c:v>
                </c:pt>
                <c:pt idx="2">
                  <c:v>Wenatchee</c:v>
                </c:pt>
                <c:pt idx="3">
                  <c:v>Col R (Wells)</c:v>
                </c:pt>
                <c:pt idx="4">
                  <c:v>Col R (Ringold)</c:v>
                </c:pt>
              </c:strCache>
            </c:strRef>
          </c:cat>
          <c:val>
            <c:numRef>
              <c:f>Summary!$V$15:$V$19</c:f>
              <c:numCache>
                <c:formatCode>#,##0</c:formatCode>
                <c:ptCount val="5"/>
                <c:pt idx="0">
                  <c:v>248000</c:v>
                </c:pt>
                <c:pt idx="1">
                  <c:v>100000</c:v>
                </c:pt>
                <c:pt idx="2">
                  <c:v>247300</c:v>
                </c:pt>
                <c:pt idx="3">
                  <c:v>160000</c:v>
                </c:pt>
                <c:pt idx="4">
                  <c:v>180000</c:v>
                </c:pt>
              </c:numCache>
            </c:numRef>
          </c:val>
          <c:extLst>
            <c:ext xmlns:c16="http://schemas.microsoft.com/office/drawing/2014/chart" uri="{C3380CC4-5D6E-409C-BE32-E72D297353CC}">
              <c16:uniqueId val="{00000000-9BF8-42DC-9577-551FD2CF263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Natural Production</a:t>
            </a:r>
          </a:p>
        </c:rich>
      </c:tx>
      <c:layout>
        <c:manualLayout>
          <c:xMode val="edge"/>
          <c:yMode val="edge"/>
          <c:x val="0.53189978018399409"/>
          <c:y val="0.24761084977163619"/>
        </c:manualLayout>
      </c:layout>
      <c:overlay val="0"/>
      <c:spPr>
        <a:solidFill>
          <a:schemeClr val="bg1"/>
        </a:solid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210129599853456"/>
          <c:y val="4.2548485366417664E-2"/>
          <c:w val="0.64638864586371148"/>
          <c:h val="0.83480761136009107"/>
        </c:manualLayout>
      </c:layout>
      <c:barChart>
        <c:barDir val="bar"/>
        <c:grouping val="clustered"/>
        <c:varyColors val="0"/>
        <c:ser>
          <c:idx val="0"/>
          <c:order val="0"/>
          <c:spPr>
            <a:solidFill>
              <a:srgbClr val="008D85"/>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Summary!$C$19:$C$23</c:f>
              <c:strCache>
                <c:ptCount val="5"/>
                <c:pt idx="0">
                  <c:v>Current</c:v>
                </c:pt>
                <c:pt idx="1">
                  <c:v>Low goal</c:v>
                </c:pt>
                <c:pt idx="2">
                  <c:v>Med goal</c:v>
                </c:pt>
                <c:pt idx="3">
                  <c:v>High goal</c:v>
                </c:pt>
                <c:pt idx="4">
                  <c:v>Historical</c:v>
                </c:pt>
              </c:strCache>
            </c:strRef>
          </c:cat>
          <c:val>
            <c:numRef>
              <c:f>Summary!$D$19:$D$23</c:f>
              <c:numCache>
                <c:formatCode>#,##0</c:formatCode>
                <c:ptCount val="5"/>
                <c:pt idx="0">
                  <c:v>1480</c:v>
                </c:pt>
                <c:pt idx="1">
                  <c:v>7500</c:v>
                </c:pt>
                <c:pt idx="2">
                  <c:v>31000</c:v>
                </c:pt>
                <c:pt idx="3">
                  <c:v>47000</c:v>
                </c:pt>
                <c:pt idx="4">
                  <c:v>1121400</c:v>
                </c:pt>
              </c:numCache>
            </c:numRef>
          </c:val>
          <c:extLst>
            <c:ext xmlns:c16="http://schemas.microsoft.com/office/drawing/2014/chart" uri="{C3380CC4-5D6E-409C-BE32-E72D297353CC}">
              <c16:uniqueId val="{00000000-8764-4E73-A2AD-2B7890021B4D}"/>
            </c:ext>
          </c:extLst>
        </c:ser>
        <c:dLbls>
          <c:dLblPos val="outEnd"/>
          <c:showLegendKey val="0"/>
          <c:showVal val="1"/>
          <c:showCatName val="0"/>
          <c:showSerName val="0"/>
          <c:showPercent val="0"/>
          <c:showBubbleSize val="0"/>
        </c:dLbls>
        <c:gapWidth val="20"/>
        <c:axId val="480200976"/>
        <c:axId val="469917312"/>
      </c:barChart>
      <c:catAx>
        <c:axId val="480200976"/>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469917312"/>
        <c:crosses val="autoZero"/>
        <c:auto val="1"/>
        <c:lblAlgn val="ctr"/>
        <c:lblOffset val="100"/>
        <c:noMultiLvlLbl val="0"/>
      </c:catAx>
      <c:valAx>
        <c:axId val="469917312"/>
        <c:scaling>
          <c:orientation val="minMax"/>
          <c:max val="1200000"/>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480200976"/>
        <c:crosses val="max"/>
        <c:crossBetween val="between"/>
        <c:majorUnit val="40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u="none">
                <a:solidFill>
                  <a:schemeClr val="tx1"/>
                </a:solidFill>
              </a:rPr>
              <a:t>Current Fishery Distribution</a:t>
            </a:r>
            <a:r>
              <a:rPr lang="en-US" b="1" u="none" baseline="0">
                <a:solidFill>
                  <a:schemeClr val="tx1"/>
                </a:solidFill>
              </a:rPr>
              <a:t> </a:t>
            </a:r>
          </a:p>
          <a:p>
            <a:pPr algn="ctr">
              <a:defRPr b="1">
                <a:solidFill>
                  <a:schemeClr val="tx1"/>
                </a:solidFill>
              </a:defRPr>
            </a:pPr>
            <a:r>
              <a:rPr lang="en-US" b="1" u="none" baseline="0">
                <a:solidFill>
                  <a:schemeClr val="tx1"/>
                </a:solidFill>
              </a:rPr>
              <a:t>Wild/Natural Impacts</a:t>
            </a:r>
            <a:endParaRPr lang="en-US" b="1" u="none">
              <a:solidFill>
                <a:schemeClr val="tx1"/>
              </a:solidFill>
            </a:endParaRPr>
          </a:p>
        </c:rich>
      </c:tx>
      <c:layout>
        <c:manualLayout>
          <c:xMode val="edge"/>
          <c:yMode val="edge"/>
          <c:x val="0.27912827678179308"/>
          <c:y val="0"/>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2162970992614692"/>
          <c:y val="0.17692903685391864"/>
          <c:w val="0.60631693053632718"/>
          <c:h val="0.76444770699392206"/>
        </c:manualLayout>
      </c:layout>
      <c:pieChart>
        <c:varyColors val="1"/>
        <c:ser>
          <c:idx val="0"/>
          <c:order val="0"/>
          <c:spPr>
            <a:ln w="6350">
              <a:solidFill>
                <a:schemeClr val="tx1"/>
              </a:solidFill>
            </a:ln>
          </c:spPr>
          <c:dPt>
            <c:idx val="0"/>
            <c:bubble3D val="0"/>
            <c:spPr>
              <a:solidFill>
                <a:srgbClr val="00DAD0"/>
              </a:solidFill>
              <a:ln w="6350">
                <a:solidFill>
                  <a:schemeClr val="tx1"/>
                </a:solidFill>
              </a:ln>
              <a:effectLst/>
            </c:spPr>
            <c:extLst>
              <c:ext xmlns:c16="http://schemas.microsoft.com/office/drawing/2014/chart" uri="{C3380CC4-5D6E-409C-BE32-E72D297353CC}">
                <c16:uniqueId val="{00000001-87B2-482B-A269-20ED3BC5E850}"/>
              </c:ext>
            </c:extLst>
          </c:dPt>
          <c:dPt>
            <c:idx val="1"/>
            <c:bubble3D val="0"/>
            <c:spPr>
              <a:solidFill>
                <a:srgbClr val="00645F"/>
              </a:solidFill>
              <a:ln w="6350">
                <a:solidFill>
                  <a:schemeClr val="tx1"/>
                </a:solidFill>
              </a:ln>
              <a:effectLst/>
            </c:spPr>
            <c:extLst>
              <c:ext xmlns:c16="http://schemas.microsoft.com/office/drawing/2014/chart" uri="{C3380CC4-5D6E-409C-BE32-E72D297353CC}">
                <c16:uniqueId val="{00000003-87B2-482B-A269-20ED3BC5E850}"/>
              </c:ext>
            </c:extLst>
          </c:dPt>
          <c:dPt>
            <c:idx val="2"/>
            <c:bubble3D val="0"/>
            <c:spPr>
              <a:solidFill>
                <a:srgbClr val="008D85"/>
              </a:solidFill>
              <a:ln w="6350">
                <a:solidFill>
                  <a:schemeClr val="tx1"/>
                </a:solidFill>
              </a:ln>
              <a:effectLst/>
            </c:spPr>
            <c:extLst>
              <c:ext xmlns:c16="http://schemas.microsoft.com/office/drawing/2014/chart" uri="{C3380CC4-5D6E-409C-BE32-E72D297353CC}">
                <c16:uniqueId val="{00000005-87B2-482B-A269-20ED3BC5E850}"/>
              </c:ext>
            </c:extLst>
          </c:dPt>
          <c:dPt>
            <c:idx val="3"/>
            <c:bubble3D val="0"/>
            <c:spPr>
              <a:solidFill>
                <a:srgbClr val="00B8AF"/>
              </a:solidFill>
              <a:ln w="6350">
                <a:solidFill>
                  <a:schemeClr val="tx1"/>
                </a:solidFill>
              </a:ln>
              <a:effectLst/>
            </c:spPr>
            <c:extLst>
              <c:ext xmlns:c16="http://schemas.microsoft.com/office/drawing/2014/chart" uri="{C3380CC4-5D6E-409C-BE32-E72D297353CC}">
                <c16:uniqueId val="{00000007-87B2-482B-A269-20ED3BC5E850}"/>
              </c:ext>
            </c:extLst>
          </c:dPt>
          <c:dPt>
            <c:idx val="4"/>
            <c:bubble3D val="0"/>
            <c:spPr>
              <a:solidFill>
                <a:schemeClr val="accent5"/>
              </a:solidFill>
              <a:ln w="6350">
                <a:solidFill>
                  <a:schemeClr val="tx1"/>
                </a:solidFill>
              </a:ln>
              <a:effectLst/>
            </c:spPr>
            <c:extLst>
              <c:ext xmlns:c16="http://schemas.microsoft.com/office/drawing/2014/chart" uri="{C3380CC4-5D6E-409C-BE32-E72D297353CC}">
                <c16:uniqueId val="{00000009-87B2-482B-A269-20ED3BC5E850}"/>
              </c:ext>
            </c:extLst>
          </c:dPt>
          <c:dPt>
            <c:idx val="5"/>
            <c:bubble3D val="0"/>
            <c:spPr>
              <a:solidFill>
                <a:schemeClr val="accent6"/>
              </a:solidFill>
              <a:ln w="6350">
                <a:solidFill>
                  <a:schemeClr val="tx1"/>
                </a:solidFill>
              </a:ln>
              <a:effectLst/>
            </c:spPr>
            <c:extLst>
              <c:ext xmlns:c16="http://schemas.microsoft.com/office/drawing/2014/chart" uri="{C3380CC4-5D6E-409C-BE32-E72D297353CC}">
                <c16:uniqueId val="{0000000B-87B2-482B-A269-20ED3BC5E850}"/>
              </c:ext>
            </c:extLst>
          </c:dPt>
          <c:dPt>
            <c:idx val="6"/>
            <c:bubble3D val="0"/>
            <c:spPr>
              <a:solidFill>
                <a:schemeClr val="accent1">
                  <a:lumMod val="60000"/>
                </a:schemeClr>
              </a:solidFill>
              <a:ln w="6350">
                <a:solidFill>
                  <a:schemeClr val="tx1"/>
                </a:solidFill>
              </a:ln>
              <a:effectLst/>
            </c:spPr>
            <c:extLst>
              <c:ext xmlns:c16="http://schemas.microsoft.com/office/drawing/2014/chart" uri="{C3380CC4-5D6E-409C-BE32-E72D297353CC}">
                <c16:uniqueId val="{0000000D-87B2-482B-A269-20ED3BC5E850}"/>
              </c:ext>
            </c:extLst>
          </c:dPt>
          <c:dLbls>
            <c:dLbl>
              <c:idx val="0"/>
              <c:layout>
                <c:manualLayout>
                  <c:x val="6.245583193285705E-3"/>
                  <c:y val="0.16373319622955496"/>
                </c:manualLayout>
              </c:layout>
              <c:showLegendKey val="0"/>
              <c:showVal val="1"/>
              <c:showCatName val="1"/>
              <c:showSerName val="0"/>
              <c:showPercent val="0"/>
              <c:showBubbleSize val="0"/>
              <c:extLst>
                <c:ext xmlns:c15="http://schemas.microsoft.com/office/drawing/2012/chart" uri="{CE6537A1-D6FC-4f65-9D91-7224C49458BB}">
                  <c15:layout>
                    <c:manualLayout>
                      <c:w val="0.34222155077049088"/>
                      <c:h val="0.13995025097974725"/>
                    </c:manualLayout>
                  </c15:layout>
                </c:ext>
                <c:ext xmlns:c16="http://schemas.microsoft.com/office/drawing/2014/chart" uri="{C3380CC4-5D6E-409C-BE32-E72D297353CC}">
                  <c16:uniqueId val="{00000001-87B2-482B-A269-20ED3BC5E850}"/>
                </c:ext>
              </c:extLst>
            </c:dLbl>
            <c:dLbl>
              <c:idx val="1"/>
              <c:layout>
                <c:manualLayout>
                  <c:x val="2.2983988872775057E-2"/>
                  <c:y val="-0.2767796737962678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4146155130203797"/>
                      <c:h val="0.14041355621567642"/>
                    </c:manualLayout>
                  </c15:layout>
                </c:ext>
                <c:ext xmlns:c16="http://schemas.microsoft.com/office/drawing/2014/chart" uri="{C3380CC4-5D6E-409C-BE32-E72D297353CC}">
                  <c16:uniqueId val="{00000003-87B2-482B-A269-20ED3BC5E850}"/>
                </c:ext>
              </c:extLst>
            </c:dLbl>
            <c:dLbl>
              <c:idx val="2"/>
              <c:layout>
                <c:manualLayout>
                  <c:x val="-8.2783763148292562E-5"/>
                  <c:y val="3.412082713972473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8121149491740743"/>
                      <c:h val="0.17763666525764016"/>
                    </c:manualLayout>
                  </c15:layout>
                </c:ext>
                <c:ext xmlns:c16="http://schemas.microsoft.com/office/drawing/2014/chart" uri="{C3380CC4-5D6E-409C-BE32-E72D297353CC}">
                  <c16:uniqueId val="{00000005-87B2-482B-A269-20ED3BC5E850}"/>
                </c:ext>
              </c:extLst>
            </c:dLbl>
            <c:dLbl>
              <c:idx val="3"/>
              <c:layout>
                <c:manualLayout>
                  <c:x val="-8.6295561363379583E-3"/>
                  <c:y val="-1.467207166697436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1269107930775102"/>
                      <c:h val="0.14454952777323835"/>
                    </c:manualLayout>
                  </c15:layout>
                </c:ext>
                <c:ext xmlns:c16="http://schemas.microsoft.com/office/drawing/2014/chart" uri="{C3380CC4-5D6E-409C-BE32-E72D297353CC}">
                  <c16:uniqueId val="{00000007-87B2-482B-A269-20ED3BC5E850}"/>
                </c:ext>
              </c:extLst>
            </c:dLbl>
            <c:dLbl>
              <c:idx val="4"/>
              <c:delete val="1"/>
              <c:extLst>
                <c:ext xmlns:c15="http://schemas.microsoft.com/office/drawing/2012/chart" uri="{CE6537A1-D6FC-4f65-9D91-7224C49458BB}"/>
                <c:ext xmlns:c16="http://schemas.microsoft.com/office/drawing/2014/chart" uri="{C3380CC4-5D6E-409C-BE32-E72D297353CC}">
                  <c16:uniqueId val="{00000009-87B2-482B-A269-20ED3BC5E850}"/>
                </c:ext>
              </c:extLst>
            </c:dLbl>
            <c:dLbl>
              <c:idx val="5"/>
              <c:layout>
                <c:manualLayout>
                  <c:x val="7.1110400815064714E-2"/>
                  <c:y val="0.2134883574942351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4386643289273008"/>
                      <c:h val="0.16522898200332303"/>
                    </c:manualLayout>
                  </c15:layout>
                </c:ext>
                <c:ext xmlns:c16="http://schemas.microsoft.com/office/drawing/2014/chart" uri="{C3380CC4-5D6E-409C-BE32-E72D297353CC}">
                  <c16:uniqueId val="{0000000B-87B2-482B-A269-20ED3BC5E850}"/>
                </c:ext>
              </c:extLst>
            </c:dLbl>
            <c:dLbl>
              <c:idx val="6"/>
              <c:layout>
                <c:manualLayout>
                  <c:x val="-6.7296994222257461E-2"/>
                  <c:y val="0.15025411326098015"/>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B2-482B-A269-20ED3BC5E85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Summary!$C$55:$C$60</c:f>
              <c:strCache>
                <c:ptCount val="6"/>
                <c:pt idx="0">
                  <c:v>U Col Sport</c:v>
                </c:pt>
                <c:pt idx="1">
                  <c:v>Zone 6 tribal</c:v>
                </c:pt>
                <c:pt idx="2">
                  <c:v>Col R Spt</c:v>
                </c:pt>
                <c:pt idx="3">
                  <c:v>LCR comm.</c:v>
                </c:pt>
                <c:pt idx="4">
                  <c:v>US Ocean</c:v>
                </c:pt>
                <c:pt idx="5">
                  <c:v>AK/CAN</c:v>
                </c:pt>
              </c:strCache>
            </c:strRef>
          </c:cat>
          <c:val>
            <c:numRef>
              <c:f>Summary!$E$55:$E$60</c:f>
              <c:numCache>
                <c:formatCode>0.0%</c:formatCode>
                <c:ptCount val="6"/>
                <c:pt idx="0">
                  <c:v>1.7746114029037027E-2</c:v>
                </c:pt>
                <c:pt idx="1">
                  <c:v>6.4903871499289681E-2</c:v>
                </c:pt>
                <c:pt idx="2">
                  <c:v>1.5746114029037028E-2</c:v>
                </c:pt>
                <c:pt idx="3">
                  <c:v>2E-3</c:v>
                </c:pt>
                <c:pt idx="4" formatCode="General">
                  <c:v>0</c:v>
                </c:pt>
                <c:pt idx="5" formatCode="General">
                  <c:v>0</c:v>
                </c:pt>
              </c:numCache>
            </c:numRef>
          </c:val>
          <c:extLst>
            <c:ext xmlns:c16="http://schemas.microsoft.com/office/drawing/2014/chart" uri="{C3380CC4-5D6E-409C-BE32-E72D297353CC}">
              <c16:uniqueId val="{00000000-F2FD-4027-8F19-8CE5E795C3BC}"/>
            </c:ext>
          </c:extLst>
        </c:ser>
        <c:dLbls>
          <c:showLegendKey val="0"/>
          <c:showVal val="0"/>
          <c:showCatName val="0"/>
          <c:showSerName val="0"/>
          <c:showPercent val="0"/>
          <c:showBubbleSize val="0"/>
          <c:showLeaderLines val="0"/>
        </c:dLbls>
        <c:firstSliceAng val="82"/>
      </c:pieChart>
      <c:spPr>
        <a:noFill/>
        <a:ln w="635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Current Fishery Distribution</a:t>
            </a:r>
            <a:r>
              <a:rPr lang="en-US" b="1" baseline="0"/>
              <a:t> </a:t>
            </a:r>
          </a:p>
          <a:p>
            <a:pPr>
              <a:defRPr b="1"/>
            </a:pPr>
            <a:r>
              <a:rPr lang="en-US" b="1" baseline="0"/>
              <a:t>of Wild/Natural Impacts</a:t>
            </a:r>
            <a:endParaRPr lang="en-US" b="1"/>
          </a:p>
        </c:rich>
      </c:tx>
      <c:layout>
        <c:manualLayout>
          <c:xMode val="edge"/>
          <c:yMode val="edge"/>
          <c:x val="0.21070711749266635"/>
          <c:y val="3.703703703703703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529130549857739"/>
          <c:y val="0.24734981044036161"/>
          <c:w val="0.51611664350779674"/>
          <c:h val="0.68242089530475347"/>
        </c:manualLayout>
      </c:layout>
      <c:pieChart>
        <c:varyColors val="1"/>
        <c:ser>
          <c:idx val="0"/>
          <c:order val="0"/>
          <c:spPr>
            <a:ln w="6350">
              <a:solidFill>
                <a:schemeClr val="tx1"/>
              </a:solidFill>
            </a:ln>
          </c:spPr>
          <c:dPt>
            <c:idx val="0"/>
            <c:bubble3D val="0"/>
            <c:spPr>
              <a:solidFill>
                <a:schemeClr val="accent1"/>
              </a:solidFill>
              <a:ln w="6350">
                <a:solidFill>
                  <a:schemeClr val="tx1"/>
                </a:solidFill>
              </a:ln>
              <a:effectLst/>
            </c:spPr>
            <c:extLst>
              <c:ext xmlns:c16="http://schemas.microsoft.com/office/drawing/2014/chart" uri="{C3380CC4-5D6E-409C-BE32-E72D297353CC}">
                <c16:uniqueId val="{00000001-87B2-482B-A269-20ED3BC5E850}"/>
              </c:ext>
            </c:extLst>
          </c:dPt>
          <c:dPt>
            <c:idx val="1"/>
            <c:bubble3D val="0"/>
            <c:spPr>
              <a:solidFill>
                <a:schemeClr val="accent2"/>
              </a:solidFill>
              <a:ln w="6350">
                <a:solidFill>
                  <a:schemeClr val="tx1"/>
                </a:solidFill>
              </a:ln>
              <a:effectLst/>
            </c:spPr>
            <c:extLst>
              <c:ext xmlns:c16="http://schemas.microsoft.com/office/drawing/2014/chart" uri="{C3380CC4-5D6E-409C-BE32-E72D297353CC}">
                <c16:uniqueId val="{00000003-87B2-482B-A269-20ED3BC5E850}"/>
              </c:ext>
            </c:extLst>
          </c:dPt>
          <c:dPt>
            <c:idx val="2"/>
            <c:bubble3D val="0"/>
            <c:spPr>
              <a:solidFill>
                <a:schemeClr val="accent3"/>
              </a:solidFill>
              <a:ln w="6350">
                <a:solidFill>
                  <a:schemeClr val="tx1"/>
                </a:solidFill>
              </a:ln>
              <a:effectLst/>
            </c:spPr>
            <c:extLst>
              <c:ext xmlns:c16="http://schemas.microsoft.com/office/drawing/2014/chart" uri="{C3380CC4-5D6E-409C-BE32-E72D297353CC}">
                <c16:uniqueId val="{00000005-87B2-482B-A269-20ED3BC5E850}"/>
              </c:ext>
            </c:extLst>
          </c:dPt>
          <c:dPt>
            <c:idx val="3"/>
            <c:bubble3D val="0"/>
            <c:spPr>
              <a:solidFill>
                <a:schemeClr val="accent4"/>
              </a:solidFill>
              <a:ln w="6350">
                <a:solidFill>
                  <a:schemeClr val="tx1"/>
                </a:solidFill>
              </a:ln>
              <a:effectLst/>
            </c:spPr>
            <c:extLst>
              <c:ext xmlns:c16="http://schemas.microsoft.com/office/drawing/2014/chart" uri="{C3380CC4-5D6E-409C-BE32-E72D297353CC}">
                <c16:uniqueId val="{00000007-87B2-482B-A269-20ED3BC5E850}"/>
              </c:ext>
            </c:extLst>
          </c:dPt>
          <c:dPt>
            <c:idx val="4"/>
            <c:bubble3D val="0"/>
            <c:spPr>
              <a:solidFill>
                <a:schemeClr val="accent5"/>
              </a:solidFill>
              <a:ln w="6350">
                <a:solidFill>
                  <a:schemeClr val="tx1"/>
                </a:solidFill>
              </a:ln>
              <a:effectLst/>
            </c:spPr>
            <c:extLst>
              <c:ext xmlns:c16="http://schemas.microsoft.com/office/drawing/2014/chart" uri="{C3380CC4-5D6E-409C-BE32-E72D297353CC}">
                <c16:uniqueId val="{00000009-87B2-482B-A269-20ED3BC5E850}"/>
              </c:ext>
            </c:extLst>
          </c:dPt>
          <c:dPt>
            <c:idx val="5"/>
            <c:bubble3D val="0"/>
            <c:spPr>
              <a:solidFill>
                <a:schemeClr val="accent6"/>
              </a:solidFill>
              <a:ln w="6350">
                <a:solidFill>
                  <a:schemeClr val="tx1"/>
                </a:solidFill>
              </a:ln>
              <a:effectLst/>
            </c:spPr>
            <c:extLst>
              <c:ext xmlns:c16="http://schemas.microsoft.com/office/drawing/2014/chart" uri="{C3380CC4-5D6E-409C-BE32-E72D297353CC}">
                <c16:uniqueId val="{0000000B-87B2-482B-A269-20ED3BC5E850}"/>
              </c:ext>
            </c:extLst>
          </c:dPt>
          <c:dPt>
            <c:idx val="6"/>
            <c:bubble3D val="0"/>
            <c:spPr>
              <a:solidFill>
                <a:schemeClr val="accent1">
                  <a:lumMod val="60000"/>
                </a:schemeClr>
              </a:solidFill>
              <a:ln w="6350">
                <a:solidFill>
                  <a:schemeClr val="tx1"/>
                </a:solidFill>
              </a:ln>
              <a:effectLst/>
            </c:spPr>
            <c:extLst>
              <c:ext xmlns:c16="http://schemas.microsoft.com/office/drawing/2014/chart" uri="{C3380CC4-5D6E-409C-BE32-E72D297353CC}">
                <c16:uniqueId val="{0000000D-87B2-482B-A269-20ED3BC5E850}"/>
              </c:ext>
            </c:extLst>
          </c:dPt>
          <c:dLbls>
            <c:dLbl>
              <c:idx val="1"/>
              <c:layout>
                <c:manualLayout>
                  <c:x val="-3.4264099340523629E-2"/>
                  <c:y val="-4.870771361913094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B2-482B-A269-20ED3BC5E850}"/>
                </c:ext>
              </c:extLst>
            </c:dLbl>
            <c:dLbl>
              <c:idx val="2"/>
              <c:layout>
                <c:manualLayout>
                  <c:x val="1.5578475484682061E-2"/>
                  <c:y val="-3.459317585301837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B2-482B-A269-20ED3BC5E850}"/>
                </c:ext>
              </c:extLst>
            </c:dLbl>
            <c:dLbl>
              <c:idx val="3"/>
              <c:layout>
                <c:manualLayout>
                  <c:x val="1.9526235691126846E-2"/>
                  <c:y val="-1.043307086614173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7B2-482B-A269-20ED3BC5E850}"/>
                </c:ext>
              </c:extLst>
            </c:dLbl>
            <c:dLbl>
              <c:idx val="4"/>
              <c:layout>
                <c:manualLayout>
                  <c:x val="2.5865976311784555E-2"/>
                  <c:y val="-2.0090040828229804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B2-482B-A269-20ED3BC5E850}"/>
                </c:ext>
              </c:extLst>
            </c:dLbl>
            <c:dLbl>
              <c:idx val="5"/>
              <c:layout>
                <c:manualLayout>
                  <c:x val="4.5972700103663514E-2"/>
                  <c:y val="-2.339603382910461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7B2-482B-A269-20ED3BC5E850}"/>
                </c:ext>
              </c:extLst>
            </c:dLbl>
            <c:dLbl>
              <c:idx val="6"/>
              <c:layout>
                <c:manualLayout>
                  <c:x val="5.1001621120889302E-2"/>
                  <c:y val="9.3502114319043456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B2-482B-A269-20ED3BC5E85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Summary!$C$55:$C$60</c:f>
              <c:strCache>
                <c:ptCount val="6"/>
                <c:pt idx="0">
                  <c:v>U Col Sport</c:v>
                </c:pt>
                <c:pt idx="1">
                  <c:v>Zone 6 tribal</c:v>
                </c:pt>
                <c:pt idx="2">
                  <c:v>Col R Spt</c:v>
                </c:pt>
                <c:pt idx="3">
                  <c:v>LCR comm.</c:v>
                </c:pt>
                <c:pt idx="4">
                  <c:v>US Ocean</c:v>
                </c:pt>
                <c:pt idx="5">
                  <c:v>AK/CAN</c:v>
                </c:pt>
              </c:strCache>
            </c:strRef>
          </c:cat>
          <c:val>
            <c:numRef>
              <c:f>Summary!$E$55:$E$60</c:f>
              <c:numCache>
                <c:formatCode>0.0%</c:formatCode>
                <c:ptCount val="6"/>
                <c:pt idx="0">
                  <c:v>1.7746114029037027E-2</c:v>
                </c:pt>
                <c:pt idx="1">
                  <c:v>6.4903871499289681E-2</c:v>
                </c:pt>
                <c:pt idx="2">
                  <c:v>1.5746114029037028E-2</c:v>
                </c:pt>
                <c:pt idx="3">
                  <c:v>2E-3</c:v>
                </c:pt>
                <c:pt idx="4" formatCode="General">
                  <c:v>0</c:v>
                </c:pt>
                <c:pt idx="5" formatCode="General">
                  <c:v>0</c:v>
                </c:pt>
              </c:numCache>
            </c:numRef>
          </c:val>
          <c:extLst>
            <c:ext xmlns:c16="http://schemas.microsoft.com/office/drawing/2014/chart" uri="{C3380CC4-5D6E-409C-BE32-E72D297353CC}">
              <c16:uniqueId val="{00000000-F2FD-4027-8F19-8CE5E795C3BC}"/>
            </c:ext>
          </c:extLst>
        </c:ser>
        <c:dLbls>
          <c:showLegendKey val="0"/>
          <c:showVal val="0"/>
          <c:showCatName val="0"/>
          <c:showSerName val="0"/>
          <c:showPercent val="0"/>
          <c:showBubbleSize val="0"/>
          <c:showLeaderLines val="1"/>
        </c:dLbls>
        <c:firstSliceAng val="118"/>
      </c:pieChart>
      <c:spPr>
        <a:noFill/>
        <a:ln w="635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1.xml"/><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120132</xdr:colOff>
      <xdr:row>1</xdr:row>
      <xdr:rowOff>49463</xdr:rowOff>
    </xdr:from>
    <xdr:to>
      <xdr:col>6</xdr:col>
      <xdr:colOff>535781</xdr:colOff>
      <xdr:row>17</xdr:row>
      <xdr:rowOff>11906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0132" y="311401"/>
          <a:ext cx="3689868" cy="2724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171450" indent="-171450">
            <a:spcAft>
              <a:spcPts val="300"/>
            </a:spcAft>
            <a:buFont typeface="Arial" panose="020B0604020202020204" pitchFamily="34" charset="0"/>
            <a:buChar char="•"/>
          </a:pPr>
          <a:r>
            <a:rPr lang="en-US" sz="1600" i="0" baseline="0"/>
            <a:t>Currently inhabits large tributaries upstream from Priest Rapids Dam.</a:t>
          </a:r>
        </a:p>
        <a:p>
          <a:pPr marL="171450" indent="-171450">
            <a:spcAft>
              <a:spcPts val="300"/>
            </a:spcAft>
            <a:buFont typeface="Arial" panose="020B0604020202020204" pitchFamily="34" charset="0"/>
            <a:buChar char="•"/>
          </a:pPr>
          <a:r>
            <a:rPr lang="en-US" sz="1600" i="0" baseline="0"/>
            <a:t>A large portion of the historical habitat upstream from Chief Joseph and Grand Coulee dams is no longer accessible under current management.</a:t>
          </a:r>
        </a:p>
        <a:p>
          <a:pPr marL="171450" indent="-171450">
            <a:spcAft>
              <a:spcPts val="300"/>
            </a:spcAft>
            <a:buFont typeface="Arial" panose="020B0604020202020204" pitchFamily="34" charset="0"/>
            <a:buChar char="•"/>
          </a:pPr>
          <a:r>
            <a:rPr lang="en-US" sz="1600" i="0" baseline="0"/>
            <a:t>This stock ranges widely in the ocean along the Pacific Coast where it is not subject to fisheries.</a:t>
          </a:r>
        </a:p>
        <a:p>
          <a:pPr marL="171450" indent="-171450">
            <a:spcAft>
              <a:spcPts val="300"/>
            </a:spcAft>
            <a:buFont typeface="Arial" panose="020B0604020202020204" pitchFamily="34" charset="0"/>
            <a:buChar char="•"/>
          </a:pPr>
          <a:r>
            <a:rPr lang="en-US" sz="1600" i="0" baseline="0"/>
            <a:t>Hatchery production is significant.</a:t>
          </a:r>
        </a:p>
      </xdr:txBody>
    </xdr:sp>
    <xdr:clientData/>
  </xdr:twoCellAnchor>
  <xdr:twoCellAnchor editAs="oneCell">
    <xdr:from>
      <xdr:col>7</xdr:col>
      <xdr:colOff>23813</xdr:colOff>
      <xdr:row>1</xdr:row>
      <xdr:rowOff>20139</xdr:rowOff>
    </xdr:from>
    <xdr:to>
      <xdr:col>16</xdr:col>
      <xdr:colOff>58577</xdr:colOff>
      <xdr:row>35</xdr:row>
      <xdr:rowOff>172031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3344" y="282077"/>
          <a:ext cx="5377337" cy="6117399"/>
        </a:xfrm>
        <a:prstGeom prst="rect">
          <a:avLst/>
        </a:prstGeom>
      </xdr:spPr>
    </xdr:pic>
    <xdr:clientData/>
  </xdr:twoCellAnchor>
  <xdr:twoCellAnchor>
    <xdr:from>
      <xdr:col>0</xdr:col>
      <xdr:colOff>113110</xdr:colOff>
      <xdr:row>36</xdr:row>
      <xdr:rowOff>23811</xdr:rowOff>
    </xdr:from>
    <xdr:to>
      <xdr:col>17</xdr:col>
      <xdr:colOff>2381</xdr:colOff>
      <xdr:row>52</xdr:row>
      <xdr:rowOff>94900</xdr:rowOff>
    </xdr:to>
    <xdr:graphicFrame macro="">
      <xdr:nvGraphicFramePr>
        <xdr:cNvPr id="8" name="Chart 7">
          <a:extLst>
            <a:ext uri="{FF2B5EF4-FFF2-40B4-BE49-F238E27FC236}">
              <a16:creationId xmlns:a16="http://schemas.microsoft.com/office/drawing/2014/main" id="{612644B2-E9E3-402D-B04B-473B9DE0D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49</xdr:col>
      <xdr:colOff>121558</xdr:colOff>
      <xdr:row>22</xdr:row>
      <xdr:rowOff>68942</xdr:rowOff>
    </xdr:from>
    <xdr:to>
      <xdr:col>53</xdr:col>
      <xdr:colOff>365398</xdr:colOff>
      <xdr:row>32</xdr:row>
      <xdr:rowOff>95429</xdr:rowOff>
    </xdr:to>
    <xdr:pic>
      <xdr:nvPicPr>
        <xdr:cNvPr id="11" name="Picture 10">
          <a:extLst>
            <a:ext uri="{FF2B5EF4-FFF2-40B4-BE49-F238E27FC236}">
              <a16:creationId xmlns:a16="http://schemas.microsoft.com/office/drawing/2014/main" id="{C06F0986-1DBE-488A-B3A4-58A7C5AD1C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337815" y="12130313"/>
          <a:ext cx="2674620" cy="1868351"/>
        </a:xfrm>
        <a:prstGeom prst="rect">
          <a:avLst/>
        </a:prstGeom>
        <a:solidFill>
          <a:schemeClr val="bg1"/>
        </a:solidFill>
      </xdr:spPr>
    </xdr:pic>
    <xdr:clientData/>
  </xdr:twoCellAnchor>
  <xdr:twoCellAnchor>
    <xdr:from>
      <xdr:col>9</xdr:col>
      <xdr:colOff>170022</xdr:colOff>
      <xdr:row>52</xdr:row>
      <xdr:rowOff>70484</xdr:rowOff>
    </xdr:from>
    <xdr:to>
      <xdr:col>16</xdr:col>
      <xdr:colOff>8445</xdr:colOff>
      <xdr:row>68</xdr:row>
      <xdr:rowOff>161925</xdr:rowOff>
    </xdr:to>
    <xdr:graphicFrame macro="">
      <xdr:nvGraphicFramePr>
        <xdr:cNvPr id="4" name="Chart 3">
          <a:extLst>
            <a:ext uri="{FF2B5EF4-FFF2-40B4-BE49-F238E27FC236}">
              <a16:creationId xmlns:a16="http://schemas.microsoft.com/office/drawing/2014/main" id="{109271AD-E44C-4F3B-917D-C36FBCA64C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56727</xdr:colOff>
      <xdr:row>17</xdr:row>
      <xdr:rowOff>137159</xdr:rowOff>
    </xdr:from>
    <xdr:to>
      <xdr:col>6</xdr:col>
      <xdr:colOff>550334</xdr:colOff>
      <xdr:row>35</xdr:row>
      <xdr:rowOff>91440</xdr:rowOff>
    </xdr:to>
    <xdr:graphicFrame macro="">
      <xdr:nvGraphicFramePr>
        <xdr:cNvPr id="9" name="Chart 8">
          <a:extLst>
            <a:ext uri="{FF2B5EF4-FFF2-40B4-BE49-F238E27FC236}">
              <a16:creationId xmlns:a16="http://schemas.microsoft.com/office/drawing/2014/main" id="{B48B2DB5-47FC-4957-92A3-D90D0CDE67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172598</xdr:colOff>
      <xdr:row>52</xdr:row>
      <xdr:rowOff>63342</xdr:rowOff>
    </xdr:from>
    <xdr:to>
      <xdr:col>8</xdr:col>
      <xdr:colOff>416717</xdr:colOff>
      <xdr:row>68</xdr:row>
      <xdr:rowOff>136955</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240030</xdr:colOff>
      <xdr:row>4</xdr:row>
      <xdr:rowOff>66675</xdr:rowOff>
    </xdr:from>
    <xdr:to>
      <xdr:col>29</xdr:col>
      <xdr:colOff>215265</xdr:colOff>
      <xdr:row>19</xdr:row>
      <xdr:rowOff>66675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333375</xdr:colOff>
      <xdr:row>18</xdr:row>
      <xdr:rowOff>171450</xdr:rowOff>
    </xdr:from>
    <xdr:to>
      <xdr:col>25</xdr:col>
      <xdr:colOff>267713</xdr:colOff>
      <xdr:row>53</xdr:row>
      <xdr:rowOff>168754</xdr:rowOff>
    </xdr:to>
    <xdr:pic>
      <xdr:nvPicPr>
        <xdr:cNvPr id="4" name="Picture 3">
          <a:extLst>
            <a:ext uri="{FF2B5EF4-FFF2-40B4-BE49-F238E27FC236}">
              <a16:creationId xmlns:a16="http://schemas.microsoft.com/office/drawing/2014/main" id="{3DF19556-47A3-4EE2-94A7-7AAF8193FB70}"/>
            </a:ext>
          </a:extLst>
        </xdr:cNvPr>
        <xdr:cNvPicPr>
          <a:picLocks noChangeAspect="1"/>
        </xdr:cNvPicPr>
      </xdr:nvPicPr>
      <xdr:blipFill>
        <a:blip xmlns:r="http://schemas.openxmlformats.org/officeDocument/2006/relationships" r:embed="rId2"/>
        <a:stretch>
          <a:fillRect/>
        </a:stretch>
      </xdr:blipFill>
      <xdr:spPr>
        <a:xfrm>
          <a:off x="9753600" y="3733800"/>
          <a:ext cx="7135238" cy="632761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Conor%20Giorgi/AppData/Local/Microsoft/Windows/Temporary%20Internet%20Files/Content.Outlook/Z0A513RV/FPC%20Hatchery%20rel%20MCR%20sth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y Beamesderfer" refreshedDate="43117.662654745371" createdVersion="5" refreshedVersion="5" minRefreshableVersion="3" recordCount="154" xr:uid="{00000000-000A-0000-FFFF-FFFF05000000}">
  <cacheSource type="worksheet">
    <worksheetSource ref="A1:I155" sheet="FPC Hatchery rel MCR sthd" r:id="rId2"/>
  </cacheSource>
  <cacheFields count="9">
    <cacheField name="MigrationYear" numFmtId="0">
      <sharedItems containsSemiMixedTypes="0" containsString="0" containsNumber="1" containsInteger="1" minValue="2008" maxValue="2017" count="10">
        <n v="2017"/>
        <n v="2016"/>
        <n v="2015"/>
        <n v="2014"/>
        <n v="2013"/>
        <n v="2012"/>
        <n v="2011"/>
        <n v="2010"/>
        <n v="2009"/>
        <n v="2008"/>
      </sharedItems>
    </cacheField>
    <cacheField name="Species" numFmtId="0">
      <sharedItems/>
    </cacheField>
    <cacheField name="RaceCode" numFmtId="0">
      <sharedItems/>
    </cacheField>
    <cacheField name="Hatchery" numFmtId="0">
      <sharedItems count="8">
        <s v="Winthrop NFH"/>
        <s v="Eastbank Hatchery"/>
        <s v="Chiwawa Hatchery"/>
        <s v="Methow Hatchery"/>
        <s v="Wells Hatchery"/>
        <s v="Chelan Hatchery"/>
        <s v="Turtle Rock Hatchery"/>
        <s v="Cassimer Bar Hatchery"/>
      </sharedItems>
    </cacheField>
    <cacheField name="ReleaseSite" numFmtId="0">
      <sharedItems count="19">
        <s v="Twisp River"/>
        <s v="Blackbird Island Acc Pond"/>
        <s v="Chiwawa Hatchery"/>
        <s v="Methow Hatchery"/>
        <s v="Twisp Acclim Pond"/>
        <s v="Wells Hatchery"/>
        <s v="Okanogan River"/>
        <s v="Omak Creek"/>
        <s v="Nason Creek"/>
        <s v="Wenatchee River"/>
        <s v="Salmon Creek (Okanogan)"/>
        <s v="Similkameen River"/>
        <s v="Winthrop Hatchery"/>
        <s v="Aneas Creek"/>
        <s v="Similkameen Acclim Pd"/>
        <s v="Rolfings Acclim Pond"/>
        <s v="Methow River"/>
        <s v="Chiwawa River"/>
        <s v="Chewuch River"/>
      </sharedItems>
    </cacheField>
    <cacheField name="AgencyCode" numFmtId="0">
      <sharedItems/>
    </cacheField>
    <cacheField name="ReleaseStartDate" numFmtId="14">
      <sharedItems containsSemiMixedTypes="0" containsNonDate="0" containsDate="1" containsString="0" minDate="2008-04-04T00:00:00" maxDate="2017-05-25T00:00:00"/>
    </cacheField>
    <cacheField name="NumReleased" numFmtId="0">
      <sharedItems containsSemiMixedTypes="0" containsString="0" containsNumber="1" containsInteger="1" minValue="1904" maxValue="205330"/>
    </cacheField>
    <cacheField name="RelRiver" numFmtId="0">
      <sharedItems count="4">
        <s v="Methow River"/>
        <s v="Wenatchee River"/>
        <s v="Rocky Reach Pool"/>
        <s v="Okanogan Riv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4">
  <r>
    <x v="0"/>
    <s v="Summer Steelhead"/>
    <s v="SU"/>
    <x v="0"/>
    <x v="0"/>
    <s v="USFW"/>
    <d v="2017-04-21T00:00:00"/>
    <n v="11214"/>
    <x v="0"/>
  </r>
  <r>
    <x v="0"/>
    <s v="Summer Steelhead"/>
    <s v="SU"/>
    <x v="1"/>
    <x v="1"/>
    <s v="WDFW"/>
    <d v="2017-04-20T00:00:00"/>
    <n v="24500"/>
    <x v="1"/>
  </r>
  <r>
    <x v="0"/>
    <s v="Summer Steelhead"/>
    <s v="SU"/>
    <x v="2"/>
    <x v="2"/>
    <s v="WDFW"/>
    <d v="2017-04-24T00:00:00"/>
    <n v="24992"/>
    <x v="1"/>
  </r>
  <r>
    <x v="0"/>
    <s v="Summer Steelhead"/>
    <s v="SU"/>
    <x v="2"/>
    <x v="2"/>
    <s v="WDFW"/>
    <d v="2017-05-24T00:00:00"/>
    <n v="21292"/>
    <x v="1"/>
  </r>
  <r>
    <x v="0"/>
    <s v="Summer Steelhead"/>
    <s v="SU"/>
    <x v="3"/>
    <x v="3"/>
    <s v="WDFW"/>
    <d v="2017-05-22T00:00:00"/>
    <n v="101276"/>
    <x v="0"/>
  </r>
  <r>
    <x v="0"/>
    <s v="Summer Steelhead"/>
    <s v="SU"/>
    <x v="4"/>
    <x v="4"/>
    <s v="WDFW"/>
    <d v="2017-04-18T00:00:00"/>
    <n v="48012"/>
    <x v="0"/>
  </r>
  <r>
    <x v="0"/>
    <s v="Summer Steelhead"/>
    <s v="SU"/>
    <x v="4"/>
    <x v="5"/>
    <s v="WDFW"/>
    <d v="2017-05-02T00:00:00"/>
    <n v="165550"/>
    <x v="2"/>
  </r>
  <r>
    <x v="0"/>
    <s v="Summer Steelhead"/>
    <s v="SU"/>
    <x v="4"/>
    <x v="6"/>
    <s v="WDFW"/>
    <d v="2017-04-28T00:00:00"/>
    <n v="5004"/>
    <x v="3"/>
  </r>
  <r>
    <x v="0"/>
    <s v="Summer Steelhead"/>
    <s v="SU"/>
    <x v="4"/>
    <x v="7"/>
    <s v="WDFW"/>
    <d v="2017-04-28T00:00:00"/>
    <n v="16016"/>
    <x v="3"/>
  </r>
  <r>
    <x v="0"/>
    <s v="Summer Steelhead"/>
    <s v="SU"/>
    <x v="2"/>
    <x v="8"/>
    <s v="WDFW"/>
    <d v="2017-04-26T00:00:00"/>
    <n v="34403"/>
    <x v="1"/>
  </r>
  <r>
    <x v="0"/>
    <s v="Summer Steelhead"/>
    <s v="SU"/>
    <x v="2"/>
    <x v="8"/>
    <s v="WDFW"/>
    <d v="2017-04-26T00:00:00"/>
    <n v="12185"/>
    <x v="1"/>
  </r>
  <r>
    <x v="0"/>
    <s v="Summer Steelhead"/>
    <s v="SU"/>
    <x v="2"/>
    <x v="9"/>
    <s v="WDFW"/>
    <d v="2017-04-28T00:00:00"/>
    <n v="68976"/>
    <x v="1"/>
  </r>
  <r>
    <x v="0"/>
    <s v="Summer Steelhead"/>
    <s v="SU"/>
    <x v="2"/>
    <x v="9"/>
    <s v="WDFW"/>
    <d v="2017-04-28T00:00:00"/>
    <n v="83100"/>
    <x v="1"/>
  </r>
  <r>
    <x v="0"/>
    <s v="Summer Steelhead"/>
    <s v="SU"/>
    <x v="4"/>
    <x v="10"/>
    <s v="WDFW"/>
    <d v="2017-04-28T00:00:00"/>
    <n v="39998"/>
    <x v="3"/>
  </r>
  <r>
    <x v="0"/>
    <s v="Summer Steelhead"/>
    <s v="SU"/>
    <x v="4"/>
    <x v="11"/>
    <s v="WDFW"/>
    <d v="2017-05-01T00:00:00"/>
    <n v="29267"/>
    <x v="3"/>
  </r>
  <r>
    <x v="0"/>
    <s v="Summer Steelhead"/>
    <s v="SU"/>
    <x v="0"/>
    <x v="12"/>
    <s v="USFW"/>
    <d v="2017-04-27T00:00:00"/>
    <n v="200407"/>
    <x v="0"/>
  </r>
  <r>
    <x v="1"/>
    <s v="Summer Steelhead"/>
    <s v="SU"/>
    <x v="0"/>
    <x v="12"/>
    <s v="USFW"/>
    <d v="2016-04-16T00:00:00"/>
    <n v="128585"/>
    <x v="0"/>
  </r>
  <r>
    <x v="1"/>
    <s v="Summer Steelhead"/>
    <s v="SU"/>
    <x v="4"/>
    <x v="7"/>
    <s v="WDFW"/>
    <d v="2016-04-18T00:00:00"/>
    <n v="32763"/>
    <x v="3"/>
  </r>
  <r>
    <x v="1"/>
    <s v="Summer Steelhead"/>
    <s v="SU"/>
    <x v="4"/>
    <x v="10"/>
    <s v="WDFW"/>
    <d v="2016-04-19T00:00:00"/>
    <n v="42087"/>
    <x v="3"/>
  </r>
  <r>
    <x v="1"/>
    <s v="Summer Steelhead"/>
    <s v="SU"/>
    <x v="4"/>
    <x v="13"/>
    <s v="WDFW"/>
    <d v="2016-05-05T00:00:00"/>
    <n v="2800"/>
    <x v="3"/>
  </r>
  <r>
    <x v="1"/>
    <s v="Summer Steelhead"/>
    <s v="SU"/>
    <x v="4"/>
    <x v="14"/>
    <s v="WDFW"/>
    <d v="2016-05-04T00:00:00"/>
    <n v="20800"/>
    <x v="3"/>
  </r>
  <r>
    <x v="1"/>
    <s v="Summer Steelhead"/>
    <s v="SU"/>
    <x v="1"/>
    <x v="1"/>
    <s v="WDFW"/>
    <d v="2016-04-20T00:00:00"/>
    <n v="24000"/>
    <x v="1"/>
  </r>
  <r>
    <x v="1"/>
    <s v="Summer Steelhead"/>
    <s v="SU"/>
    <x v="2"/>
    <x v="2"/>
    <s v="WDFW"/>
    <d v="2016-05-02T00:00:00"/>
    <n v="37774"/>
    <x v="1"/>
  </r>
  <r>
    <x v="1"/>
    <s v="Summer Steelhead"/>
    <s v="SU"/>
    <x v="4"/>
    <x v="5"/>
    <s v="WDFW"/>
    <d v="2016-04-21T00:00:00"/>
    <n v="174443"/>
    <x v="2"/>
  </r>
  <r>
    <x v="1"/>
    <s v="Summer Steelhead"/>
    <s v="SU"/>
    <x v="3"/>
    <x v="3"/>
    <s v="WDFW"/>
    <d v="2016-04-29T00:00:00"/>
    <n v="99909"/>
    <x v="0"/>
  </r>
  <r>
    <x v="1"/>
    <s v="Summer Steelhead"/>
    <s v="SU"/>
    <x v="3"/>
    <x v="4"/>
    <s v="WDFW"/>
    <d v="2016-04-15T00:00:00"/>
    <n v="57916"/>
    <x v="0"/>
  </r>
  <r>
    <x v="1"/>
    <s v="Summer Steelhead"/>
    <s v="SU"/>
    <x v="2"/>
    <x v="9"/>
    <s v="WDFW"/>
    <d v="2016-04-22T00:00:00"/>
    <n v="41080"/>
    <x v="1"/>
  </r>
  <r>
    <x v="1"/>
    <s v="Summer Steelhead"/>
    <s v="SU"/>
    <x v="2"/>
    <x v="8"/>
    <s v="WDFW"/>
    <d v="2016-04-25T00:00:00"/>
    <n v="55105"/>
    <x v="1"/>
  </r>
  <r>
    <x v="1"/>
    <s v="Summer Steelhead"/>
    <s v="SU"/>
    <x v="2"/>
    <x v="9"/>
    <s v="WDFW"/>
    <d v="2016-05-06T00:00:00"/>
    <n v="39999"/>
    <x v="1"/>
  </r>
  <r>
    <x v="2"/>
    <s v="Summer Steelhead"/>
    <s v="SU"/>
    <x v="0"/>
    <x v="12"/>
    <s v="USFW"/>
    <d v="2015-04-15T00:00:00"/>
    <n v="19405"/>
    <x v="0"/>
  </r>
  <r>
    <x v="2"/>
    <s v="Summer Steelhead"/>
    <s v="SU"/>
    <x v="0"/>
    <x v="12"/>
    <s v="USFW"/>
    <d v="2015-04-15T00:00:00"/>
    <n v="76078"/>
    <x v="0"/>
  </r>
  <r>
    <x v="2"/>
    <s v="Summer Steelhead"/>
    <s v="SU"/>
    <x v="2"/>
    <x v="2"/>
    <s v="WDFW"/>
    <d v="2015-04-29T00:00:00"/>
    <n v="35042"/>
    <x v="1"/>
  </r>
  <r>
    <x v="2"/>
    <s v="Summer Steelhead"/>
    <s v="SU"/>
    <x v="3"/>
    <x v="3"/>
    <s v="WDFW"/>
    <d v="2015-05-13T00:00:00"/>
    <n v="100335"/>
    <x v="0"/>
  </r>
  <r>
    <x v="2"/>
    <s v="Summer Steelhead"/>
    <s v="SU"/>
    <x v="3"/>
    <x v="4"/>
    <s v="WDFW"/>
    <d v="2015-04-15T00:00:00"/>
    <n v="51983"/>
    <x v="0"/>
  </r>
  <r>
    <x v="2"/>
    <s v="Summer Steelhead"/>
    <s v="SU"/>
    <x v="4"/>
    <x v="5"/>
    <s v="WDFW"/>
    <d v="2015-04-24T00:00:00"/>
    <n v="129463"/>
    <x v="2"/>
  </r>
  <r>
    <x v="2"/>
    <s v="Summer Steelhead"/>
    <s v="SU"/>
    <x v="4"/>
    <x v="7"/>
    <s v="WDFW"/>
    <d v="2015-04-12T00:00:00"/>
    <n v="21084"/>
    <x v="3"/>
  </r>
  <r>
    <x v="2"/>
    <s v="Summer Steelhead"/>
    <s v="SU"/>
    <x v="4"/>
    <x v="7"/>
    <s v="WDFW"/>
    <d v="2015-04-15T00:00:00"/>
    <n v="19984"/>
    <x v="3"/>
  </r>
  <r>
    <x v="2"/>
    <s v="Summer Steelhead"/>
    <s v="SU"/>
    <x v="4"/>
    <x v="10"/>
    <s v="WDFW"/>
    <d v="2015-04-15T00:00:00"/>
    <n v="40000"/>
    <x v="3"/>
  </r>
  <r>
    <x v="2"/>
    <s v="Summer Steelhead"/>
    <s v="SU"/>
    <x v="4"/>
    <x v="13"/>
    <s v="WDFW"/>
    <d v="2015-04-15T00:00:00"/>
    <n v="2000"/>
    <x v="3"/>
  </r>
  <r>
    <x v="2"/>
    <s v="Summer Steelhead"/>
    <s v="SU"/>
    <x v="4"/>
    <x v="14"/>
    <s v="WDFW"/>
    <d v="2015-04-15T00:00:00"/>
    <n v="30000"/>
    <x v="3"/>
  </r>
  <r>
    <x v="2"/>
    <s v="Summer Steelhead"/>
    <s v="SU"/>
    <x v="1"/>
    <x v="1"/>
    <s v="WDFW"/>
    <d v="2015-04-21T00:00:00"/>
    <n v="28122"/>
    <x v="1"/>
  </r>
  <r>
    <x v="2"/>
    <s v="Summer Steelhead"/>
    <s v="SU"/>
    <x v="2"/>
    <x v="8"/>
    <s v="WDFW"/>
    <d v="2015-04-27T00:00:00"/>
    <n v="85334"/>
    <x v="1"/>
  </r>
  <r>
    <x v="2"/>
    <s v="Summer Steelhead"/>
    <s v="SU"/>
    <x v="2"/>
    <x v="9"/>
    <s v="WDFW"/>
    <d v="2015-04-23T00:00:00"/>
    <n v="116260"/>
    <x v="1"/>
  </r>
  <r>
    <x v="3"/>
    <s v="Summer Steelhead"/>
    <s v="SU"/>
    <x v="0"/>
    <x v="12"/>
    <s v="USFW"/>
    <d v="2014-04-15T00:00:00"/>
    <n v="49799"/>
    <x v="0"/>
  </r>
  <r>
    <x v="3"/>
    <s v="Summer Steelhead"/>
    <s v="SU"/>
    <x v="0"/>
    <x v="12"/>
    <s v="USFW"/>
    <d v="2014-04-15T00:00:00"/>
    <n v="90599"/>
    <x v="0"/>
  </r>
  <r>
    <x v="3"/>
    <s v="Summer Steelhead"/>
    <s v="SU"/>
    <x v="1"/>
    <x v="1"/>
    <s v="WDFW"/>
    <d v="2014-04-22T00:00:00"/>
    <n v="25316"/>
    <x v="1"/>
  </r>
  <r>
    <x v="3"/>
    <s v="Summer Steelhead"/>
    <s v="SU"/>
    <x v="2"/>
    <x v="2"/>
    <s v="WDFW"/>
    <d v="2014-04-28T00:00:00"/>
    <n v="23400"/>
    <x v="1"/>
  </r>
  <r>
    <x v="3"/>
    <s v="Summer Steelhead"/>
    <s v="SU"/>
    <x v="4"/>
    <x v="13"/>
    <s v="WDFW"/>
    <d v="2014-04-24T00:00:00"/>
    <n v="2000"/>
    <x v="3"/>
  </r>
  <r>
    <x v="3"/>
    <s v="Summer Steelhead"/>
    <s v="SU"/>
    <x v="4"/>
    <x v="5"/>
    <s v="WDFW"/>
    <d v="2014-05-05T00:00:00"/>
    <n v="179885"/>
    <x v="2"/>
  </r>
  <r>
    <x v="3"/>
    <s v="Summer Steelhead"/>
    <s v="SU"/>
    <x v="4"/>
    <x v="10"/>
    <s v="WDFW"/>
    <d v="2014-04-23T00:00:00"/>
    <n v="41273"/>
    <x v="3"/>
  </r>
  <r>
    <x v="3"/>
    <s v="Summer Steelhead"/>
    <s v="SU"/>
    <x v="3"/>
    <x v="3"/>
    <s v="WDFW"/>
    <d v="2014-04-30T00:00:00"/>
    <n v="106716"/>
    <x v="0"/>
  </r>
  <r>
    <x v="3"/>
    <s v="Summer Steelhead"/>
    <s v="SU"/>
    <x v="3"/>
    <x v="4"/>
    <s v="WDFW"/>
    <d v="2014-04-22T00:00:00"/>
    <n v="50787"/>
    <x v="0"/>
  </r>
  <r>
    <x v="3"/>
    <s v="Summer Steelhead"/>
    <s v="SU"/>
    <x v="2"/>
    <x v="8"/>
    <s v="WDFW"/>
    <d v="2014-04-23T00:00:00"/>
    <n v="89329"/>
    <x v="1"/>
  </r>
  <r>
    <x v="3"/>
    <s v="Summer Steelhead"/>
    <s v="SU"/>
    <x v="2"/>
    <x v="9"/>
    <s v="WDFW"/>
    <d v="2014-04-30T00:00:00"/>
    <n v="91791"/>
    <x v="1"/>
  </r>
  <r>
    <x v="3"/>
    <s v="Summer Steelhead"/>
    <s v="SU"/>
    <x v="4"/>
    <x v="14"/>
    <s v="WDFW"/>
    <d v="2014-05-08T00:00:00"/>
    <n v="29730"/>
    <x v="3"/>
  </r>
  <r>
    <x v="4"/>
    <s v="Summer Steelhead"/>
    <s v="SU"/>
    <x v="0"/>
    <x v="12"/>
    <s v="USFW"/>
    <d v="2013-04-15T00:00:00"/>
    <n v="55372"/>
    <x v="0"/>
  </r>
  <r>
    <x v="4"/>
    <s v="Summer Steelhead"/>
    <s v="SU"/>
    <x v="0"/>
    <x v="12"/>
    <s v="USFW"/>
    <d v="2013-04-15T00:00:00"/>
    <n v="59164"/>
    <x v="0"/>
  </r>
  <r>
    <x v="4"/>
    <s v="Summer Steelhead"/>
    <s v="SU"/>
    <x v="1"/>
    <x v="1"/>
    <s v="WDFW"/>
    <d v="2013-04-01T00:00:00"/>
    <n v="24965"/>
    <x v="1"/>
  </r>
  <r>
    <x v="4"/>
    <s v="Summer Steelhead"/>
    <s v="SU"/>
    <x v="2"/>
    <x v="2"/>
    <s v="WDFW"/>
    <d v="2013-04-24T00:00:00"/>
    <n v="47263"/>
    <x v="1"/>
  </r>
  <r>
    <x v="4"/>
    <s v="Summer Steelhead"/>
    <s v="SU"/>
    <x v="4"/>
    <x v="10"/>
    <s v="WDFW"/>
    <d v="2013-04-29T00:00:00"/>
    <n v="40032"/>
    <x v="3"/>
  </r>
  <r>
    <x v="4"/>
    <s v="Summer Steelhead"/>
    <s v="SU"/>
    <x v="4"/>
    <x v="5"/>
    <s v="WDFW"/>
    <d v="2013-05-21T00:00:00"/>
    <n v="55541"/>
    <x v="2"/>
  </r>
  <r>
    <x v="4"/>
    <s v="Summer Steelhead"/>
    <s v="SU"/>
    <x v="4"/>
    <x v="13"/>
    <s v="WDFW"/>
    <d v="2013-05-15T00:00:00"/>
    <n v="2010"/>
    <x v="3"/>
  </r>
  <r>
    <x v="4"/>
    <s v="Summer Steelhead"/>
    <s v="SU"/>
    <x v="3"/>
    <x v="3"/>
    <s v="WDFW"/>
    <d v="2013-05-07T00:00:00"/>
    <n v="99933"/>
    <x v="0"/>
  </r>
  <r>
    <x v="4"/>
    <s v="Summer Steelhead"/>
    <s v="SU"/>
    <x v="3"/>
    <x v="4"/>
    <s v="WDFW"/>
    <d v="2013-04-18T00:00:00"/>
    <n v="51473"/>
    <x v="0"/>
  </r>
  <r>
    <x v="4"/>
    <s v="Summer Steelhead"/>
    <s v="SU"/>
    <x v="4"/>
    <x v="7"/>
    <s v="WDFW"/>
    <d v="2013-04-13T00:00:00"/>
    <n v="9070"/>
    <x v="3"/>
  </r>
  <r>
    <x v="4"/>
    <s v="Summer Steelhead"/>
    <s v="SU"/>
    <x v="2"/>
    <x v="8"/>
    <s v="WDFW"/>
    <d v="2013-04-24T00:00:00"/>
    <n v="72028"/>
    <x v="1"/>
  </r>
  <r>
    <x v="4"/>
    <s v="Summer Steelhead"/>
    <s v="SU"/>
    <x v="2"/>
    <x v="9"/>
    <s v="WDFW"/>
    <d v="2013-04-24T00:00:00"/>
    <n v="104189"/>
    <x v="1"/>
  </r>
  <r>
    <x v="4"/>
    <s v="Summer Steelhead"/>
    <s v="SU"/>
    <x v="4"/>
    <x v="14"/>
    <s v="WDFW"/>
    <d v="2013-05-20T00:00:00"/>
    <n v="26350"/>
    <x v="3"/>
  </r>
  <r>
    <x v="5"/>
    <s v="Summer Steelhead"/>
    <s v="SU"/>
    <x v="0"/>
    <x v="12"/>
    <s v="USFW"/>
    <d v="2012-04-19T00:00:00"/>
    <n v="57858"/>
    <x v="0"/>
  </r>
  <r>
    <x v="5"/>
    <s v="Summer Steelhead"/>
    <s v="SU"/>
    <x v="0"/>
    <x v="12"/>
    <s v="USFW"/>
    <d v="2012-04-19T00:00:00"/>
    <n v="59352"/>
    <x v="0"/>
  </r>
  <r>
    <x v="5"/>
    <s v="Summer Steelhead"/>
    <s v="SU"/>
    <x v="5"/>
    <x v="15"/>
    <s v="WDFW"/>
    <d v="2012-05-15T00:00:00"/>
    <n v="17254"/>
    <x v="1"/>
  </r>
  <r>
    <x v="5"/>
    <s v="Summer Steelhead"/>
    <s v="SU"/>
    <x v="1"/>
    <x v="1"/>
    <s v="WDFW"/>
    <d v="2012-04-30T00:00:00"/>
    <n v="24992"/>
    <x v="1"/>
  </r>
  <r>
    <x v="5"/>
    <s v="Summer Steelhead"/>
    <s v="SU"/>
    <x v="2"/>
    <x v="9"/>
    <s v="WDFW"/>
    <d v="2012-05-04T00:00:00"/>
    <n v="96454"/>
    <x v="1"/>
  </r>
  <r>
    <x v="5"/>
    <s v="Summer Steelhead"/>
    <s v="SU"/>
    <x v="4"/>
    <x v="16"/>
    <s v="WDFW"/>
    <d v="2012-04-18T00:00:00"/>
    <n v="205330"/>
    <x v="0"/>
  </r>
  <r>
    <x v="5"/>
    <s v="Summer Steelhead"/>
    <s v="SU"/>
    <x v="4"/>
    <x v="10"/>
    <s v="WDFW"/>
    <d v="2012-04-30T00:00:00"/>
    <n v="50000"/>
    <x v="3"/>
  </r>
  <r>
    <x v="5"/>
    <s v="Summer Steelhead"/>
    <s v="SU"/>
    <x v="4"/>
    <x v="5"/>
    <s v="WDFW"/>
    <d v="2012-05-21T00:00:00"/>
    <n v="31860"/>
    <x v="2"/>
  </r>
  <r>
    <x v="5"/>
    <s v="Summer Steelhead"/>
    <s v="SU"/>
    <x v="4"/>
    <x v="7"/>
    <s v="WDFW"/>
    <d v="2012-04-17T00:00:00"/>
    <n v="21385"/>
    <x v="3"/>
  </r>
  <r>
    <x v="5"/>
    <s v="Summer Steelhead"/>
    <s v="SU"/>
    <x v="3"/>
    <x v="4"/>
    <s v="WDFW"/>
    <d v="2012-04-23T00:00:00"/>
    <n v="41170"/>
    <x v="0"/>
  </r>
  <r>
    <x v="5"/>
    <s v="Summer Steelhead"/>
    <s v="SU"/>
    <x v="4"/>
    <x v="7"/>
    <s v="WDFW"/>
    <d v="2012-03-31T00:00:00"/>
    <n v="20879"/>
    <x v="3"/>
  </r>
  <r>
    <x v="5"/>
    <s v="Summer Steelhead"/>
    <s v="SU"/>
    <x v="4"/>
    <x v="7"/>
    <s v="WDFW"/>
    <d v="2012-04-18T00:00:00"/>
    <n v="19563"/>
    <x v="3"/>
  </r>
  <r>
    <x v="5"/>
    <s v="Summer Steelhead"/>
    <s v="SU"/>
    <x v="2"/>
    <x v="8"/>
    <s v="WDFW"/>
    <d v="2012-05-02T00:00:00"/>
    <n v="36225"/>
    <x v="1"/>
  </r>
  <r>
    <x v="5"/>
    <s v="Summer Steelhead"/>
    <s v="SU"/>
    <x v="2"/>
    <x v="2"/>
    <s v="WDFW"/>
    <d v="2012-05-04T00:00:00"/>
    <n v="31050"/>
    <x v="1"/>
  </r>
  <r>
    <x v="5"/>
    <s v="Summer Steelhead"/>
    <s v="SU"/>
    <x v="4"/>
    <x v="14"/>
    <s v="WDFW"/>
    <d v="2012-05-21T00:00:00"/>
    <n v="10080"/>
    <x v="3"/>
  </r>
  <r>
    <x v="6"/>
    <s v="Summer Steelhead"/>
    <s v="SU"/>
    <x v="2"/>
    <x v="2"/>
    <s v="WDFW"/>
    <d v="2011-04-16T00:00:00"/>
    <n v="24838"/>
    <x v="1"/>
  </r>
  <r>
    <x v="6"/>
    <s v="Summer Steelhead"/>
    <s v="SU"/>
    <x v="4"/>
    <x v="16"/>
    <s v="WDFW"/>
    <d v="2011-04-21T00:00:00"/>
    <n v="154370"/>
    <x v="0"/>
  </r>
  <r>
    <x v="6"/>
    <s v="Summer Steelhead"/>
    <s v="SU"/>
    <x v="4"/>
    <x v="6"/>
    <s v="WDFW"/>
    <d v="2011-05-19T00:00:00"/>
    <n v="3960"/>
    <x v="3"/>
  </r>
  <r>
    <x v="6"/>
    <s v="Summer Steelhead"/>
    <s v="SU"/>
    <x v="0"/>
    <x v="12"/>
    <s v="USFW"/>
    <d v="2011-04-19T00:00:00"/>
    <n v="63936"/>
    <x v="0"/>
  </r>
  <r>
    <x v="6"/>
    <s v="Summer Steelhead"/>
    <s v="SU"/>
    <x v="0"/>
    <x v="12"/>
    <s v="USFW"/>
    <d v="2011-04-19T00:00:00"/>
    <n v="43205"/>
    <x v="0"/>
  </r>
  <r>
    <x v="6"/>
    <s v="Summer Steelhead"/>
    <s v="SU"/>
    <x v="1"/>
    <x v="9"/>
    <s v="WDFW"/>
    <d v="2011-05-22T00:00:00"/>
    <n v="50300"/>
    <x v="1"/>
  </r>
  <r>
    <x v="6"/>
    <s v="Summer Steelhead"/>
    <s v="SU"/>
    <x v="6"/>
    <x v="9"/>
    <s v="WDFW"/>
    <d v="2011-05-02T00:00:00"/>
    <n v="92113"/>
    <x v="1"/>
  </r>
  <r>
    <x v="6"/>
    <s v="Summer Steelhead"/>
    <s v="SU"/>
    <x v="6"/>
    <x v="17"/>
    <s v="WDFW"/>
    <d v="2011-05-04T00:00:00"/>
    <n v="81174"/>
    <x v="1"/>
  </r>
  <r>
    <x v="6"/>
    <s v="Summer Steelhead"/>
    <s v="SU"/>
    <x v="5"/>
    <x v="15"/>
    <s v="WDFW"/>
    <d v="2011-05-02T00:00:00"/>
    <n v="20706"/>
    <x v="1"/>
  </r>
  <r>
    <x v="6"/>
    <s v="Summer Steelhead"/>
    <s v="SU"/>
    <x v="6"/>
    <x v="8"/>
    <s v="WDFW"/>
    <d v="2011-05-03T00:00:00"/>
    <n v="91189"/>
    <x v="1"/>
  </r>
  <r>
    <x v="6"/>
    <s v="Summer Steelhead"/>
    <s v="SU"/>
    <x v="4"/>
    <x v="4"/>
    <s v="WDFW"/>
    <d v="2011-03-30T00:00:00"/>
    <n v="30150"/>
    <x v="0"/>
  </r>
  <r>
    <x v="6"/>
    <s v="Summer Steelhead"/>
    <s v="SU"/>
    <x v="7"/>
    <x v="7"/>
    <s v="COLV"/>
    <d v="2011-04-19T00:00:00"/>
    <n v="12270"/>
    <x v="3"/>
  </r>
  <r>
    <x v="6"/>
    <s v="Summer Steelhead"/>
    <s v="SU"/>
    <x v="7"/>
    <x v="7"/>
    <s v="COLV"/>
    <d v="2011-04-24T00:00:00"/>
    <n v="20076"/>
    <x v="3"/>
  </r>
  <r>
    <x v="6"/>
    <s v="Summer Steelhead"/>
    <s v="SU"/>
    <x v="4"/>
    <x v="18"/>
    <s v="WDFW"/>
    <d v="2011-04-26T00:00:00"/>
    <n v="83861"/>
    <x v="0"/>
  </r>
  <r>
    <x v="6"/>
    <s v="Summer Steelhead"/>
    <s v="SU"/>
    <x v="4"/>
    <x v="10"/>
    <s v="WDFW"/>
    <d v="2011-04-25T00:00:00"/>
    <n v="50000"/>
    <x v="3"/>
  </r>
  <r>
    <x v="6"/>
    <s v="Summer Steelhead"/>
    <s v="SU"/>
    <x v="4"/>
    <x v="14"/>
    <s v="WDFW"/>
    <d v="2011-05-09T00:00:00"/>
    <n v="73623"/>
    <x v="3"/>
  </r>
  <r>
    <x v="6"/>
    <s v="Summer Steelhead"/>
    <s v="SU"/>
    <x v="4"/>
    <x v="0"/>
    <s v="WDFW"/>
    <d v="2011-04-27T00:00:00"/>
    <n v="62190"/>
    <x v="0"/>
  </r>
  <r>
    <x v="7"/>
    <s v="Summer Steelhead"/>
    <s v="SU"/>
    <x v="0"/>
    <x v="12"/>
    <s v="USFW"/>
    <d v="2010-04-19T00:00:00"/>
    <n v="71208"/>
    <x v="0"/>
  </r>
  <r>
    <x v="7"/>
    <s v="Summer Steelhead"/>
    <s v="SU"/>
    <x v="0"/>
    <x v="12"/>
    <s v="USFW"/>
    <d v="2010-04-19T00:00:00"/>
    <n v="29170"/>
    <x v="0"/>
  </r>
  <r>
    <x v="7"/>
    <s v="Summer Steelhead"/>
    <s v="SU"/>
    <x v="6"/>
    <x v="9"/>
    <s v="WDFW"/>
    <d v="2010-05-05T00:00:00"/>
    <n v="73047"/>
    <x v="1"/>
  </r>
  <r>
    <x v="7"/>
    <s v="Summer Steelhead"/>
    <s v="SU"/>
    <x v="6"/>
    <x v="17"/>
    <s v="WDFW"/>
    <d v="2010-05-04T00:00:00"/>
    <n v="87428"/>
    <x v="1"/>
  </r>
  <r>
    <x v="7"/>
    <s v="Summer Steelhead"/>
    <s v="SU"/>
    <x v="6"/>
    <x v="8"/>
    <s v="WDFW"/>
    <d v="2010-05-03T00:00:00"/>
    <n v="134665"/>
    <x v="1"/>
  </r>
  <r>
    <x v="7"/>
    <s v="Summer Steelhead"/>
    <s v="SU"/>
    <x v="6"/>
    <x v="1"/>
    <s v="WDFW"/>
    <d v="2010-05-05T00:00:00"/>
    <n v="105239"/>
    <x v="1"/>
  </r>
  <r>
    <x v="7"/>
    <s v="Summer Steelhead"/>
    <s v="SU"/>
    <x v="4"/>
    <x v="16"/>
    <s v="WDFW"/>
    <d v="2010-04-21T00:00:00"/>
    <n v="31344"/>
    <x v="0"/>
  </r>
  <r>
    <x v="7"/>
    <s v="Summer Steelhead"/>
    <s v="SU"/>
    <x v="4"/>
    <x v="6"/>
    <s v="WDFW"/>
    <d v="2010-04-23T00:00:00"/>
    <n v="61090"/>
    <x v="3"/>
  </r>
  <r>
    <x v="7"/>
    <s v="Summer Steelhead"/>
    <s v="SU"/>
    <x v="4"/>
    <x v="10"/>
    <s v="WDFW"/>
    <d v="2010-04-14T00:00:00"/>
    <n v="40000"/>
    <x v="3"/>
  </r>
  <r>
    <x v="7"/>
    <s v="Summer Steelhead"/>
    <s v="SU"/>
    <x v="4"/>
    <x v="16"/>
    <s v="WDFW"/>
    <d v="2010-04-21T00:00:00"/>
    <n v="88927"/>
    <x v="0"/>
  </r>
  <r>
    <x v="7"/>
    <s v="Summer Steelhead"/>
    <s v="SU"/>
    <x v="4"/>
    <x v="16"/>
    <s v="WDFW"/>
    <d v="2010-04-21T00:00:00"/>
    <n v="5530"/>
    <x v="0"/>
  </r>
  <r>
    <x v="7"/>
    <s v="Summer Steelhead"/>
    <s v="SU"/>
    <x v="4"/>
    <x v="18"/>
    <s v="WDFW"/>
    <d v="2010-04-22T00:00:00"/>
    <n v="64468"/>
    <x v="0"/>
  </r>
  <r>
    <x v="7"/>
    <s v="Summer Steelhead"/>
    <s v="SU"/>
    <x v="4"/>
    <x v="18"/>
    <s v="WDFW"/>
    <d v="2010-04-22T00:00:00"/>
    <n v="4244"/>
    <x v="0"/>
  </r>
  <r>
    <x v="7"/>
    <s v="Summer Steelhead"/>
    <s v="SU"/>
    <x v="4"/>
    <x v="18"/>
    <s v="WDFW"/>
    <d v="2010-04-22T00:00:00"/>
    <n v="24048"/>
    <x v="0"/>
  </r>
  <r>
    <x v="7"/>
    <s v="Summer Steelhead"/>
    <s v="SU"/>
    <x v="4"/>
    <x v="0"/>
    <s v="WDFW"/>
    <d v="2010-04-20T00:00:00"/>
    <n v="51963"/>
    <x v="0"/>
  </r>
  <r>
    <x v="7"/>
    <s v="Summer Steelhead"/>
    <s v="SU"/>
    <x v="4"/>
    <x v="0"/>
    <s v="WDFW"/>
    <d v="2010-04-20T00:00:00"/>
    <n v="3421"/>
    <x v="0"/>
  </r>
  <r>
    <x v="7"/>
    <s v="Summer Steelhead"/>
    <s v="SU"/>
    <x v="4"/>
    <x v="0"/>
    <s v="WDFW"/>
    <d v="2010-04-20T00:00:00"/>
    <n v="19382"/>
    <x v="0"/>
  </r>
  <r>
    <x v="7"/>
    <s v="Summer Steelhead"/>
    <s v="SU"/>
    <x v="6"/>
    <x v="9"/>
    <s v="WDFW"/>
    <d v="2010-05-21T00:00:00"/>
    <n v="50248"/>
    <x v="1"/>
  </r>
  <r>
    <x v="7"/>
    <s v="Summer Steelhead"/>
    <s v="SU"/>
    <x v="2"/>
    <x v="9"/>
    <s v="WDFW"/>
    <d v="2010-05-05T00:00:00"/>
    <n v="23835"/>
    <x v="1"/>
  </r>
  <r>
    <x v="7"/>
    <s v="Summer Steelhead"/>
    <s v="SU"/>
    <x v="1"/>
    <x v="15"/>
    <s v="WDFW"/>
    <d v="2010-04-22T00:00:00"/>
    <n v="10310"/>
    <x v="1"/>
  </r>
  <r>
    <x v="7"/>
    <s v="Summer Steelhead"/>
    <s v="SU"/>
    <x v="7"/>
    <x v="7"/>
    <s v="COLV"/>
    <d v="2010-04-16T00:00:00"/>
    <n v="11779"/>
    <x v="3"/>
  </r>
  <r>
    <x v="7"/>
    <s v="Summer Steelhead"/>
    <s v="SU"/>
    <x v="7"/>
    <x v="7"/>
    <s v="COLV"/>
    <d v="2010-04-23T00:00:00"/>
    <n v="11839"/>
    <x v="3"/>
  </r>
  <r>
    <x v="8"/>
    <s v="Summer Steelhead"/>
    <s v="SU"/>
    <x v="0"/>
    <x v="12"/>
    <s v="USFW"/>
    <d v="2009-04-21T00:00:00"/>
    <n v="102418"/>
    <x v="0"/>
  </r>
  <r>
    <x v="8"/>
    <s v="Summer Steelhead"/>
    <s v="SU"/>
    <x v="7"/>
    <x v="7"/>
    <s v="COLV"/>
    <d v="2009-04-15T00:00:00"/>
    <n v="13601"/>
    <x v="3"/>
  </r>
  <r>
    <x v="8"/>
    <s v="Summer Steelhead"/>
    <s v="SU"/>
    <x v="7"/>
    <x v="6"/>
    <s v="COLV"/>
    <d v="2009-04-15T00:00:00"/>
    <n v="1904"/>
    <x v="3"/>
  </r>
  <r>
    <x v="8"/>
    <s v="Summer Steelhead"/>
    <s v="SU"/>
    <x v="4"/>
    <x v="16"/>
    <s v="WDFW"/>
    <d v="2009-04-21T00:00:00"/>
    <n v="103236"/>
    <x v="0"/>
  </r>
  <r>
    <x v="8"/>
    <s v="Summer Steelhead"/>
    <s v="SU"/>
    <x v="4"/>
    <x v="6"/>
    <s v="WDFW"/>
    <d v="2009-04-21T00:00:00"/>
    <n v="120230"/>
    <x v="3"/>
  </r>
  <r>
    <x v="8"/>
    <s v="Summer Steelhead"/>
    <s v="SU"/>
    <x v="4"/>
    <x v="18"/>
    <s v="WDFW"/>
    <d v="2009-04-21T00:00:00"/>
    <n v="100373"/>
    <x v="0"/>
  </r>
  <r>
    <x v="8"/>
    <s v="Summer Steelhead"/>
    <s v="SU"/>
    <x v="4"/>
    <x v="0"/>
    <s v="WDFW"/>
    <d v="2009-04-21T00:00:00"/>
    <n v="104903"/>
    <x v="0"/>
  </r>
  <r>
    <x v="8"/>
    <s v="Summer Steelhead"/>
    <s v="SU"/>
    <x v="6"/>
    <x v="9"/>
    <s v="WDFW"/>
    <d v="2009-05-05T00:00:00"/>
    <n v="48624"/>
    <x v="1"/>
  </r>
  <r>
    <x v="8"/>
    <s v="Summer Steelhead"/>
    <s v="SU"/>
    <x v="6"/>
    <x v="9"/>
    <s v="WDFW"/>
    <d v="2009-05-06T00:00:00"/>
    <n v="50005"/>
    <x v="1"/>
  </r>
  <r>
    <x v="8"/>
    <s v="Summer Steelhead"/>
    <s v="SU"/>
    <x v="6"/>
    <x v="9"/>
    <s v="WDFW"/>
    <d v="2009-05-06T00:00:00"/>
    <n v="24853"/>
    <x v="1"/>
  </r>
  <r>
    <x v="8"/>
    <s v="Summer Steelhead"/>
    <s v="SU"/>
    <x v="6"/>
    <x v="17"/>
    <s v="WDFW"/>
    <d v="2009-05-06T00:00:00"/>
    <n v="25835"/>
    <x v="1"/>
  </r>
  <r>
    <x v="8"/>
    <s v="Summer Steelhead"/>
    <s v="SU"/>
    <x v="6"/>
    <x v="17"/>
    <s v="WDFW"/>
    <d v="2009-05-05T00:00:00"/>
    <n v="25778"/>
    <x v="1"/>
  </r>
  <r>
    <x v="8"/>
    <s v="Summer Steelhead"/>
    <s v="SU"/>
    <x v="6"/>
    <x v="8"/>
    <s v="WDFW"/>
    <d v="2009-05-04T00:00:00"/>
    <n v="102170"/>
    <x v="1"/>
  </r>
  <r>
    <x v="8"/>
    <s v="Summer Steelhead"/>
    <s v="SU"/>
    <x v="4"/>
    <x v="10"/>
    <s v="WDFW"/>
    <d v="2009-04-27T00:00:00"/>
    <n v="26403"/>
    <x v="3"/>
  </r>
  <r>
    <x v="8"/>
    <s v="Summer Steelhead"/>
    <s v="SU"/>
    <x v="6"/>
    <x v="1"/>
    <s v="WDFW"/>
    <d v="2009-04-13T00:00:00"/>
    <n v="49878"/>
    <x v="1"/>
  </r>
  <r>
    <x v="9"/>
    <s v="Summer Steelhead"/>
    <s v="SU"/>
    <x v="0"/>
    <x v="12"/>
    <s v="USFW"/>
    <d v="2008-05-07T00:00:00"/>
    <n v="116897"/>
    <x v="0"/>
  </r>
  <r>
    <x v="9"/>
    <s v="Summer Steelhead"/>
    <s v="SU"/>
    <x v="6"/>
    <x v="9"/>
    <s v="WDFW"/>
    <d v="2008-05-07T00:00:00"/>
    <n v="64310"/>
    <x v="1"/>
  </r>
  <r>
    <x v="9"/>
    <s v="Summer Steelhead"/>
    <s v="SU"/>
    <x v="6"/>
    <x v="9"/>
    <s v="WDFW"/>
    <d v="2008-05-06T00:00:00"/>
    <n v="97549"/>
    <x v="1"/>
  </r>
  <r>
    <x v="9"/>
    <s v="Summer Steelhead"/>
    <s v="SU"/>
    <x v="6"/>
    <x v="17"/>
    <s v="WDFW"/>
    <d v="2008-05-06T00:00:00"/>
    <n v="43011"/>
    <x v="1"/>
  </r>
  <r>
    <x v="9"/>
    <s v="Summer Steelhead"/>
    <s v="SU"/>
    <x v="6"/>
    <x v="17"/>
    <s v="WDFW"/>
    <d v="2008-05-05T00:00:00"/>
    <n v="7026"/>
    <x v="1"/>
  </r>
  <r>
    <x v="9"/>
    <s v="Summer Steelhead"/>
    <s v="SU"/>
    <x v="6"/>
    <x v="8"/>
    <s v="WDFW"/>
    <d v="2008-05-05T00:00:00"/>
    <n v="94794"/>
    <x v="1"/>
  </r>
  <r>
    <x v="9"/>
    <s v="Summer Steelhead"/>
    <s v="SU"/>
    <x v="4"/>
    <x v="16"/>
    <s v="WDFW"/>
    <d v="2008-04-28T00:00:00"/>
    <n v="99464"/>
    <x v="0"/>
  </r>
  <r>
    <x v="9"/>
    <s v="Summer Steelhead"/>
    <s v="SU"/>
    <x v="4"/>
    <x v="6"/>
    <s v="WDFW"/>
    <d v="2008-05-02T00:00:00"/>
    <n v="14200"/>
    <x v="3"/>
  </r>
  <r>
    <x v="9"/>
    <s v="Summer Steelhead"/>
    <s v="SU"/>
    <x v="4"/>
    <x v="18"/>
    <s v="WDFW"/>
    <d v="2008-04-29T00:00:00"/>
    <n v="92670"/>
    <x v="0"/>
  </r>
  <r>
    <x v="9"/>
    <s v="Summer Steelhead"/>
    <s v="SU"/>
    <x v="4"/>
    <x v="0"/>
    <s v="WDFW"/>
    <d v="2008-04-25T00:00:00"/>
    <n v="85926"/>
    <x v="0"/>
  </r>
  <r>
    <x v="9"/>
    <s v="Summer Steelhead"/>
    <s v="SU"/>
    <x v="7"/>
    <x v="6"/>
    <s v="COLV"/>
    <d v="2008-04-04T00:00:00"/>
    <n v="3000"/>
    <x v="3"/>
  </r>
  <r>
    <x v="9"/>
    <s v="Summer Steelhead"/>
    <s v="SU"/>
    <x v="7"/>
    <x v="6"/>
    <s v="COLV"/>
    <d v="2008-04-04T00:00:00"/>
    <n v="5395"/>
    <x v="3"/>
  </r>
  <r>
    <x v="9"/>
    <s v="Summer Steelhead"/>
    <s v="SU"/>
    <x v="7"/>
    <x v="6"/>
    <s v="COLV"/>
    <d v="2008-04-08T00:00:00"/>
    <n v="3000"/>
    <x v="3"/>
  </r>
  <r>
    <x v="9"/>
    <s v="Summer Steelhead"/>
    <s v="SU"/>
    <x v="7"/>
    <x v="7"/>
    <s v="COLV"/>
    <d v="2008-04-30T00:00:00"/>
    <n v="20000"/>
    <x v="3"/>
  </r>
  <r>
    <x v="9"/>
    <s v="Summer Steelhead"/>
    <s v="SU"/>
    <x v="4"/>
    <x v="4"/>
    <s v="WDFW"/>
    <d v="2008-05-27T00:00:00"/>
    <n v="14520"/>
    <x v="0"/>
  </r>
  <r>
    <x v="9"/>
    <s v="Summer Steelhead"/>
    <s v="SU"/>
    <x v="4"/>
    <x v="10"/>
    <s v="WDFW"/>
    <d v="2008-04-30T00:00:00"/>
    <n v="25105"/>
    <x v="3"/>
  </r>
  <r>
    <x v="9"/>
    <s v="Summer Steelhead"/>
    <s v="SU"/>
    <x v="4"/>
    <x v="14"/>
    <s v="WDFW"/>
    <d v="2008-04-25T00:00:00"/>
    <n v="104477"/>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32:M38" firstHeaderRow="1" firstDataRow="2" firstDataCol="1"/>
  <pivotFields count="9">
    <pivotField axis="axisCol" showAll="0">
      <items count="11">
        <item x="9"/>
        <item x="8"/>
        <item x="7"/>
        <item x="6"/>
        <item x="5"/>
        <item x="4"/>
        <item x="3"/>
        <item x="2"/>
        <item x="1"/>
        <item x="0"/>
        <item t="default"/>
      </items>
    </pivotField>
    <pivotField showAll="0"/>
    <pivotField showAll="0"/>
    <pivotField showAll="0">
      <items count="9">
        <item x="7"/>
        <item x="5"/>
        <item x="2"/>
        <item x="1"/>
        <item x="3"/>
        <item x="6"/>
        <item x="4"/>
        <item x="0"/>
        <item t="default"/>
      </items>
    </pivotField>
    <pivotField showAll="0">
      <items count="20">
        <item x="13"/>
        <item x="1"/>
        <item x="18"/>
        <item x="2"/>
        <item x="17"/>
        <item x="3"/>
        <item x="16"/>
        <item x="8"/>
        <item x="6"/>
        <item x="7"/>
        <item x="15"/>
        <item x="10"/>
        <item x="14"/>
        <item x="11"/>
        <item x="4"/>
        <item x="0"/>
        <item x="5"/>
        <item x="9"/>
        <item x="12"/>
        <item t="default"/>
      </items>
    </pivotField>
    <pivotField showAll="0"/>
    <pivotField numFmtId="14" showAll="0"/>
    <pivotField dataField="1" showAll="0"/>
    <pivotField axis="axisRow" showAll="0">
      <items count="5">
        <item x="0"/>
        <item x="3"/>
        <item x="2"/>
        <item x="1"/>
        <item t="default"/>
      </items>
    </pivotField>
  </pivotFields>
  <rowFields count="1">
    <field x="8"/>
  </rowFields>
  <rowItems count="5">
    <i>
      <x/>
    </i>
    <i>
      <x v="1"/>
    </i>
    <i>
      <x v="2"/>
    </i>
    <i>
      <x v="3"/>
    </i>
    <i t="grand">
      <x/>
    </i>
  </rowItems>
  <colFields count="1">
    <field x="0"/>
  </colFields>
  <colItems count="11">
    <i>
      <x/>
    </i>
    <i>
      <x v="1"/>
    </i>
    <i>
      <x v="2"/>
    </i>
    <i>
      <x v="3"/>
    </i>
    <i>
      <x v="4"/>
    </i>
    <i>
      <x v="5"/>
    </i>
    <i>
      <x v="6"/>
    </i>
    <i>
      <x v="7"/>
    </i>
    <i>
      <x v="8"/>
    </i>
    <i>
      <x v="9"/>
    </i>
    <i t="grand">
      <x/>
    </i>
  </colItems>
  <dataFields count="1">
    <dataField name="Sum of NumReleased" fld="7" baseField="0" baseItem="0"/>
  </dataFields>
  <formats count="1">
    <format dxfId="0">
      <pivotArea collapsedLevelsAreSubtotals="1" fieldPosition="0">
        <references count="2">
          <reference field="0" count="0" selected="0"/>
          <reference field="8"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streamnet.org/ca-priority-data/" TargetMode="External"/><Relationship Id="rId3" Type="http://schemas.openxmlformats.org/officeDocument/2006/relationships/hyperlink" Target="https://www.westcoast.fisheries.noaa.gov/protected_species/salmon_steelhead/recovery_planning_and_implementation/upper_columbia/upper_columbia_spring_chinook_steelhead_recovery_plan.html" TargetMode="External"/><Relationship Id="rId7" Type="http://schemas.openxmlformats.org/officeDocument/2006/relationships/hyperlink" Target="https://www.streamnet.org/ca-priority-data/" TargetMode="External"/><Relationship Id="rId2" Type="http://schemas.openxmlformats.org/officeDocument/2006/relationships/hyperlink" Target="https://www.westcoast.fisheries.noaa.gov/protected_species/salmon_steelhead/recovery_planning_and_implementation/upper_columbia/upper_columbia_spring_chinook_steelhead_recovery_plan.html" TargetMode="External"/><Relationship Id="rId1" Type="http://schemas.openxmlformats.org/officeDocument/2006/relationships/hyperlink" Target="https://www.westcoast.fisheries.noaa.gov/protected_species/salmon_steelhead/recovery_planning_and_implementation/upper_columbia/upper_columbia_spring_chinook_steelhead_recovery_plan.html" TargetMode="External"/><Relationship Id="rId6" Type="http://schemas.openxmlformats.org/officeDocument/2006/relationships/hyperlink" Target="https://www.streamnet.org/ca-priority-data/" TargetMode="External"/><Relationship Id="rId11" Type="http://schemas.openxmlformats.org/officeDocument/2006/relationships/comments" Target="../comments1.xml"/><Relationship Id="rId5" Type="http://schemas.openxmlformats.org/officeDocument/2006/relationships/hyperlink" Target="https://ecosystems.azurewebsites.net/hstr-methow/" TargetMode="External"/><Relationship Id="rId10" Type="http://schemas.openxmlformats.org/officeDocument/2006/relationships/vmlDrawing" Target="../drawings/vmlDrawing1.vml"/><Relationship Id="rId4" Type="http://schemas.openxmlformats.org/officeDocument/2006/relationships/hyperlink" Target="https://www.westcoast.fisheries.noaa.gov/protected_species/salmon_steelhead/recovery_planning_and_implementation/upper_columbia/upper_columbia_spring_chinook_steelhead_recovery_plan.html" TargetMode="External"/><Relationship Id="rId9" Type="http://schemas.openxmlformats.org/officeDocument/2006/relationships/hyperlink" Target="https://www.streamnet.org/ca-priority-data/"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25"/>
  <sheetViews>
    <sheetView tabSelected="1" zoomScale="90" zoomScaleNormal="90" workbookViewId="0">
      <selection activeCell="AB9" sqref="AB9"/>
    </sheetView>
  </sheetViews>
  <sheetFormatPr defaultRowHeight="14.4" x14ac:dyDescent="0.3"/>
  <cols>
    <col min="1" max="1" width="4.33203125" style="73" customWidth="1"/>
    <col min="2" max="12" width="8.77734375" style="73" customWidth="1"/>
    <col min="13" max="16" width="8.77734375" customWidth="1"/>
    <col min="17" max="17" width="2" customWidth="1"/>
    <col min="18" max="18" width="8.88671875" style="55"/>
    <col min="19" max="19" width="6.5546875" customWidth="1"/>
    <col min="20" max="20" width="21.6640625" customWidth="1"/>
    <col min="22" max="22" width="10.5546875" customWidth="1"/>
    <col min="23" max="23" width="10.88671875" customWidth="1"/>
    <col min="24" max="25" width="9.5546875" customWidth="1"/>
    <col min="26" max="26" width="1.77734375" customWidth="1"/>
    <col min="28" max="28" width="11.44140625" style="327" customWidth="1"/>
    <col min="29" max="29" width="9.109375" style="327"/>
    <col min="30" max="30" width="11" style="327" customWidth="1"/>
    <col min="31" max="37" width="9.109375" style="327"/>
  </cols>
  <sheetData>
    <row r="1" spans="1:37" ht="21" customHeight="1" x14ac:dyDescent="0.35">
      <c r="A1" s="435" t="s">
        <v>112</v>
      </c>
      <c r="B1" s="436"/>
      <c r="C1" s="436"/>
      <c r="D1" s="435"/>
      <c r="E1" s="437"/>
      <c r="F1" s="438"/>
      <c r="G1" s="439"/>
      <c r="H1" s="437" t="s">
        <v>113</v>
      </c>
      <c r="I1" s="439"/>
      <c r="J1" s="439"/>
      <c r="K1" s="439"/>
      <c r="L1" s="439"/>
      <c r="M1" s="435" t="s">
        <v>83</v>
      </c>
      <c r="N1" s="439"/>
      <c r="O1" s="439"/>
      <c r="P1" s="439"/>
      <c r="Q1" s="439"/>
      <c r="S1" s="55"/>
      <c r="T1" s="55"/>
      <c r="U1" s="55"/>
      <c r="V1" s="55"/>
      <c r="W1" s="55"/>
      <c r="X1" s="55"/>
      <c r="Y1" s="55"/>
      <c r="Z1" s="55"/>
    </row>
    <row r="2" spans="1:37" s="55" customFormat="1" ht="6.6" customHeight="1" x14ac:dyDescent="0.3">
      <c r="A2" s="79"/>
      <c r="B2" s="80"/>
      <c r="C2" s="80"/>
      <c r="D2" s="81"/>
      <c r="E2" s="82"/>
      <c r="F2" s="82"/>
      <c r="G2" s="82"/>
      <c r="H2" s="82"/>
      <c r="I2" s="82"/>
      <c r="J2" s="82"/>
      <c r="K2" s="82"/>
      <c r="L2" s="82"/>
      <c r="AB2" s="328"/>
      <c r="AC2" s="328"/>
      <c r="AD2" s="328"/>
      <c r="AE2" s="328"/>
      <c r="AF2" s="328"/>
      <c r="AG2" s="328"/>
      <c r="AH2" s="328"/>
      <c r="AI2" s="328"/>
      <c r="AJ2" s="328"/>
      <c r="AK2" s="328"/>
    </row>
    <row r="3" spans="1:37" x14ac:dyDescent="0.3">
      <c r="A3" s="82"/>
      <c r="B3" s="82"/>
      <c r="C3" s="82"/>
      <c r="D3" s="82"/>
      <c r="E3" s="82"/>
      <c r="F3" s="82"/>
      <c r="G3" s="82"/>
      <c r="H3" s="82"/>
      <c r="I3" s="82"/>
      <c r="J3" s="55"/>
      <c r="K3" s="55"/>
      <c r="L3" s="55"/>
      <c r="M3" s="55"/>
      <c r="N3" s="55"/>
      <c r="O3" s="55"/>
      <c r="P3" s="55"/>
      <c r="Q3" s="55"/>
      <c r="S3" s="449" t="s">
        <v>70</v>
      </c>
      <c r="T3" s="450"/>
      <c r="U3" s="451" t="s">
        <v>5</v>
      </c>
      <c r="V3" s="452"/>
      <c r="W3" s="453" t="s">
        <v>62</v>
      </c>
      <c r="X3" s="454"/>
      <c r="Y3" s="455"/>
      <c r="Z3" s="55"/>
    </row>
    <row r="4" spans="1:37" x14ac:dyDescent="0.3">
      <c r="A4" s="82"/>
      <c r="B4" s="82"/>
      <c r="C4" s="82"/>
      <c r="D4" s="82"/>
      <c r="E4" s="82"/>
      <c r="F4" s="82"/>
      <c r="G4" s="82"/>
      <c r="H4" s="82"/>
      <c r="I4" s="82"/>
      <c r="J4" s="55"/>
      <c r="K4" s="55"/>
      <c r="L4" s="55"/>
      <c r="M4" s="55"/>
      <c r="N4" s="55"/>
      <c r="O4" s="55"/>
      <c r="P4" s="55"/>
      <c r="Q4" s="55"/>
      <c r="S4" s="459" t="s">
        <v>61</v>
      </c>
      <c r="T4" s="460" t="s">
        <v>1</v>
      </c>
      <c r="U4" s="456" t="s">
        <v>84</v>
      </c>
      <c r="V4" s="457" t="s">
        <v>4</v>
      </c>
      <c r="W4" s="458" t="s">
        <v>16</v>
      </c>
      <c r="X4" s="458" t="s">
        <v>17</v>
      </c>
      <c r="Y4" s="457" t="s">
        <v>18</v>
      </c>
      <c r="Z4" s="55"/>
    </row>
    <row r="5" spans="1:37" x14ac:dyDescent="0.3">
      <c r="A5" s="82"/>
      <c r="B5" s="82"/>
      <c r="C5" s="82"/>
      <c r="D5" s="82"/>
      <c r="E5" s="82"/>
      <c r="F5" s="82"/>
      <c r="G5" s="82"/>
      <c r="H5" s="82"/>
      <c r="I5" s="82"/>
      <c r="J5" s="55"/>
      <c r="K5" s="55"/>
      <c r="L5" s="55"/>
      <c r="M5" s="55"/>
      <c r="N5" s="55"/>
      <c r="O5" s="55"/>
      <c r="P5" s="55"/>
      <c r="Q5" s="55"/>
      <c r="S5" s="484" t="s">
        <v>107</v>
      </c>
      <c r="T5" s="89" t="s">
        <v>108</v>
      </c>
      <c r="U5" s="427" t="s">
        <v>333</v>
      </c>
      <c r="V5" s="157">
        <v>0</v>
      </c>
      <c r="W5" s="313" t="s">
        <v>43</v>
      </c>
      <c r="X5" s="312" t="s">
        <v>43</v>
      </c>
      <c r="Y5" s="314" t="s">
        <v>43</v>
      </c>
      <c r="Z5" s="55"/>
    </row>
    <row r="6" spans="1:37" x14ac:dyDescent="0.3">
      <c r="A6" s="82"/>
      <c r="B6" s="82"/>
      <c r="C6" s="82"/>
      <c r="D6" s="82"/>
      <c r="E6" s="82"/>
      <c r="F6" s="82"/>
      <c r="G6" s="82"/>
      <c r="H6" s="82"/>
      <c r="I6" s="82"/>
      <c r="J6" s="55"/>
      <c r="K6" s="55"/>
      <c r="L6" s="55"/>
      <c r="M6" s="55"/>
      <c r="N6" s="55"/>
      <c r="O6" s="55"/>
      <c r="P6" s="55"/>
      <c r="Q6" s="55"/>
      <c r="S6" s="485"/>
      <c r="T6" s="87" t="s">
        <v>87</v>
      </c>
      <c r="U6" s="158">
        <f>ROUND(Runs!E65,-1)</f>
        <v>140</v>
      </c>
      <c r="V6" s="159">
        <f>'Natl prod'!G7</f>
        <v>500</v>
      </c>
      <c r="W6" s="158">
        <f>'Natl prod'!V7</f>
        <v>500</v>
      </c>
      <c r="X6" s="37">
        <v>1000</v>
      </c>
      <c r="Y6" s="159">
        <f>1.5*X6</f>
        <v>1500</v>
      </c>
      <c r="Z6" s="55"/>
      <c r="AF6" s="327" t="s">
        <v>191</v>
      </c>
    </row>
    <row r="7" spans="1:37" x14ac:dyDescent="0.3">
      <c r="A7" s="82"/>
      <c r="B7" s="82"/>
      <c r="C7" s="82"/>
      <c r="D7" s="82"/>
      <c r="E7" s="82"/>
      <c r="F7" s="82"/>
      <c r="G7" s="82"/>
      <c r="H7" s="82"/>
      <c r="I7" s="82"/>
      <c r="J7" s="55"/>
      <c r="K7" s="55"/>
      <c r="L7" s="55"/>
      <c r="M7" s="55"/>
      <c r="N7" s="55"/>
      <c r="O7" s="55"/>
      <c r="P7" s="55"/>
      <c r="Q7" s="55"/>
      <c r="S7" s="485"/>
      <c r="T7" t="s">
        <v>85</v>
      </c>
      <c r="U7" s="158">
        <f>ROUND(Runs!F65,-1)</f>
        <v>790</v>
      </c>
      <c r="V7" s="159">
        <f>'Natl prod'!G8</f>
        <v>3600</v>
      </c>
      <c r="W7" s="158">
        <f>'Natl prod'!V8</f>
        <v>1000</v>
      </c>
      <c r="X7" s="37">
        <v>1100</v>
      </c>
      <c r="Y7" s="159">
        <f>1.5*X7</f>
        <v>1650</v>
      </c>
      <c r="Z7" s="55"/>
      <c r="AF7" s="327" t="s">
        <v>191</v>
      </c>
    </row>
    <row r="8" spans="1:37" x14ac:dyDescent="0.3">
      <c r="A8" s="82"/>
      <c r="B8" s="82"/>
      <c r="C8" s="82"/>
      <c r="D8" s="82"/>
      <c r="E8" s="82"/>
      <c r="F8" s="82"/>
      <c r="G8" s="82"/>
      <c r="H8" s="82"/>
      <c r="I8" s="82"/>
      <c r="J8" s="55"/>
      <c r="K8" s="55"/>
      <c r="L8" s="55"/>
      <c r="M8" s="55"/>
      <c r="N8" s="55"/>
      <c r="O8" s="55"/>
      <c r="P8" s="55"/>
      <c r="Q8" s="55"/>
      <c r="S8" s="485"/>
      <c r="T8" t="s">
        <v>88</v>
      </c>
      <c r="U8" s="158">
        <f>ROUND(Runs!G65,-1)</f>
        <v>240</v>
      </c>
      <c r="V8" s="159">
        <f>'Natl prod'!F9</f>
        <v>10000</v>
      </c>
      <c r="W8" s="158">
        <f>'Natl prod'!V9</f>
        <v>500</v>
      </c>
      <c r="X8" s="37">
        <f>ROUND(875+1028,-2)</f>
        <v>1900</v>
      </c>
      <c r="Y8" s="159">
        <f>1.5*X8</f>
        <v>2850</v>
      </c>
      <c r="Z8" s="55"/>
      <c r="AF8" s="327" t="s">
        <v>192</v>
      </c>
    </row>
    <row r="9" spans="1:37" x14ac:dyDescent="0.3">
      <c r="A9" s="82"/>
      <c r="B9" s="82"/>
      <c r="C9" s="82"/>
      <c r="D9" s="82"/>
      <c r="E9" s="82"/>
      <c r="F9" s="82"/>
      <c r="G9" s="82"/>
      <c r="H9" s="82"/>
      <c r="I9" s="82"/>
      <c r="J9" s="55"/>
      <c r="K9" s="55"/>
      <c r="L9" s="55"/>
      <c r="M9" s="55"/>
      <c r="N9" s="55"/>
      <c r="O9" s="55"/>
      <c r="P9" s="55"/>
      <c r="Q9" s="55"/>
      <c r="S9" s="486"/>
      <c r="T9" s="85" t="s">
        <v>86</v>
      </c>
      <c r="U9" s="160">
        <f>ROUND(Runs!H65,-1)</f>
        <v>310</v>
      </c>
      <c r="V9" s="161">
        <f>'Natl prod'!G10</f>
        <v>7300</v>
      </c>
      <c r="W9" s="160">
        <f>'Natl prod'!V10</f>
        <v>1000</v>
      </c>
      <c r="X9" s="295">
        <f>'Natl prod'!W10</f>
        <v>2000</v>
      </c>
      <c r="Y9" s="161">
        <f>1.5*X9</f>
        <v>3000</v>
      </c>
      <c r="Z9" s="55"/>
      <c r="AF9" s="327" t="s">
        <v>191</v>
      </c>
    </row>
    <row r="10" spans="1:37" x14ac:dyDescent="0.3">
      <c r="A10" s="82"/>
      <c r="B10" s="82"/>
      <c r="C10" s="82"/>
      <c r="D10" s="82"/>
      <c r="E10" s="82"/>
      <c r="F10" s="82"/>
      <c r="G10" s="82"/>
      <c r="H10" s="82"/>
      <c r="I10" s="82"/>
      <c r="J10" s="82"/>
      <c r="K10" s="82"/>
      <c r="L10" s="82"/>
      <c r="M10" s="55"/>
      <c r="N10" s="55"/>
      <c r="O10" s="55"/>
      <c r="P10" s="55"/>
      <c r="Q10" s="55"/>
      <c r="S10" s="319" t="s">
        <v>198</v>
      </c>
      <c r="T10" s="322"/>
      <c r="U10" s="323">
        <f>SUM('Natl prod'!J36:J43)</f>
        <v>0</v>
      </c>
      <c r="V10" s="321">
        <f>ROUND(SUM('Natl prod'!K36:K43),-5)</f>
        <v>1100000</v>
      </c>
      <c r="W10" s="320">
        <f>SUM('Natl prod'!L36:L43)</f>
        <v>4500</v>
      </c>
      <c r="X10" s="320">
        <f>ROUND(SUM('Natl prod'!M36:M43),-3)</f>
        <v>25000</v>
      </c>
      <c r="Y10" s="321">
        <f>ROUND(SUM('Natl prod'!N36:N43),-3)</f>
        <v>38000</v>
      </c>
      <c r="Z10" s="55"/>
      <c r="AA10" s="11"/>
    </row>
    <row r="11" spans="1:37" x14ac:dyDescent="0.3">
      <c r="A11" s="82"/>
      <c r="B11" s="82"/>
      <c r="C11" s="82"/>
      <c r="D11" s="82"/>
      <c r="E11" s="82"/>
      <c r="F11" s="82"/>
      <c r="G11" s="82"/>
      <c r="H11" s="82"/>
      <c r="I11" s="82"/>
      <c r="J11" s="82"/>
      <c r="K11" s="82"/>
      <c r="L11" s="82"/>
      <c r="M11" s="55"/>
      <c r="N11" s="55"/>
      <c r="O11" s="55"/>
      <c r="P11" s="55"/>
      <c r="Q11" s="55"/>
      <c r="S11" s="463" t="s">
        <v>14</v>
      </c>
      <c r="T11" s="464"/>
      <c r="U11" s="465">
        <f>SUM(U5:U10)</f>
        <v>1480</v>
      </c>
      <c r="V11" s="465">
        <f>SUM(V5:V10)</f>
        <v>1121400</v>
      </c>
      <c r="W11" s="465">
        <f>SUM(W5:W10)</f>
        <v>7500</v>
      </c>
      <c r="X11" s="465">
        <f>SUM(X5:X10)</f>
        <v>31000</v>
      </c>
      <c r="Y11" s="466">
        <f>SUM(Y5:Y10)</f>
        <v>47000</v>
      </c>
      <c r="Z11" s="55"/>
      <c r="AF11" s="327" t="s">
        <v>194</v>
      </c>
    </row>
    <row r="12" spans="1:37" x14ac:dyDescent="0.3">
      <c r="A12" s="82"/>
      <c r="B12" s="82"/>
      <c r="C12" s="82"/>
      <c r="D12" s="82"/>
      <c r="E12" s="82"/>
      <c r="F12" s="82"/>
      <c r="G12" s="82"/>
      <c r="H12" s="82"/>
      <c r="I12" s="82"/>
      <c r="J12" s="82"/>
      <c r="K12" s="82"/>
      <c r="L12" s="82"/>
      <c r="M12" s="55"/>
      <c r="N12" s="55"/>
      <c r="O12" s="55"/>
      <c r="P12" s="55"/>
      <c r="Q12" s="55"/>
      <c r="S12" s="55"/>
      <c r="T12" s="55"/>
      <c r="U12" s="55"/>
      <c r="V12" s="55"/>
      <c r="W12" s="55"/>
      <c r="X12" s="55"/>
      <c r="Y12" s="55"/>
      <c r="Z12" s="55"/>
      <c r="AF12" s="327" t="s">
        <v>195</v>
      </c>
    </row>
    <row r="13" spans="1:37" x14ac:dyDescent="0.3">
      <c r="A13" s="82"/>
      <c r="B13" s="82"/>
      <c r="C13" s="82"/>
      <c r="D13" s="82"/>
      <c r="E13" s="82"/>
      <c r="F13" s="82"/>
      <c r="G13" s="82"/>
      <c r="H13" s="82"/>
      <c r="I13" s="82"/>
      <c r="J13" s="82"/>
      <c r="K13" s="82"/>
      <c r="L13" s="82"/>
      <c r="M13" s="55"/>
      <c r="N13" s="55"/>
      <c r="O13" s="55"/>
      <c r="P13" s="55"/>
      <c r="Q13" s="55"/>
      <c r="S13" s="461" t="s">
        <v>225</v>
      </c>
      <c r="T13" s="462"/>
      <c r="U13" s="210" t="s">
        <v>226</v>
      </c>
      <c r="V13" s="210"/>
      <c r="W13" s="212" t="s">
        <v>45</v>
      </c>
      <c r="X13" s="502" t="s">
        <v>315</v>
      </c>
      <c r="Y13" s="503"/>
      <c r="Z13" s="55"/>
      <c r="AF13" s="327" t="s">
        <v>196</v>
      </c>
    </row>
    <row r="14" spans="1:37" x14ac:dyDescent="0.3">
      <c r="A14" s="82"/>
      <c r="B14" s="82"/>
      <c r="C14" s="82"/>
      <c r="D14" s="82"/>
      <c r="E14" s="82"/>
      <c r="F14" s="82"/>
      <c r="G14" s="82"/>
      <c r="H14" s="82"/>
      <c r="I14" s="82"/>
      <c r="J14" s="82"/>
      <c r="K14" s="82"/>
      <c r="L14" s="82"/>
      <c r="M14" s="55"/>
      <c r="N14" s="55"/>
      <c r="O14" s="55"/>
      <c r="P14" s="55"/>
      <c r="Q14" s="55"/>
      <c r="S14" s="194" t="s">
        <v>227</v>
      </c>
      <c r="T14" s="195"/>
      <c r="U14" s="211" t="s">
        <v>228</v>
      </c>
      <c r="V14" s="211" t="s">
        <v>229</v>
      </c>
      <c r="W14" s="211" t="s">
        <v>216</v>
      </c>
      <c r="X14" s="504" t="s">
        <v>316</v>
      </c>
      <c r="Y14" s="480"/>
      <c r="Z14" s="55"/>
      <c r="AF14" s="327" t="s">
        <v>189</v>
      </c>
    </row>
    <row r="15" spans="1:37" x14ac:dyDescent="0.3">
      <c r="A15" s="82"/>
      <c r="B15" s="82"/>
      <c r="C15" s="82"/>
      <c r="D15" s="82"/>
      <c r="E15" s="82"/>
      <c r="F15" s="82"/>
      <c r="G15" s="82"/>
      <c r="H15" s="82"/>
      <c r="I15" s="82"/>
      <c r="J15" s="82"/>
      <c r="K15" s="82"/>
      <c r="L15" s="82"/>
      <c r="M15" s="55"/>
      <c r="N15" s="55"/>
      <c r="O15" s="55"/>
      <c r="P15" s="55"/>
      <c r="Q15" s="55"/>
      <c r="S15" s="196" t="s">
        <v>85</v>
      </c>
      <c r="T15" s="197"/>
      <c r="U15" s="198">
        <v>202</v>
      </c>
      <c r="V15" s="199">
        <v>248000</v>
      </c>
      <c r="W15" s="294"/>
      <c r="X15" s="505">
        <v>348000</v>
      </c>
      <c r="Y15" s="506"/>
      <c r="Z15" s="55"/>
      <c r="AF15" s="327" t="s">
        <v>190</v>
      </c>
    </row>
    <row r="16" spans="1:37" x14ac:dyDescent="0.3">
      <c r="A16" s="82"/>
      <c r="B16" s="82"/>
      <c r="C16" s="82"/>
      <c r="D16" s="82"/>
      <c r="E16" s="82"/>
      <c r="F16" s="82"/>
      <c r="G16" s="82"/>
      <c r="H16" s="82"/>
      <c r="I16" s="82"/>
      <c r="J16" s="82"/>
      <c r="K16" s="82"/>
      <c r="L16" s="82"/>
      <c r="M16" s="55"/>
      <c r="N16" s="55"/>
      <c r="O16" s="55"/>
      <c r="P16" s="55"/>
      <c r="Q16" s="55"/>
      <c r="S16" s="86" t="s">
        <v>88</v>
      </c>
      <c r="T16" s="73"/>
      <c r="U16" s="192">
        <v>58</v>
      </c>
      <c r="V16" s="11">
        <v>100000</v>
      </c>
      <c r="W16" s="8"/>
      <c r="X16" s="474">
        <f t="shared" ref="X16:X18" si="0">V16</f>
        <v>100000</v>
      </c>
      <c r="Y16" s="507"/>
      <c r="Z16" s="55"/>
      <c r="AF16" s="332" t="s">
        <v>193</v>
      </c>
    </row>
    <row r="17" spans="1:33" x14ac:dyDescent="0.3">
      <c r="A17" s="82"/>
      <c r="B17" s="82"/>
      <c r="C17" s="82"/>
      <c r="D17" s="82"/>
      <c r="E17" s="82"/>
      <c r="F17" s="82"/>
      <c r="G17" s="82"/>
      <c r="H17" s="82"/>
      <c r="I17" s="82"/>
      <c r="J17" s="82"/>
      <c r="K17" s="82"/>
      <c r="L17" s="82"/>
      <c r="M17" s="55"/>
      <c r="N17" s="55"/>
      <c r="O17" s="55"/>
      <c r="P17" s="55"/>
      <c r="Q17" s="55"/>
      <c r="S17" s="86" t="s">
        <v>86</v>
      </c>
      <c r="T17" s="73"/>
      <c r="U17" s="192">
        <v>140</v>
      </c>
      <c r="V17" s="11">
        <v>247300</v>
      </c>
      <c r="W17" s="8"/>
      <c r="X17" s="474">
        <f t="shared" si="0"/>
        <v>247300</v>
      </c>
      <c r="Y17" s="507"/>
      <c r="Z17" s="55"/>
    </row>
    <row r="18" spans="1:33" x14ac:dyDescent="0.3">
      <c r="A18" s="82"/>
      <c r="B18" s="82"/>
      <c r="C18" s="82"/>
      <c r="D18" s="82"/>
      <c r="E18" s="82"/>
      <c r="F18" s="55"/>
      <c r="G18" s="55"/>
      <c r="H18" s="55"/>
      <c r="I18" s="55"/>
      <c r="J18" s="55"/>
      <c r="K18" s="55"/>
      <c r="L18" s="55"/>
      <c r="M18" s="55"/>
      <c r="N18" s="55"/>
      <c r="O18" s="55"/>
      <c r="P18" s="55"/>
      <c r="Q18" s="55"/>
      <c r="S18" s="86" t="s">
        <v>197</v>
      </c>
      <c r="T18" s="73"/>
      <c r="U18" s="192">
        <v>108</v>
      </c>
      <c r="V18" s="11">
        <v>160000</v>
      </c>
      <c r="W18" s="8"/>
      <c r="X18" s="474">
        <f t="shared" si="0"/>
        <v>160000</v>
      </c>
      <c r="Y18" s="507"/>
      <c r="Z18" s="55"/>
    </row>
    <row r="19" spans="1:33" x14ac:dyDescent="0.3">
      <c r="A19" s="82"/>
      <c r="B19" s="82"/>
      <c r="C19" s="82" t="s">
        <v>3</v>
      </c>
      <c r="D19" s="315">
        <f>U11</f>
        <v>1480</v>
      </c>
      <c r="E19" s="82"/>
      <c r="F19" s="55"/>
      <c r="G19" s="55"/>
      <c r="H19" s="55"/>
      <c r="I19" s="55"/>
      <c r="J19" s="55"/>
      <c r="K19" s="55"/>
      <c r="L19" s="55"/>
      <c r="M19" s="55"/>
      <c r="N19" s="55"/>
      <c r="O19" s="55"/>
      <c r="P19" s="55"/>
      <c r="Q19" s="55"/>
      <c r="S19" s="467" t="s">
        <v>458</v>
      </c>
      <c r="T19" s="467"/>
      <c r="U19" s="468"/>
      <c r="V19" s="468">
        <v>180000</v>
      </c>
      <c r="W19" s="469"/>
      <c r="X19" s="477">
        <v>180000</v>
      </c>
      <c r="Y19" s="478"/>
      <c r="Z19" s="55"/>
      <c r="AB19" t="s">
        <v>456</v>
      </c>
    </row>
    <row r="20" spans="1:33" x14ac:dyDescent="0.3">
      <c r="A20" s="82"/>
      <c r="B20" s="82"/>
      <c r="C20" s="82" t="s">
        <v>310</v>
      </c>
      <c r="D20" s="315">
        <f>W11</f>
        <v>7500</v>
      </c>
      <c r="E20" s="82"/>
      <c r="F20" s="82"/>
      <c r="G20" s="82"/>
      <c r="H20" s="82"/>
      <c r="I20" s="82"/>
      <c r="J20" s="82"/>
      <c r="K20" s="82"/>
      <c r="L20" s="82"/>
      <c r="M20" s="55"/>
      <c r="N20" s="55"/>
      <c r="O20" s="55"/>
      <c r="P20" s="55"/>
      <c r="Q20" s="55"/>
      <c r="S20" s="96" t="s">
        <v>475</v>
      </c>
      <c r="T20" s="316"/>
      <c r="U20" s="317">
        <v>0</v>
      </c>
      <c r="V20" s="318">
        <v>0</v>
      </c>
      <c r="W20" s="173"/>
      <c r="X20" s="479" t="s">
        <v>317</v>
      </c>
      <c r="Y20" s="480"/>
      <c r="Z20" s="55"/>
    </row>
    <row r="21" spans="1:33" x14ac:dyDescent="0.3">
      <c r="A21" s="82"/>
      <c r="B21" s="82"/>
      <c r="C21" s="82" t="s">
        <v>311</v>
      </c>
      <c r="D21" s="315">
        <f>X11</f>
        <v>31000</v>
      </c>
      <c r="E21" s="82"/>
      <c r="F21" s="82"/>
      <c r="G21" s="82"/>
      <c r="H21" s="82"/>
      <c r="I21" s="82"/>
      <c r="J21" s="82"/>
      <c r="K21" s="82"/>
      <c r="L21" s="82"/>
      <c r="M21" s="55"/>
      <c r="N21" s="55"/>
      <c r="O21" s="55"/>
      <c r="P21" s="55"/>
      <c r="Q21" s="55"/>
      <c r="S21" s="194" t="s">
        <v>125</v>
      </c>
      <c r="T21" s="195"/>
      <c r="U21" s="205">
        <f>SUM(U15:U20)</f>
        <v>508</v>
      </c>
      <c r="V21" s="205">
        <f>SUM(V15:V20)</f>
        <v>935300</v>
      </c>
      <c r="W21" s="297"/>
      <c r="X21" s="481" t="s">
        <v>457</v>
      </c>
      <c r="Y21" s="482"/>
      <c r="Z21" s="55"/>
      <c r="AB21" s="327">
        <f>AVERAGE(1000000,4500000)</f>
        <v>2750000</v>
      </c>
    </row>
    <row r="22" spans="1:33" x14ac:dyDescent="0.3">
      <c r="A22" s="82"/>
      <c r="B22" s="82"/>
      <c r="C22" s="82" t="s">
        <v>312</v>
      </c>
      <c r="D22" s="315">
        <f>Y11</f>
        <v>47000</v>
      </c>
      <c r="E22" s="82"/>
      <c r="F22" s="82"/>
      <c r="G22" s="82"/>
      <c r="H22" s="82"/>
      <c r="I22" s="82"/>
      <c r="J22" s="82"/>
      <c r="K22" s="82"/>
      <c r="L22" s="82"/>
      <c r="M22" s="55"/>
      <c r="N22" s="55"/>
      <c r="O22" s="55"/>
      <c r="P22" s="55"/>
      <c r="Q22" s="55"/>
      <c r="S22" s="55"/>
      <c r="T22" s="55"/>
      <c r="U22" s="55"/>
      <c r="V22" s="55"/>
      <c r="W22" s="55"/>
      <c r="X22" s="55"/>
      <c r="Y22" s="55"/>
      <c r="Z22" s="82"/>
    </row>
    <row r="23" spans="1:33" x14ac:dyDescent="0.3">
      <c r="A23" s="82"/>
      <c r="B23" s="82"/>
      <c r="C23" s="82" t="s">
        <v>4</v>
      </c>
      <c r="D23" s="315">
        <f>V11</f>
        <v>1121400</v>
      </c>
      <c r="E23" s="82"/>
      <c r="F23" s="82"/>
      <c r="G23" s="82"/>
      <c r="H23" s="82"/>
      <c r="I23" s="82"/>
      <c r="J23" s="82"/>
      <c r="K23" s="82"/>
      <c r="L23" s="82"/>
      <c r="M23" s="55"/>
      <c r="N23" s="55"/>
      <c r="O23" s="55"/>
      <c r="P23" s="55"/>
      <c r="Q23" s="55"/>
      <c r="S23" s="97" t="s">
        <v>81</v>
      </c>
      <c r="T23" s="98"/>
      <c r="U23" s="99" t="s">
        <v>470</v>
      </c>
      <c r="V23" s="99"/>
      <c r="W23" s="100"/>
      <c r="X23" s="324" t="s">
        <v>73</v>
      </c>
      <c r="Y23" s="200"/>
      <c r="Z23" s="55"/>
    </row>
    <row r="24" spans="1:33" x14ac:dyDescent="0.3">
      <c r="A24" s="82"/>
      <c r="B24" s="82"/>
      <c r="C24" s="82"/>
      <c r="D24" s="82"/>
      <c r="E24" s="82"/>
      <c r="F24" s="82"/>
      <c r="G24" s="82"/>
      <c r="H24" s="82"/>
      <c r="I24" s="82"/>
      <c r="J24" s="82"/>
      <c r="K24" s="82"/>
      <c r="L24" s="82"/>
      <c r="M24" s="55"/>
      <c r="N24" s="55"/>
      <c r="O24" s="55"/>
      <c r="P24" s="55"/>
      <c r="Q24" s="55"/>
      <c r="S24" s="101"/>
      <c r="T24" s="335" t="s">
        <v>56</v>
      </c>
      <c r="U24" s="385" t="s">
        <v>219</v>
      </c>
      <c r="V24" s="385" t="s">
        <v>318</v>
      </c>
      <c r="W24" s="385" t="s">
        <v>9</v>
      </c>
      <c r="X24" s="325" t="s">
        <v>314</v>
      </c>
      <c r="Y24" s="201" t="s">
        <v>9</v>
      </c>
      <c r="Z24" s="55"/>
    </row>
    <row r="25" spans="1:33" x14ac:dyDescent="0.3">
      <c r="A25" s="82"/>
      <c r="B25" s="82"/>
      <c r="C25" s="82"/>
      <c r="D25" s="82"/>
      <c r="E25" s="82"/>
      <c r="F25" s="82"/>
      <c r="G25" s="82"/>
      <c r="H25" s="82"/>
      <c r="I25" s="82"/>
      <c r="J25" s="82"/>
      <c r="K25" s="82"/>
      <c r="L25" s="82"/>
      <c r="M25" s="55"/>
      <c r="N25" s="55"/>
      <c r="O25" s="55"/>
      <c r="P25" s="55"/>
      <c r="Q25" s="55"/>
      <c r="S25" s="487" t="s">
        <v>117</v>
      </c>
      <c r="T25" s="336" t="s">
        <v>124</v>
      </c>
      <c r="U25" s="196">
        <v>0</v>
      </c>
      <c r="V25" s="102" t="s">
        <v>43</v>
      </c>
      <c r="W25" s="345" t="s">
        <v>43</v>
      </c>
      <c r="X25" s="102">
        <v>0</v>
      </c>
      <c r="Y25" s="296" t="s">
        <v>43</v>
      </c>
      <c r="Z25" s="55"/>
    </row>
    <row r="26" spans="1:33" x14ac:dyDescent="0.3">
      <c r="A26" s="82"/>
      <c r="B26" s="82"/>
      <c r="C26" s="82"/>
      <c r="D26" s="82"/>
      <c r="E26" s="82"/>
      <c r="F26" s="82"/>
      <c r="G26" s="82"/>
      <c r="H26" s="82"/>
      <c r="I26" s="82"/>
      <c r="J26" s="82"/>
      <c r="K26" s="82"/>
      <c r="L26" s="82"/>
      <c r="M26" s="55"/>
      <c r="N26" s="55"/>
      <c r="O26" s="55"/>
      <c r="P26" s="55"/>
      <c r="Q26" s="55"/>
      <c r="S26" s="487"/>
      <c r="T26" s="337" t="s">
        <v>416</v>
      </c>
      <c r="U26" s="419">
        <f>Runs!IX64</f>
        <v>1.8497611141182285E-2</v>
      </c>
      <c r="V26" s="508" t="s">
        <v>118</v>
      </c>
      <c r="W26" s="483" t="str">
        <f>W30</f>
        <v>20-50%</v>
      </c>
      <c r="X26" s="107">
        <f>ROUND(Runs!HN64,-2)</f>
        <v>100</v>
      </c>
      <c r="Y26" s="471">
        <f>Y57</f>
        <v>99000</v>
      </c>
      <c r="Z26" s="55"/>
      <c r="AA26" s="11"/>
    </row>
    <row r="27" spans="1:33" x14ac:dyDescent="0.3">
      <c r="A27" s="82"/>
      <c r="B27" s="82"/>
      <c r="C27" s="82"/>
      <c r="D27" s="82"/>
      <c r="E27" s="82"/>
      <c r="F27" s="82"/>
      <c r="G27" s="82"/>
      <c r="H27" s="82"/>
      <c r="I27" s="82"/>
      <c r="J27" s="82"/>
      <c r="K27" s="82"/>
      <c r="L27" s="82"/>
      <c r="M27" s="55"/>
      <c r="N27" s="55"/>
      <c r="O27" s="55"/>
      <c r="P27" s="55"/>
      <c r="Q27" s="55"/>
      <c r="S27" s="487"/>
      <c r="T27" s="337" t="s">
        <v>417</v>
      </c>
      <c r="U27" s="419">
        <f>Runs!IN64</f>
        <v>6.4903871499289681E-2</v>
      </c>
      <c r="V27" s="508"/>
      <c r="W27" s="472"/>
      <c r="X27" s="107">
        <f>ROUND(Runs!FA64,-2)</f>
        <v>400</v>
      </c>
      <c r="Y27" s="472"/>
      <c r="Z27" s="55"/>
      <c r="AA27" s="11"/>
      <c r="AG27"/>
    </row>
    <row r="28" spans="1:33" x14ac:dyDescent="0.3">
      <c r="A28" s="82"/>
      <c r="B28" s="82"/>
      <c r="C28" s="82"/>
      <c r="D28" s="82"/>
      <c r="E28" s="82"/>
      <c r="F28" s="55"/>
      <c r="G28" s="55"/>
      <c r="H28" s="55"/>
      <c r="I28" s="55"/>
      <c r="J28" s="55"/>
      <c r="K28" s="55"/>
      <c r="L28" s="55"/>
      <c r="M28" s="55"/>
      <c r="N28" s="55"/>
      <c r="O28" s="55"/>
      <c r="P28" s="55"/>
      <c r="Q28" s="55"/>
      <c r="S28" s="487"/>
      <c r="T28" s="337" t="s">
        <v>471</v>
      </c>
      <c r="U28" s="419">
        <f>Runs!BD64</f>
        <v>1.7746114029037027E-2</v>
      </c>
      <c r="V28" s="23" t="s">
        <v>217</v>
      </c>
      <c r="W28" s="472"/>
      <c r="X28" s="428">
        <f>ROUND(U28*U41,-2)</f>
        <v>100</v>
      </c>
      <c r="Y28" s="472"/>
      <c r="Z28" s="55"/>
      <c r="AA28" s="11"/>
      <c r="AG28"/>
    </row>
    <row r="29" spans="1:33" x14ac:dyDescent="0.3">
      <c r="A29" s="82"/>
      <c r="B29" s="82"/>
      <c r="C29" s="82"/>
      <c r="D29" s="82"/>
      <c r="E29" s="82"/>
      <c r="F29" s="82"/>
      <c r="G29" s="82"/>
      <c r="H29" s="82"/>
      <c r="I29" s="82"/>
      <c r="J29" s="82"/>
      <c r="K29" s="82"/>
      <c r="L29" s="82"/>
      <c r="M29" s="55"/>
      <c r="N29" s="55"/>
      <c r="O29" s="55"/>
      <c r="P29" s="55"/>
      <c r="Q29" s="55"/>
      <c r="S29" s="487"/>
      <c r="T29" s="338" t="s">
        <v>198</v>
      </c>
      <c r="U29" s="386">
        <v>0</v>
      </c>
      <c r="V29" s="193"/>
      <c r="W29" s="473"/>
      <c r="X29" s="173">
        <v>0</v>
      </c>
      <c r="Y29" s="473"/>
      <c r="Z29" s="55"/>
    </row>
    <row r="30" spans="1:33" x14ac:dyDescent="0.3">
      <c r="A30" s="82"/>
      <c r="B30" s="82"/>
      <c r="C30" s="82"/>
      <c r="D30" s="82"/>
      <c r="E30" s="82"/>
      <c r="F30" s="82"/>
      <c r="G30" s="82"/>
      <c r="H30" s="82"/>
      <c r="I30" s="82"/>
      <c r="J30" s="82"/>
      <c r="K30" s="82"/>
      <c r="L30" s="82"/>
      <c r="M30" s="55"/>
      <c r="N30" s="55"/>
      <c r="O30" s="55"/>
      <c r="P30" s="55"/>
      <c r="Q30" s="55"/>
      <c r="S30" s="485"/>
      <c r="T30" s="339" t="s">
        <v>42</v>
      </c>
      <c r="U30" s="206">
        <f>SUM(U25:U29)</f>
        <v>0.101147596669509</v>
      </c>
      <c r="V30" s="326" t="s">
        <v>218</v>
      </c>
      <c r="W30" s="326" t="s">
        <v>319</v>
      </c>
      <c r="X30" s="389">
        <f>SUM(X25:X29)</f>
        <v>600</v>
      </c>
      <c r="Y30" s="207"/>
      <c r="Z30" s="55"/>
      <c r="AB30" s="327" t="s">
        <v>308</v>
      </c>
      <c r="AD30" s="329">
        <f>V11-SUM(V6:V9)</f>
        <v>1100000</v>
      </c>
    </row>
    <row r="31" spans="1:33" ht="14.4" customHeight="1" x14ac:dyDescent="0.3">
      <c r="A31" s="82"/>
      <c r="B31" s="82"/>
      <c r="C31" s="82"/>
      <c r="D31" s="82"/>
      <c r="E31" s="82"/>
      <c r="F31" s="82"/>
      <c r="G31" s="82"/>
      <c r="H31" s="82"/>
      <c r="I31" s="82"/>
      <c r="J31" s="82"/>
      <c r="K31" s="82"/>
      <c r="L31" s="82"/>
      <c r="M31" s="55"/>
      <c r="N31" s="55"/>
      <c r="O31" s="55"/>
      <c r="P31" s="55"/>
      <c r="Q31" s="55"/>
      <c r="S31" s="488" t="s">
        <v>49</v>
      </c>
      <c r="T31" s="336" t="s">
        <v>124</v>
      </c>
      <c r="U31" s="388">
        <v>0</v>
      </c>
      <c r="V31" s="102" t="s">
        <v>43</v>
      </c>
      <c r="W31" s="345" t="s">
        <v>43</v>
      </c>
      <c r="X31" s="102">
        <v>0</v>
      </c>
      <c r="Y31" s="296" t="s">
        <v>43</v>
      </c>
      <c r="Z31" s="55"/>
      <c r="AD31" s="329"/>
    </row>
    <row r="32" spans="1:33" x14ac:dyDescent="0.3">
      <c r="A32" s="82"/>
      <c r="B32" s="82"/>
      <c r="C32" s="82"/>
      <c r="D32" s="82"/>
      <c r="E32" s="82"/>
      <c r="F32" s="82"/>
      <c r="G32" s="82"/>
      <c r="H32" s="82"/>
      <c r="I32" s="82"/>
      <c r="J32" s="82"/>
      <c r="K32" s="82"/>
      <c r="L32" s="82"/>
      <c r="M32" s="55"/>
      <c r="N32" s="55"/>
      <c r="O32" s="55"/>
      <c r="P32" s="55"/>
      <c r="Q32" s="55"/>
      <c r="S32" s="489"/>
      <c r="T32" s="337" t="s">
        <v>416</v>
      </c>
      <c r="U32" s="419">
        <f>Runs!IY64</f>
        <v>0.12048724688971013</v>
      </c>
      <c r="V32" s="23" t="s">
        <v>43</v>
      </c>
      <c r="W32" s="471" t="s">
        <v>418</v>
      </c>
      <c r="X32" s="429">
        <f>ROUND(Runs!HO64,-2)</f>
        <v>2500</v>
      </c>
      <c r="Y32" s="471">
        <f>Y58</f>
        <v>27000</v>
      </c>
      <c r="Z32" s="55"/>
      <c r="AA32" s="11"/>
      <c r="AD32" s="329"/>
    </row>
    <row r="33" spans="1:34" x14ac:dyDescent="0.3">
      <c r="A33" s="82"/>
      <c r="B33" s="82"/>
      <c r="C33" s="82"/>
      <c r="D33" s="82"/>
      <c r="E33" s="82"/>
      <c r="F33" s="82"/>
      <c r="G33" s="82"/>
      <c r="H33" s="82"/>
      <c r="I33" s="82"/>
      <c r="J33" s="82"/>
      <c r="K33" s="82"/>
      <c r="L33" s="82"/>
      <c r="M33" s="55"/>
      <c r="N33" s="55"/>
      <c r="O33" s="55"/>
      <c r="P33" s="55"/>
      <c r="Q33" s="55"/>
      <c r="S33" s="489"/>
      <c r="T33" s="337" t="s">
        <v>417</v>
      </c>
      <c r="U33" s="419">
        <f>Runs!IO64</f>
        <v>6.0787111525255552E-2</v>
      </c>
      <c r="V33" s="23" t="s">
        <v>43</v>
      </c>
      <c r="W33" s="472"/>
      <c r="X33" s="429">
        <f>ROUND(Runs!FB64,-2)</f>
        <v>1300</v>
      </c>
      <c r="Y33" s="472"/>
      <c r="Z33" s="55"/>
      <c r="AA33" s="11"/>
      <c r="AD33" s="329"/>
    </row>
    <row r="34" spans="1:34" x14ac:dyDescent="0.3">
      <c r="A34" s="82"/>
      <c r="B34" s="82"/>
      <c r="C34" s="82"/>
      <c r="D34" s="82"/>
      <c r="E34" s="82"/>
      <c r="F34" s="82"/>
      <c r="G34" s="82"/>
      <c r="H34" s="82"/>
      <c r="I34" s="82"/>
      <c r="J34" s="82"/>
      <c r="K34" s="82"/>
      <c r="L34" s="82"/>
      <c r="M34" s="55"/>
      <c r="N34" s="55"/>
      <c r="O34" s="55"/>
      <c r="P34" s="55"/>
      <c r="Q34" s="55"/>
      <c r="S34" s="489"/>
      <c r="T34" s="337" t="s">
        <v>471</v>
      </c>
      <c r="U34" s="419">
        <f>Runs!BE64</f>
        <v>0.2486075550082521</v>
      </c>
      <c r="V34" s="23" t="s">
        <v>43</v>
      </c>
      <c r="W34" s="472"/>
      <c r="X34" s="429">
        <f>ROUND(U34*U42,-2)</f>
        <v>5300</v>
      </c>
      <c r="Y34" s="472"/>
      <c r="Z34" s="55"/>
      <c r="AA34" s="11"/>
      <c r="AD34" s="329"/>
    </row>
    <row r="35" spans="1:34" x14ac:dyDescent="0.3">
      <c r="A35" s="82"/>
      <c r="B35" s="82"/>
      <c r="C35" s="82"/>
      <c r="D35" s="82"/>
      <c r="E35" s="82"/>
      <c r="F35" s="82"/>
      <c r="G35" s="82"/>
      <c r="H35" s="82"/>
      <c r="I35" s="82"/>
      <c r="J35" s="82"/>
      <c r="K35" s="82"/>
      <c r="L35" s="82"/>
      <c r="M35" s="55"/>
      <c r="N35" s="55"/>
      <c r="O35" s="55"/>
      <c r="P35" s="55"/>
      <c r="Q35" s="55"/>
      <c r="S35" s="489"/>
      <c r="T35" s="338" t="s">
        <v>198</v>
      </c>
      <c r="U35" s="430" t="s">
        <v>43</v>
      </c>
      <c r="V35" s="193" t="s">
        <v>43</v>
      </c>
      <c r="W35" s="473"/>
      <c r="X35" s="430" t="s">
        <v>43</v>
      </c>
      <c r="Y35" s="473"/>
      <c r="Z35" s="55"/>
      <c r="AB35" s="495">
        <f>SUM('Natl prod'!G11:G14)</f>
        <v>536767.12328767125</v>
      </c>
    </row>
    <row r="36" spans="1:34" x14ac:dyDescent="0.3">
      <c r="A36" s="82"/>
      <c r="B36" s="82"/>
      <c r="C36" s="82"/>
      <c r="D36" s="82"/>
      <c r="E36" s="82"/>
      <c r="F36" s="82"/>
      <c r="G36" s="82"/>
      <c r="H36" s="82"/>
      <c r="I36" s="82"/>
      <c r="J36" s="82"/>
      <c r="K36" s="82"/>
      <c r="L36" s="82"/>
      <c r="M36" s="55"/>
      <c r="N36" s="55"/>
      <c r="O36" s="55"/>
      <c r="P36" s="55"/>
      <c r="Q36" s="55"/>
      <c r="S36" s="490"/>
      <c r="T36" s="339" t="s">
        <v>42</v>
      </c>
      <c r="U36" s="387">
        <f>SUM(U31:U35)</f>
        <v>0.4298819134232178</v>
      </c>
      <c r="V36" s="390" t="s">
        <v>43</v>
      </c>
      <c r="W36" s="391" t="str">
        <f>W32</f>
        <v>&lt;70%</v>
      </c>
      <c r="X36" s="389">
        <f>SUM(X31:X35)</f>
        <v>9100</v>
      </c>
      <c r="Y36" s="207"/>
      <c r="Z36" s="55"/>
      <c r="AB36" s="496"/>
      <c r="AC36" s="330">
        <f>AB35/AB42</f>
        <v>0.47626224566691788</v>
      </c>
      <c r="AD36" s="327">
        <f>AC36*AD$30</f>
        <v>523888.47023360967</v>
      </c>
    </row>
    <row r="37" spans="1:34" x14ac:dyDescent="0.3">
      <c r="A37" s="82"/>
      <c r="B37" s="82"/>
      <c r="C37" s="82"/>
      <c r="D37" s="82"/>
      <c r="E37" s="82"/>
      <c r="F37" s="82"/>
      <c r="G37" s="82"/>
      <c r="H37" s="82"/>
      <c r="I37" s="82"/>
      <c r="J37" s="82"/>
      <c r="K37" s="82"/>
      <c r="L37" s="82"/>
      <c r="M37" s="55"/>
      <c r="N37" s="55"/>
      <c r="O37" s="55"/>
      <c r="P37" s="55"/>
      <c r="Q37" s="55"/>
      <c r="S37" s="82"/>
      <c r="T37" s="82"/>
      <c r="U37" s="55"/>
      <c r="V37" s="55"/>
      <c r="W37" s="55"/>
      <c r="X37" s="55"/>
      <c r="Y37" s="55"/>
      <c r="Z37" s="55"/>
      <c r="AB37" s="496"/>
      <c r="AC37" s="330"/>
    </row>
    <row r="38" spans="1:34" ht="14.4" customHeight="1" x14ac:dyDescent="0.3">
      <c r="A38" s="82"/>
      <c r="B38" s="82"/>
      <c r="C38" s="82"/>
      <c r="D38" s="82"/>
      <c r="E38" s="82"/>
      <c r="F38" s="82"/>
      <c r="G38" s="82"/>
      <c r="H38" s="82"/>
      <c r="I38" s="82"/>
      <c r="J38" s="82"/>
      <c r="K38" s="82"/>
      <c r="L38" s="82"/>
      <c r="M38" s="55"/>
      <c r="N38" s="55"/>
      <c r="O38" s="55"/>
      <c r="P38" s="55"/>
      <c r="Q38" s="55"/>
      <c r="S38" s="491" t="s">
        <v>220</v>
      </c>
      <c r="T38" s="492"/>
      <c r="U38" s="498" t="s">
        <v>414</v>
      </c>
      <c r="V38" s="499"/>
      <c r="W38" s="446" t="s">
        <v>221</v>
      </c>
      <c r="X38" s="447"/>
      <c r="Y38" s="448"/>
      <c r="Z38" s="55"/>
      <c r="AB38" s="497"/>
      <c r="AC38" s="330"/>
    </row>
    <row r="39" spans="1:34" x14ac:dyDescent="0.3">
      <c r="A39" s="82"/>
      <c r="B39" s="82"/>
      <c r="C39" s="82"/>
      <c r="D39" s="82"/>
      <c r="E39" s="82"/>
      <c r="F39" s="82"/>
      <c r="G39" s="82"/>
      <c r="H39" s="82"/>
      <c r="I39" s="82"/>
      <c r="J39" s="82"/>
      <c r="K39" s="82"/>
      <c r="L39" s="82"/>
      <c r="M39" s="55"/>
      <c r="N39" s="55"/>
      <c r="O39" s="55"/>
      <c r="P39" s="55"/>
      <c r="Q39" s="55"/>
      <c r="S39" s="493"/>
      <c r="T39" s="494"/>
      <c r="U39" s="500" t="s">
        <v>415</v>
      </c>
      <c r="V39" s="501"/>
      <c r="W39" s="84" t="s">
        <v>16</v>
      </c>
      <c r="X39" s="84" t="s">
        <v>17</v>
      </c>
      <c r="Y39" s="83" t="s">
        <v>18</v>
      </c>
      <c r="Z39" s="55"/>
      <c r="AB39" s="495">
        <f>SUM('Natl prod'!G15:G16)</f>
        <v>356712.32876712328</v>
      </c>
      <c r="AC39" s="330">
        <f>AB39/AB42</f>
        <v>0.31650339110776188</v>
      </c>
      <c r="AD39" s="327">
        <f>AC39*AD$30</f>
        <v>348153.73021853808</v>
      </c>
    </row>
    <row r="40" spans="1:34" x14ac:dyDescent="0.3">
      <c r="A40" s="82"/>
      <c r="B40" s="82"/>
      <c r="C40" s="82"/>
      <c r="D40" s="82"/>
      <c r="E40" s="82"/>
      <c r="F40" s="82"/>
      <c r="G40" s="82"/>
      <c r="H40" s="82"/>
      <c r="I40" s="82"/>
      <c r="J40" s="82"/>
      <c r="K40" s="82"/>
      <c r="L40" s="82"/>
      <c r="M40" s="55"/>
      <c r="N40" s="55"/>
      <c r="O40" s="55"/>
      <c r="P40" s="55"/>
      <c r="Q40" s="55"/>
      <c r="S40" s="202" t="s">
        <v>126</v>
      </c>
      <c r="T40" s="203"/>
      <c r="U40" s="470">
        <f>U41+U42</f>
        <v>27700</v>
      </c>
      <c r="V40" s="470"/>
      <c r="W40" s="431">
        <f>W41+W42</f>
        <v>57000</v>
      </c>
      <c r="X40" s="431">
        <f t="shared" ref="X40:Y40" si="1">X41+X42</f>
        <v>210000</v>
      </c>
      <c r="Y40" s="432">
        <f t="shared" si="1"/>
        <v>342000</v>
      </c>
      <c r="Z40" s="55"/>
      <c r="AB40" s="497"/>
      <c r="AC40" s="330"/>
    </row>
    <row r="41" spans="1:34" x14ac:dyDescent="0.3">
      <c r="A41" s="82"/>
      <c r="B41" s="82"/>
      <c r="C41" s="82"/>
      <c r="D41" s="82"/>
      <c r="E41" s="82"/>
      <c r="F41" s="82"/>
      <c r="G41" s="82"/>
      <c r="H41" s="82"/>
      <c r="I41" s="82"/>
      <c r="J41" s="82"/>
      <c r="K41" s="82"/>
      <c r="L41" s="82"/>
      <c r="M41" s="55"/>
      <c r="N41" s="55"/>
      <c r="O41" s="55"/>
      <c r="P41" s="55"/>
      <c r="Q41" s="55"/>
      <c r="S41" s="86"/>
      <c r="T41" t="s">
        <v>117</v>
      </c>
      <c r="U41" s="474">
        <f>ROUND(Runs!ID64,-2)</f>
        <v>6400</v>
      </c>
      <c r="V41" s="474"/>
      <c r="W41" s="107">
        <f>ROUND(Conv!P14,-3)</f>
        <v>37000</v>
      </c>
      <c r="X41" s="107">
        <f>ROUND(Conv!T14,-3)</f>
        <v>171000</v>
      </c>
      <c r="Y41" s="423">
        <f>ROUND(Conv!X14,-3)</f>
        <v>284000</v>
      </c>
      <c r="Z41" s="55"/>
      <c r="AB41" s="331">
        <f>'Natl prod'!G17</f>
        <v>233561.64383561644</v>
      </c>
      <c r="AC41" s="330">
        <f>AB41/AB42</f>
        <v>0.20723436322532027</v>
      </c>
      <c r="AD41" s="327">
        <f>AC41*AD$30</f>
        <v>227957.79954785231</v>
      </c>
    </row>
    <row r="42" spans="1:34" x14ac:dyDescent="0.3">
      <c r="A42" s="82"/>
      <c r="B42" s="82"/>
      <c r="C42" s="82"/>
      <c r="D42" s="82"/>
      <c r="E42" s="82"/>
      <c r="F42" s="82"/>
      <c r="G42" s="82"/>
      <c r="H42" s="82"/>
      <c r="I42" s="82"/>
      <c r="J42" s="82"/>
      <c r="K42" s="82"/>
      <c r="L42" s="82"/>
      <c r="M42" s="55"/>
      <c r="N42" s="55"/>
      <c r="O42" s="55"/>
      <c r="P42" s="55"/>
      <c r="Q42" s="55"/>
      <c r="S42" s="86"/>
      <c r="T42" t="s">
        <v>49</v>
      </c>
      <c r="U42" s="474">
        <f>ROUND(Runs!IE64,-2)</f>
        <v>21300</v>
      </c>
      <c r="V42" s="474"/>
      <c r="W42" s="107">
        <f>ROUND(Conv!P36,-3)</f>
        <v>20000</v>
      </c>
      <c r="X42" s="107">
        <f>ROUND(Conv!T36,-3)</f>
        <v>39000</v>
      </c>
      <c r="Y42" s="423">
        <f>ROUND(Conv!X36,-3)</f>
        <v>58000</v>
      </c>
      <c r="Z42" s="55"/>
      <c r="AB42" s="329">
        <f>AB35+AB39+AB41</f>
        <v>1127041.0958904109</v>
      </c>
      <c r="AC42" s="333"/>
      <c r="AD42" s="327">
        <f>SUM(AD36:AD41)</f>
        <v>1100000</v>
      </c>
    </row>
    <row r="43" spans="1:34" x14ac:dyDescent="0.3">
      <c r="A43" s="82"/>
      <c r="B43" s="82"/>
      <c r="C43" s="82"/>
      <c r="D43" s="82"/>
      <c r="E43" s="82"/>
      <c r="F43" s="82"/>
      <c r="G43" s="82"/>
      <c r="H43" s="82"/>
      <c r="I43" s="82"/>
      <c r="J43" s="82"/>
      <c r="K43" s="82"/>
      <c r="L43" s="82"/>
      <c r="M43" s="55"/>
      <c r="N43" s="55"/>
      <c r="O43" s="55"/>
      <c r="P43" s="55"/>
      <c r="Q43" s="55"/>
      <c r="S43" s="96"/>
      <c r="T43" s="85" t="s">
        <v>222</v>
      </c>
      <c r="U43" s="476">
        <f>U42/U40</f>
        <v>0.76895306859205781</v>
      </c>
      <c r="V43" s="476"/>
      <c r="W43" s="433">
        <f>W42/W40</f>
        <v>0.35087719298245612</v>
      </c>
      <c r="X43" s="433">
        <f t="shared" ref="X43:Y43" si="2">X42/X40</f>
        <v>0.18571428571428572</v>
      </c>
      <c r="Y43" s="434">
        <f t="shared" si="2"/>
        <v>0.16959064327485379</v>
      </c>
      <c r="Z43" s="55"/>
    </row>
    <row r="44" spans="1:34" x14ac:dyDescent="0.3">
      <c r="A44" s="82"/>
      <c r="B44" s="82"/>
      <c r="C44" s="82"/>
      <c r="D44" s="82"/>
      <c r="E44" s="82"/>
      <c r="F44" s="82"/>
      <c r="G44" s="82"/>
      <c r="H44" s="82"/>
      <c r="I44" s="82"/>
      <c r="J44" s="82"/>
      <c r="K44" s="82"/>
      <c r="L44" s="82"/>
      <c r="M44" s="55"/>
      <c r="N44" s="55"/>
      <c r="O44" s="55"/>
      <c r="P44" s="55"/>
      <c r="Q44" s="55"/>
      <c r="S44" s="384" t="s">
        <v>412</v>
      </c>
      <c r="T44" s="203"/>
      <c r="U44" s="470">
        <f>U45+U46</f>
        <v>26700</v>
      </c>
      <c r="V44" s="470"/>
      <c r="W44" s="431">
        <f t="shared" ref="W44:Y44" si="3">W45+W46</f>
        <v>55000</v>
      </c>
      <c r="X44" s="431">
        <f t="shared" si="3"/>
        <v>202000</v>
      </c>
      <c r="Y44" s="432">
        <f t="shared" si="3"/>
        <v>327000</v>
      </c>
      <c r="Z44" s="55"/>
    </row>
    <row r="45" spans="1:34" x14ac:dyDescent="0.3">
      <c r="A45" s="82"/>
      <c r="B45" s="82"/>
      <c r="C45" s="82"/>
      <c r="D45" s="82"/>
      <c r="E45" s="82"/>
      <c r="F45" s="82"/>
      <c r="G45" s="82"/>
      <c r="H45" s="82"/>
      <c r="I45" s="82"/>
      <c r="J45" s="82"/>
      <c r="K45" s="82"/>
      <c r="L45" s="82"/>
      <c r="M45" s="55"/>
      <c r="N45" s="55"/>
      <c r="O45" s="55"/>
      <c r="P45" s="55"/>
      <c r="Q45" s="55"/>
      <c r="S45" s="86"/>
      <c r="T45" t="s">
        <v>117</v>
      </c>
      <c r="U45" s="474">
        <f>ROUND(Runs!EA64,-2)</f>
        <v>6400</v>
      </c>
      <c r="V45" s="475"/>
      <c r="W45" s="107">
        <f>ROUND(Conv!P11,-3)</f>
        <v>36000</v>
      </c>
      <c r="X45" s="107">
        <f>ROUND(Conv!T11,-3)</f>
        <v>165000</v>
      </c>
      <c r="Y45" s="423">
        <f>ROUND(Conv!X11,-3)</f>
        <v>272000</v>
      </c>
      <c r="Z45" s="55"/>
      <c r="AG45" s="334">
        <v>0.02</v>
      </c>
      <c r="AH45" s="333" t="s">
        <v>71</v>
      </c>
    </row>
    <row r="46" spans="1:34" x14ac:dyDescent="0.3">
      <c r="A46" s="82"/>
      <c r="B46" s="82"/>
      <c r="C46" s="82"/>
      <c r="D46" s="82"/>
      <c r="E46" s="82"/>
      <c r="F46" s="82"/>
      <c r="G46" s="82"/>
      <c r="H46" s="82"/>
      <c r="I46" s="82"/>
      <c r="J46" s="82"/>
      <c r="K46" s="82"/>
      <c r="L46" s="82"/>
      <c r="M46" s="55"/>
      <c r="N46" s="55"/>
      <c r="O46" s="55"/>
      <c r="P46" s="55"/>
      <c r="Q46" s="55"/>
      <c r="S46" s="86"/>
      <c r="T46" t="s">
        <v>49</v>
      </c>
      <c r="U46" s="474">
        <f>ROUND(Runs!EB64,-2)</f>
        <v>20300</v>
      </c>
      <c r="V46" s="475"/>
      <c r="W46" s="107">
        <f>ROUND(Conv!P33,-3)</f>
        <v>19000</v>
      </c>
      <c r="X46" s="107">
        <f>ROUND(Conv!T33,-3)</f>
        <v>37000</v>
      </c>
      <c r="Y46" s="423">
        <f>ROUND(Conv!X33,-3)</f>
        <v>55000</v>
      </c>
      <c r="Z46" s="55"/>
    </row>
    <row r="47" spans="1:34" x14ac:dyDescent="0.3">
      <c r="A47" s="82"/>
      <c r="B47" s="82"/>
      <c r="C47" s="82"/>
      <c r="D47" s="82"/>
      <c r="E47" s="82"/>
      <c r="F47" s="82"/>
      <c r="G47" s="82"/>
      <c r="H47" s="82"/>
      <c r="I47" s="82"/>
      <c r="J47" s="82"/>
      <c r="K47" s="82"/>
      <c r="L47" s="82"/>
      <c r="M47" s="55"/>
      <c r="N47" s="55"/>
      <c r="O47" s="55"/>
      <c r="P47" s="55"/>
      <c r="Q47" s="55"/>
      <c r="S47" s="96"/>
      <c r="T47" s="85" t="s">
        <v>222</v>
      </c>
      <c r="U47" s="476">
        <f>U46/U44</f>
        <v>0.76029962546816476</v>
      </c>
      <c r="V47" s="476"/>
      <c r="W47" s="433">
        <f t="shared" ref="W47:Y47" si="4">W46/W44</f>
        <v>0.34545454545454546</v>
      </c>
      <c r="X47" s="433">
        <f t="shared" si="4"/>
        <v>0.18316831683168316</v>
      </c>
      <c r="Y47" s="434">
        <f t="shared" si="4"/>
        <v>0.16819571865443425</v>
      </c>
      <c r="Z47" s="55"/>
    </row>
    <row r="48" spans="1:34" x14ac:dyDescent="0.3">
      <c r="A48" s="82"/>
      <c r="B48" s="82"/>
      <c r="C48" s="82"/>
      <c r="D48" s="82"/>
      <c r="E48" s="82"/>
      <c r="F48" s="82"/>
      <c r="G48" s="82"/>
      <c r="H48" s="82"/>
      <c r="I48" s="82"/>
      <c r="J48" s="82"/>
      <c r="K48" s="82"/>
      <c r="L48" s="82"/>
      <c r="M48" s="55"/>
      <c r="N48" s="55"/>
      <c r="O48" s="55"/>
      <c r="P48" s="55"/>
      <c r="Q48" s="55"/>
      <c r="S48" s="204" t="s">
        <v>223</v>
      </c>
      <c r="T48" s="203"/>
      <c r="U48" s="470">
        <f>U49+U50</f>
        <v>19600</v>
      </c>
      <c r="V48" s="470"/>
      <c r="W48" s="431">
        <f t="shared" ref="W48:Y48" si="5">W49+W50</f>
        <v>40000</v>
      </c>
      <c r="X48" s="431">
        <f t="shared" si="5"/>
        <v>137000</v>
      </c>
      <c r="Y48" s="432">
        <f t="shared" si="5"/>
        <v>211000</v>
      </c>
      <c r="Z48" s="55"/>
    </row>
    <row r="49" spans="1:32" x14ac:dyDescent="0.3">
      <c r="A49" s="82"/>
      <c r="B49" s="82"/>
      <c r="C49" s="82"/>
      <c r="D49" s="82"/>
      <c r="E49" s="82"/>
      <c r="F49" s="82"/>
      <c r="G49" s="82"/>
      <c r="H49" s="82"/>
      <c r="I49" s="82"/>
      <c r="J49" s="82"/>
      <c r="K49" s="82"/>
      <c r="L49" s="82"/>
      <c r="M49" s="55"/>
      <c r="N49" s="55"/>
      <c r="O49" s="55"/>
      <c r="P49" s="55"/>
      <c r="Q49" s="55"/>
      <c r="S49" s="86"/>
      <c r="T49" t="s">
        <v>117</v>
      </c>
      <c r="U49" s="474">
        <f>ROUND(Runs!V64,-2)</f>
        <v>5000</v>
      </c>
      <c r="V49" s="475"/>
      <c r="W49" s="107">
        <f>ROUND(Conv!P8,-3)</f>
        <v>26000</v>
      </c>
      <c r="X49" s="107">
        <f>ROUND(Conv!T8,-3)</f>
        <v>110000</v>
      </c>
      <c r="Y49" s="423">
        <f>ROUND(Conv!X8,-3)</f>
        <v>170000</v>
      </c>
      <c r="Z49" s="55"/>
    </row>
    <row r="50" spans="1:32" x14ac:dyDescent="0.3">
      <c r="A50" s="82"/>
      <c r="B50" s="82"/>
      <c r="C50" s="82"/>
      <c r="D50" s="82"/>
      <c r="E50" s="82"/>
      <c r="F50" s="82"/>
      <c r="G50" s="82"/>
      <c r="H50" s="82"/>
      <c r="I50" s="82"/>
      <c r="J50" s="82"/>
      <c r="K50" s="82"/>
      <c r="L50" s="82"/>
      <c r="M50" s="55"/>
      <c r="N50" s="55"/>
      <c r="O50" s="55"/>
      <c r="P50" s="55"/>
      <c r="Q50" s="55"/>
      <c r="S50" s="86"/>
      <c r="T50" t="s">
        <v>49</v>
      </c>
      <c r="U50" s="474">
        <f>ROUND(Runs!W64,-2)</f>
        <v>14600</v>
      </c>
      <c r="V50" s="475"/>
      <c r="W50" s="107">
        <f>ROUND(Conv!P30,-3)</f>
        <v>14000</v>
      </c>
      <c r="X50" s="107">
        <f>ROUND(Conv!T30,-3)</f>
        <v>27000</v>
      </c>
      <c r="Y50" s="423">
        <f>ROUND(Conv!X30,-3)</f>
        <v>41000</v>
      </c>
      <c r="Z50" s="55"/>
      <c r="AF50" s="327" t="s">
        <v>213</v>
      </c>
    </row>
    <row r="51" spans="1:32" x14ac:dyDescent="0.3">
      <c r="A51" s="82"/>
      <c r="B51" s="82"/>
      <c r="C51" s="82"/>
      <c r="D51" s="82"/>
      <c r="E51" s="82"/>
      <c r="F51" s="82"/>
      <c r="G51" s="82"/>
      <c r="H51" s="82"/>
      <c r="I51" s="82"/>
      <c r="J51" s="82"/>
      <c r="K51" s="82"/>
      <c r="L51" s="82"/>
      <c r="M51" s="55"/>
      <c r="N51" s="55"/>
      <c r="O51" s="55"/>
      <c r="P51" s="55"/>
      <c r="Q51" s="55"/>
      <c r="S51" s="96"/>
      <c r="T51" s="85" t="s">
        <v>222</v>
      </c>
      <c r="U51" s="476">
        <f>U50/U48</f>
        <v>0.74489795918367352</v>
      </c>
      <c r="V51" s="476"/>
      <c r="W51" s="433">
        <f t="shared" ref="W51:Y51" si="6">W50/W48</f>
        <v>0.35</v>
      </c>
      <c r="X51" s="433">
        <f t="shared" si="6"/>
        <v>0.19708029197080293</v>
      </c>
      <c r="Y51" s="434">
        <f t="shared" si="6"/>
        <v>0.19431279620853081</v>
      </c>
      <c r="Z51" s="55"/>
    </row>
    <row r="52" spans="1:32" x14ac:dyDescent="0.3">
      <c r="A52" s="82"/>
      <c r="B52" s="82"/>
      <c r="C52" s="82"/>
      <c r="D52" s="82"/>
      <c r="E52" s="82"/>
      <c r="F52" s="82"/>
      <c r="G52" s="82"/>
      <c r="H52" s="82"/>
      <c r="I52" s="82"/>
      <c r="J52" s="82"/>
      <c r="K52" s="82"/>
      <c r="L52" s="82"/>
      <c r="M52" s="55"/>
      <c r="N52" s="55"/>
      <c r="O52" s="55"/>
      <c r="P52" s="55"/>
      <c r="Q52" s="55"/>
      <c r="S52" s="204" t="s">
        <v>420</v>
      </c>
      <c r="T52" s="203"/>
      <c r="U52" s="470"/>
      <c r="V52" s="470"/>
      <c r="W52" s="431"/>
      <c r="X52" s="431"/>
      <c r="Y52" s="432"/>
      <c r="Z52" s="55"/>
    </row>
    <row r="53" spans="1:32" x14ac:dyDescent="0.3">
      <c r="A53" s="82"/>
      <c r="B53" s="82"/>
      <c r="C53" s="82"/>
      <c r="D53" s="82"/>
      <c r="E53" s="82"/>
      <c r="F53" s="82"/>
      <c r="G53" s="82"/>
      <c r="H53" s="82"/>
      <c r="I53" s="82"/>
      <c r="J53" s="82"/>
      <c r="K53" s="82"/>
      <c r="L53" s="82"/>
      <c r="M53" s="55"/>
      <c r="N53" s="55"/>
      <c r="O53" s="55"/>
      <c r="P53" s="55"/>
      <c r="Q53" s="55"/>
      <c r="S53" s="86"/>
      <c r="T53" t="s">
        <v>117</v>
      </c>
      <c r="U53" s="474">
        <f>ROUND(SUM(Runs!E64:H64),-2)</f>
        <v>1500</v>
      </c>
      <c r="V53" s="475"/>
      <c r="W53" s="107">
        <f>ROUND(Conv!P5,-3)</f>
        <v>8000</v>
      </c>
      <c r="X53" s="107">
        <f>ROUND(Conv!T5,-3)</f>
        <v>31000</v>
      </c>
      <c r="Y53" s="423">
        <f>ROUND(Conv!X5,-3)</f>
        <v>48000</v>
      </c>
      <c r="Z53" s="55"/>
    </row>
    <row r="54" spans="1:32" x14ac:dyDescent="0.3">
      <c r="A54" s="82"/>
      <c r="B54" s="82"/>
      <c r="C54" s="82"/>
      <c r="D54" s="82"/>
      <c r="E54" s="82"/>
      <c r="F54" s="82"/>
      <c r="G54" s="82"/>
      <c r="H54" s="82"/>
      <c r="I54" s="82"/>
      <c r="J54" s="82"/>
      <c r="K54" s="82"/>
      <c r="L54" s="82"/>
      <c r="M54" s="55"/>
      <c r="N54" s="55"/>
      <c r="O54" s="55"/>
      <c r="P54" s="55"/>
      <c r="Q54" s="55"/>
      <c r="S54" s="86"/>
      <c r="T54" t="s">
        <v>49</v>
      </c>
      <c r="U54" s="509"/>
      <c r="V54" s="510"/>
      <c r="W54" s="107"/>
      <c r="X54" s="107"/>
      <c r="Y54" s="423"/>
      <c r="Z54" s="55"/>
    </row>
    <row r="55" spans="1:32" x14ac:dyDescent="0.3">
      <c r="A55" s="82"/>
      <c r="B55" s="82"/>
      <c r="C55" s="424" t="s">
        <v>473</v>
      </c>
      <c r="E55" s="403">
        <f>U28</f>
        <v>1.7746114029037027E-2</v>
      </c>
      <c r="F55" s="82"/>
      <c r="G55" s="82"/>
      <c r="H55" s="82"/>
      <c r="I55" s="82"/>
      <c r="J55" s="82"/>
      <c r="K55" s="82"/>
      <c r="L55" s="82"/>
      <c r="M55" s="55"/>
      <c r="N55" s="55"/>
      <c r="O55" s="55"/>
      <c r="P55" s="55"/>
      <c r="Q55" s="55"/>
      <c r="S55" s="96"/>
      <c r="T55" s="85" t="s">
        <v>222</v>
      </c>
      <c r="U55" s="476"/>
      <c r="V55" s="476"/>
      <c r="W55" s="173"/>
      <c r="X55" s="173"/>
      <c r="Y55" s="246"/>
      <c r="Z55" s="55"/>
    </row>
    <row r="56" spans="1:32" x14ac:dyDescent="0.3">
      <c r="A56" s="82"/>
      <c r="B56" s="82"/>
      <c r="C56" s="425" t="s">
        <v>31</v>
      </c>
      <c r="E56" s="403">
        <f>U27</f>
        <v>6.4903871499289681E-2</v>
      </c>
      <c r="F56" s="82"/>
      <c r="G56" s="82"/>
      <c r="H56" s="82"/>
      <c r="I56" s="82"/>
      <c r="J56" s="82"/>
      <c r="K56" s="82"/>
      <c r="L56" s="82"/>
      <c r="M56" s="55"/>
      <c r="N56" s="55"/>
      <c r="O56" s="55"/>
      <c r="P56" s="55"/>
      <c r="Q56" s="55"/>
      <c r="S56" s="204" t="s">
        <v>224</v>
      </c>
      <c r="T56" s="203"/>
      <c r="U56" s="470">
        <f>U57+U58</f>
        <v>9700</v>
      </c>
      <c r="V56" s="470"/>
      <c r="W56" s="431">
        <f t="shared" ref="W56:Y56" si="7">W57+W58</f>
        <v>16000</v>
      </c>
      <c r="X56" s="431">
        <f t="shared" si="7"/>
        <v>68000</v>
      </c>
      <c r="Y56" s="432">
        <f t="shared" si="7"/>
        <v>126000</v>
      </c>
      <c r="Z56" s="55"/>
    </row>
    <row r="57" spans="1:32" x14ac:dyDescent="0.3">
      <c r="A57" s="82"/>
      <c r="B57" s="82"/>
      <c r="C57" s="424" t="s">
        <v>474</v>
      </c>
      <c r="E57" s="403">
        <f>U28-E58</f>
        <v>1.5746114029037028E-2</v>
      </c>
      <c r="F57" s="82"/>
      <c r="G57" s="82"/>
      <c r="H57" s="82"/>
      <c r="I57" s="82"/>
      <c r="J57" s="82"/>
      <c r="K57" s="82"/>
      <c r="L57" s="82"/>
      <c r="M57" s="55"/>
      <c r="N57" s="55"/>
      <c r="O57" s="55"/>
      <c r="P57" s="55"/>
      <c r="Q57" s="55"/>
      <c r="S57" s="86"/>
      <c r="T57" t="s">
        <v>117</v>
      </c>
      <c r="U57" s="474">
        <f>X30</f>
        <v>600</v>
      </c>
      <c r="V57" s="475"/>
      <c r="W57" s="107">
        <f>ROUND(Conv!Q16,-3)</f>
        <v>7000</v>
      </c>
      <c r="X57" s="107">
        <f>ROUND(Conv!U16,-3)</f>
        <v>50000</v>
      </c>
      <c r="Y57" s="423">
        <f>ROUND(Conv!Y16,-3)</f>
        <v>99000</v>
      </c>
      <c r="Z57" s="55"/>
      <c r="AF57" s="327" t="s">
        <v>199</v>
      </c>
    </row>
    <row r="58" spans="1:32" x14ac:dyDescent="0.3">
      <c r="A58" s="82"/>
      <c r="B58" s="82"/>
      <c r="C58" s="425" t="s">
        <v>33</v>
      </c>
      <c r="E58" s="426">
        <v>2E-3</v>
      </c>
      <c r="F58" s="82"/>
      <c r="G58" s="82"/>
      <c r="H58" s="82"/>
      <c r="I58" s="82"/>
      <c r="J58" s="82"/>
      <c r="K58" s="82"/>
      <c r="L58" s="82"/>
      <c r="M58" s="55"/>
      <c r="N58" s="55"/>
      <c r="O58" s="55"/>
      <c r="P58" s="55"/>
      <c r="Q58" s="55"/>
      <c r="S58" s="86"/>
      <c r="T58" t="s">
        <v>49</v>
      </c>
      <c r="U58" s="474">
        <f>X36</f>
        <v>9100</v>
      </c>
      <c r="V58" s="474"/>
      <c r="W58" s="107">
        <f>ROUND(Conv!Q40,-3)</f>
        <v>9000</v>
      </c>
      <c r="X58" s="107">
        <f>ROUND(Conv!U40,-3)</f>
        <v>18000</v>
      </c>
      <c r="Y58" s="423">
        <f>ROUND(Conv!Y40,-3)</f>
        <v>27000</v>
      </c>
      <c r="Z58" s="55"/>
    </row>
    <row r="59" spans="1:32" x14ac:dyDescent="0.3">
      <c r="A59" s="82"/>
      <c r="B59" s="55"/>
      <c r="C59" s="425" t="s">
        <v>35</v>
      </c>
      <c r="D59"/>
      <c r="E59">
        <v>0</v>
      </c>
      <c r="F59" s="55"/>
      <c r="G59" s="55"/>
      <c r="H59" s="55"/>
      <c r="I59" s="55"/>
      <c r="J59" s="55"/>
      <c r="K59" s="55"/>
      <c r="L59" s="55"/>
      <c r="M59" s="55"/>
      <c r="N59" s="55"/>
      <c r="O59" s="55"/>
      <c r="P59" s="55"/>
      <c r="Q59" s="55"/>
      <c r="S59" s="96"/>
      <c r="T59" s="85" t="s">
        <v>222</v>
      </c>
      <c r="U59" s="476">
        <f>U58/U56</f>
        <v>0.93814432989690721</v>
      </c>
      <c r="V59" s="476"/>
      <c r="W59" s="433">
        <f t="shared" ref="W59:Y59" si="8">W58/W56</f>
        <v>0.5625</v>
      </c>
      <c r="X59" s="433">
        <f t="shared" si="8"/>
        <v>0.26470588235294118</v>
      </c>
      <c r="Y59" s="434">
        <f t="shared" si="8"/>
        <v>0.21428571428571427</v>
      </c>
      <c r="Z59" s="55"/>
      <c r="AF59" s="327" t="s">
        <v>200</v>
      </c>
    </row>
    <row r="60" spans="1:32" x14ac:dyDescent="0.3">
      <c r="A60" s="82"/>
      <c r="B60" s="55"/>
      <c r="C60" s="424" t="s">
        <v>82</v>
      </c>
      <c r="D60"/>
      <c r="E60">
        <v>0</v>
      </c>
      <c r="F60" s="55"/>
      <c r="G60" s="55"/>
      <c r="H60" s="55"/>
      <c r="I60" s="55"/>
      <c r="J60" s="55"/>
      <c r="K60" s="55"/>
      <c r="L60" s="55"/>
      <c r="M60" s="55"/>
      <c r="N60" s="55"/>
      <c r="O60" s="55"/>
      <c r="P60" s="55"/>
      <c r="Q60" s="55"/>
      <c r="S60" s="204" t="s">
        <v>413</v>
      </c>
      <c r="T60" s="203"/>
      <c r="U60" s="470">
        <f>U56</f>
        <v>9700</v>
      </c>
      <c r="V60" s="470"/>
      <c r="W60" s="431">
        <f t="shared" ref="W60:Y60" si="9">W61+W62</f>
        <v>16000</v>
      </c>
      <c r="X60" s="431">
        <f t="shared" si="9"/>
        <v>68000</v>
      </c>
      <c r="Y60" s="432">
        <f t="shared" si="9"/>
        <v>126000</v>
      </c>
      <c r="Z60" s="55"/>
    </row>
    <row r="61" spans="1:32" x14ac:dyDescent="0.3">
      <c r="A61" s="82"/>
      <c r="B61" s="55"/>
      <c r="C61" s="55"/>
      <c r="D61" s="55"/>
      <c r="E61" s="55"/>
      <c r="F61" s="55"/>
      <c r="G61" s="55"/>
      <c r="H61" s="55"/>
      <c r="I61" s="55"/>
      <c r="J61" s="55"/>
      <c r="K61" s="55"/>
      <c r="L61" s="55"/>
      <c r="M61" s="55"/>
      <c r="N61" s="55"/>
      <c r="O61" s="55"/>
      <c r="P61" s="55"/>
      <c r="Q61" s="55"/>
      <c r="S61" s="86"/>
      <c r="T61" t="s">
        <v>117</v>
      </c>
      <c r="U61" s="474">
        <f>U57</f>
        <v>600</v>
      </c>
      <c r="V61" s="474"/>
      <c r="W61" s="107">
        <f>W57</f>
        <v>7000</v>
      </c>
      <c r="X61" s="107">
        <f t="shared" ref="X61:Y61" si="10">X57</f>
        <v>50000</v>
      </c>
      <c r="Y61" s="423">
        <f t="shared" si="10"/>
        <v>99000</v>
      </c>
      <c r="Z61" s="55"/>
    </row>
    <row r="62" spans="1:32" x14ac:dyDescent="0.3">
      <c r="A62" s="82"/>
      <c r="B62" s="82"/>
      <c r="C62" s="82"/>
      <c r="D62" s="82"/>
      <c r="E62" s="82"/>
      <c r="F62" s="82"/>
      <c r="G62" s="82"/>
      <c r="H62" s="82"/>
      <c r="I62" s="82"/>
      <c r="J62" s="82"/>
      <c r="K62" s="82"/>
      <c r="L62" s="82"/>
      <c r="M62" s="55"/>
      <c r="N62" s="55"/>
      <c r="O62" s="55"/>
      <c r="P62" s="55"/>
      <c r="Q62" s="55"/>
      <c r="S62" s="86"/>
      <c r="T62" t="s">
        <v>49</v>
      </c>
      <c r="U62" s="474">
        <f>U58</f>
        <v>9100</v>
      </c>
      <c r="V62" s="474"/>
      <c r="W62" s="107">
        <f t="shared" ref="W62:Y62" si="11">W58</f>
        <v>9000</v>
      </c>
      <c r="X62" s="107">
        <f t="shared" si="11"/>
        <v>18000</v>
      </c>
      <c r="Y62" s="423">
        <f t="shared" si="11"/>
        <v>27000</v>
      </c>
      <c r="Z62" s="55"/>
    </row>
    <row r="63" spans="1:32" x14ac:dyDescent="0.3">
      <c r="A63" s="82"/>
      <c r="B63" s="82"/>
      <c r="C63" s="82"/>
      <c r="D63" s="82"/>
      <c r="E63" s="82"/>
      <c r="F63" s="82"/>
      <c r="G63" s="82"/>
      <c r="H63" s="82"/>
      <c r="I63" s="82"/>
      <c r="J63" s="82"/>
      <c r="K63" s="82"/>
      <c r="L63" s="82"/>
      <c r="M63" s="55"/>
      <c r="N63" s="55"/>
      <c r="O63" s="55"/>
      <c r="P63" s="55"/>
      <c r="Q63" s="55"/>
      <c r="S63" s="96"/>
      <c r="T63" s="85" t="s">
        <v>222</v>
      </c>
      <c r="U63" s="476">
        <f>U59</f>
        <v>0.93814432989690721</v>
      </c>
      <c r="V63" s="476"/>
      <c r="W63" s="433">
        <f t="shared" ref="W63:Y63" si="12">W62/W60</f>
        <v>0.5625</v>
      </c>
      <c r="X63" s="433">
        <f t="shared" si="12"/>
        <v>0.26470588235294118</v>
      </c>
      <c r="Y63" s="434">
        <f t="shared" si="12"/>
        <v>0.21428571428571427</v>
      </c>
      <c r="Z63" s="55"/>
    </row>
    <row r="64" spans="1:32" x14ac:dyDescent="0.3">
      <c r="A64" s="82"/>
      <c r="B64" s="82"/>
      <c r="C64" s="82"/>
      <c r="D64" s="82"/>
      <c r="E64" s="82"/>
      <c r="F64" s="82"/>
      <c r="G64" s="82"/>
      <c r="H64" s="82"/>
      <c r="I64" s="82"/>
      <c r="J64" s="82"/>
      <c r="K64" s="82"/>
      <c r="L64" s="82"/>
      <c r="M64" s="55"/>
      <c r="N64" s="55"/>
      <c r="O64" s="55"/>
      <c r="P64" s="55"/>
      <c r="Q64" s="55"/>
      <c r="S64" s="55"/>
      <c r="T64" s="55"/>
      <c r="U64" s="55"/>
      <c r="V64" s="55"/>
      <c r="W64" s="55"/>
      <c r="X64" s="55"/>
      <c r="Y64" s="55"/>
      <c r="Z64" s="55"/>
    </row>
    <row r="65" spans="1:37" x14ac:dyDescent="0.3">
      <c r="A65" s="82"/>
      <c r="B65" s="82"/>
      <c r="C65" s="82"/>
      <c r="D65" s="82"/>
      <c r="E65" s="82"/>
      <c r="F65" s="82"/>
      <c r="G65" s="82"/>
      <c r="H65" s="82"/>
      <c r="I65" s="82"/>
      <c r="J65" s="82"/>
      <c r="K65" s="82"/>
      <c r="L65" s="82"/>
      <c r="M65" s="55"/>
      <c r="N65" s="55"/>
      <c r="O65" s="55"/>
      <c r="P65" s="55"/>
      <c r="Q65" s="55"/>
    </row>
    <row r="66" spans="1:37" x14ac:dyDescent="0.3">
      <c r="A66" s="82"/>
      <c r="B66" s="82"/>
      <c r="C66" s="82"/>
      <c r="D66" s="82"/>
      <c r="E66" s="82"/>
      <c r="F66" s="82"/>
      <c r="G66" s="82"/>
      <c r="H66" s="82"/>
      <c r="I66" s="82"/>
      <c r="J66" s="82"/>
      <c r="K66" s="82"/>
      <c r="L66" s="82"/>
      <c r="M66" s="55"/>
      <c r="N66" s="55"/>
      <c r="O66" s="55"/>
      <c r="P66" s="55"/>
      <c r="Q66" s="55"/>
    </row>
    <row r="67" spans="1:37" x14ac:dyDescent="0.3">
      <c r="A67" s="82"/>
      <c r="B67" s="82"/>
      <c r="C67" s="82"/>
      <c r="D67" s="82"/>
      <c r="E67" s="82"/>
      <c r="F67" s="82"/>
      <c r="G67" s="82"/>
      <c r="H67" s="82"/>
      <c r="I67" s="82"/>
      <c r="J67" s="82"/>
      <c r="K67" s="82"/>
      <c r="L67" s="82"/>
      <c r="M67" s="55"/>
      <c r="N67" s="55"/>
      <c r="O67" s="55"/>
      <c r="P67" s="55"/>
      <c r="Q67" s="55"/>
    </row>
    <row r="68" spans="1:37" x14ac:dyDescent="0.3">
      <c r="A68" s="82"/>
      <c r="B68" s="82"/>
      <c r="C68" s="82"/>
      <c r="D68" s="82"/>
      <c r="E68" s="82"/>
      <c r="F68" s="82"/>
      <c r="G68" s="82"/>
      <c r="H68" s="82"/>
      <c r="I68" s="82"/>
      <c r="J68" s="82"/>
      <c r="K68" s="82"/>
      <c r="L68" s="82"/>
      <c r="M68" s="55"/>
      <c r="N68" s="55"/>
      <c r="O68" s="55"/>
      <c r="P68" s="55"/>
      <c r="Q68" s="55"/>
    </row>
    <row r="69" spans="1:37" x14ac:dyDescent="0.3">
      <c r="A69" s="82"/>
      <c r="B69" s="82"/>
      <c r="C69" s="82"/>
      <c r="D69" s="82"/>
      <c r="E69" s="82"/>
      <c r="F69" s="82"/>
      <c r="G69" s="82"/>
      <c r="H69" s="82"/>
      <c r="I69" s="82"/>
      <c r="J69" s="82"/>
      <c r="K69" s="82"/>
      <c r="L69" s="82"/>
      <c r="M69" s="55"/>
      <c r="N69" s="55"/>
      <c r="O69" s="55"/>
      <c r="P69" s="55"/>
      <c r="Q69" s="55"/>
    </row>
    <row r="70" spans="1:37" s="441" customFormat="1" ht="18" x14ac:dyDescent="0.35">
      <c r="A70" s="440"/>
      <c r="B70" s="440"/>
      <c r="C70" s="440"/>
      <c r="E70" s="442" t="s">
        <v>42</v>
      </c>
      <c r="F70" s="443">
        <f>U30</f>
        <v>0.101147596669509</v>
      </c>
      <c r="G70" s="440"/>
      <c r="H70" s="440"/>
      <c r="I70" s="440"/>
      <c r="J70" s="440"/>
      <c r="K70" s="440"/>
      <c r="L70" s="442" t="s">
        <v>42</v>
      </c>
      <c r="M70" s="511">
        <f>V21</f>
        <v>935300</v>
      </c>
      <c r="N70" s="512"/>
      <c r="O70" s="444"/>
      <c r="P70" s="444"/>
      <c r="Q70" s="444"/>
      <c r="R70" s="444"/>
      <c r="AB70" s="445"/>
      <c r="AC70" s="445"/>
      <c r="AD70" s="445"/>
      <c r="AE70" s="445"/>
      <c r="AF70" s="445"/>
      <c r="AG70" s="445"/>
      <c r="AH70" s="445"/>
      <c r="AI70" s="445"/>
      <c r="AJ70" s="445"/>
      <c r="AK70" s="445"/>
    </row>
    <row r="71" spans="1:37" x14ac:dyDescent="0.3">
      <c r="A71" s="82"/>
      <c r="B71" s="82"/>
      <c r="C71" s="82"/>
      <c r="D71" s="82"/>
      <c r="E71" s="82"/>
      <c r="F71" s="82"/>
      <c r="G71" s="82"/>
      <c r="H71" s="82"/>
      <c r="I71" s="82"/>
      <c r="J71" s="82"/>
      <c r="K71" s="82"/>
      <c r="L71" s="82"/>
      <c r="M71" s="55"/>
      <c r="N71" s="55"/>
      <c r="O71" s="55"/>
      <c r="P71" s="55"/>
      <c r="Q71" s="55"/>
    </row>
    <row r="72" spans="1:37" x14ac:dyDescent="0.3">
      <c r="A72" s="82"/>
      <c r="B72" s="422"/>
      <c r="C72" s="82"/>
      <c r="D72" s="82"/>
      <c r="E72" s="82"/>
      <c r="F72" s="82"/>
      <c r="G72" s="82"/>
      <c r="H72" s="82"/>
      <c r="I72" s="82"/>
      <c r="J72" s="82"/>
      <c r="K72" s="82"/>
      <c r="L72" s="82"/>
      <c r="M72" s="55"/>
      <c r="N72" s="55"/>
      <c r="O72" s="55"/>
      <c r="P72" s="55"/>
      <c r="Q72" s="55"/>
    </row>
    <row r="73" spans="1:37" x14ac:dyDescent="0.3">
      <c r="A73" s="82"/>
      <c r="B73" s="82"/>
      <c r="C73" s="82"/>
      <c r="D73" s="82"/>
      <c r="E73" s="82"/>
      <c r="F73" s="82"/>
      <c r="G73" s="82"/>
      <c r="H73" s="82"/>
      <c r="I73" s="82"/>
      <c r="J73" s="82"/>
      <c r="K73" s="82"/>
      <c r="L73" s="82"/>
      <c r="M73" s="55"/>
      <c r="N73" s="55"/>
      <c r="O73" s="55"/>
      <c r="P73" s="55"/>
      <c r="Q73" s="55"/>
    </row>
    <row r="74" spans="1:37" x14ac:dyDescent="0.3">
      <c r="A74" s="82"/>
      <c r="B74" s="82"/>
      <c r="C74" s="82"/>
      <c r="D74" s="82"/>
      <c r="E74" s="82"/>
      <c r="F74" s="82"/>
      <c r="G74" s="82"/>
      <c r="H74" s="82"/>
      <c r="I74" s="82"/>
      <c r="J74" s="82"/>
      <c r="K74" s="82"/>
      <c r="L74" s="82"/>
      <c r="M74" s="55"/>
      <c r="N74" s="55"/>
      <c r="O74" s="55"/>
      <c r="P74" s="55"/>
      <c r="Q74" s="55"/>
    </row>
    <row r="75" spans="1:37" x14ac:dyDescent="0.3">
      <c r="A75" s="82"/>
      <c r="B75" s="82"/>
      <c r="C75" s="82"/>
      <c r="D75" s="82"/>
      <c r="E75" s="82"/>
      <c r="F75" s="82"/>
      <c r="G75" s="82"/>
      <c r="H75" s="82"/>
      <c r="I75" s="82"/>
      <c r="J75" s="82"/>
      <c r="K75" s="82"/>
      <c r="L75" s="82"/>
      <c r="M75" s="55"/>
      <c r="N75" s="55"/>
      <c r="O75" s="55"/>
      <c r="P75" s="55"/>
      <c r="Q75" s="55"/>
    </row>
    <row r="76" spans="1:37" x14ac:dyDescent="0.3">
      <c r="A76" s="82"/>
      <c r="B76" s="82"/>
      <c r="C76" s="82"/>
      <c r="D76" s="82"/>
      <c r="E76" s="82"/>
      <c r="F76" s="82"/>
      <c r="G76" s="82"/>
      <c r="H76" s="82"/>
      <c r="I76" s="82"/>
      <c r="J76" s="82"/>
      <c r="K76" s="82"/>
      <c r="L76" s="82"/>
      <c r="M76" s="55"/>
      <c r="N76" s="55"/>
      <c r="O76" s="55"/>
      <c r="P76" s="55"/>
      <c r="Q76" s="55"/>
    </row>
    <row r="77" spans="1:37" x14ac:dyDescent="0.3">
      <c r="A77" s="82"/>
      <c r="B77" s="82"/>
      <c r="C77" s="82"/>
      <c r="D77" s="82"/>
      <c r="E77" s="82"/>
      <c r="F77" s="82"/>
      <c r="G77" s="82"/>
      <c r="H77" s="82"/>
      <c r="I77" s="82"/>
      <c r="J77" s="82"/>
      <c r="K77" s="82"/>
      <c r="L77" s="82"/>
      <c r="M77" s="55"/>
      <c r="N77" s="55"/>
      <c r="O77" s="55"/>
      <c r="P77" s="55"/>
      <c r="Q77" s="55"/>
    </row>
    <row r="78" spans="1:37" x14ac:dyDescent="0.3">
      <c r="A78" s="82"/>
      <c r="B78" s="82"/>
      <c r="C78" s="82"/>
      <c r="D78" s="82"/>
      <c r="E78" s="82"/>
      <c r="F78" s="82"/>
      <c r="G78" s="82"/>
      <c r="H78" s="82"/>
      <c r="I78" s="82"/>
      <c r="J78" s="82"/>
      <c r="K78" s="82"/>
      <c r="L78" s="82"/>
      <c r="M78" s="55"/>
      <c r="N78" s="55"/>
      <c r="O78" s="55"/>
      <c r="P78" s="55"/>
      <c r="Q78" s="55"/>
    </row>
    <row r="79" spans="1:37" x14ac:dyDescent="0.3">
      <c r="A79" s="82"/>
      <c r="B79" s="82"/>
      <c r="C79" s="82"/>
      <c r="D79" s="82"/>
      <c r="E79" s="82"/>
      <c r="F79" s="82"/>
      <c r="G79" s="82"/>
      <c r="H79" s="82"/>
      <c r="I79" s="82"/>
      <c r="J79" s="82"/>
      <c r="K79" s="82"/>
      <c r="L79" s="82"/>
      <c r="M79" s="55"/>
      <c r="N79" s="55"/>
      <c r="O79" s="55"/>
      <c r="P79" s="55"/>
      <c r="Q79" s="55"/>
    </row>
    <row r="80" spans="1:37" x14ac:dyDescent="0.3">
      <c r="A80" s="82"/>
      <c r="B80" s="82"/>
      <c r="C80" s="82"/>
      <c r="D80" s="82"/>
      <c r="E80" s="82"/>
      <c r="F80" s="82"/>
      <c r="G80" s="82"/>
      <c r="H80" s="82"/>
      <c r="I80" s="82"/>
      <c r="J80" s="82"/>
      <c r="K80" s="82"/>
      <c r="L80" s="82"/>
      <c r="M80" s="55"/>
      <c r="N80" s="55"/>
      <c r="O80" s="55"/>
      <c r="P80" s="55"/>
      <c r="Q80" s="55"/>
    </row>
    <row r="81" spans="1:17" x14ac:dyDescent="0.3">
      <c r="A81" s="82"/>
      <c r="B81" s="82"/>
      <c r="C81" s="82"/>
      <c r="D81" s="82"/>
      <c r="E81" s="82"/>
      <c r="F81" s="82"/>
      <c r="G81" s="82"/>
      <c r="H81" s="82"/>
      <c r="I81" s="82"/>
      <c r="J81" s="82"/>
      <c r="K81" s="82"/>
      <c r="L81" s="82"/>
      <c r="M81" s="55"/>
      <c r="N81" s="55"/>
      <c r="O81" s="55"/>
      <c r="P81" s="55"/>
      <c r="Q81" s="55"/>
    </row>
    <row r="82" spans="1:17" x14ac:dyDescent="0.3">
      <c r="A82" s="82"/>
      <c r="B82" s="82"/>
      <c r="C82" s="82"/>
      <c r="D82" s="82"/>
      <c r="E82" s="82"/>
      <c r="F82" s="82"/>
      <c r="G82" s="82"/>
      <c r="H82" s="82"/>
      <c r="I82" s="82"/>
      <c r="J82" s="82"/>
      <c r="K82" s="82"/>
      <c r="L82" s="82"/>
      <c r="M82" s="55"/>
      <c r="N82" s="55"/>
      <c r="O82" s="55"/>
      <c r="P82" s="55"/>
      <c r="Q82" s="55"/>
    </row>
    <row r="83" spans="1:17" x14ac:dyDescent="0.3">
      <c r="A83" s="82"/>
      <c r="B83" s="82"/>
      <c r="C83" s="82"/>
      <c r="D83" s="82"/>
      <c r="E83" s="82"/>
      <c r="F83" s="82"/>
      <c r="G83" s="82"/>
      <c r="H83" s="82"/>
      <c r="I83" s="82"/>
      <c r="J83" s="82"/>
      <c r="K83" s="82"/>
      <c r="L83" s="82"/>
      <c r="M83" s="55"/>
      <c r="N83" s="55"/>
      <c r="O83" s="55"/>
      <c r="P83" s="55"/>
      <c r="Q83" s="55"/>
    </row>
    <row r="84" spans="1:17" x14ac:dyDescent="0.3">
      <c r="A84" s="82"/>
      <c r="B84" s="82"/>
      <c r="C84" s="82"/>
      <c r="D84" s="82"/>
      <c r="E84" s="82"/>
      <c r="F84" s="82"/>
      <c r="G84" s="82"/>
      <c r="H84" s="82"/>
      <c r="I84" s="82"/>
      <c r="J84" s="82"/>
      <c r="K84" s="82"/>
      <c r="L84" s="82"/>
      <c r="M84" s="55"/>
      <c r="N84" s="55"/>
      <c r="O84" s="55"/>
      <c r="P84" s="55"/>
      <c r="Q84" s="55"/>
    </row>
    <row r="85" spans="1:17" x14ac:dyDescent="0.3">
      <c r="A85" s="82"/>
      <c r="B85" s="82"/>
      <c r="C85" s="82"/>
      <c r="D85" s="82"/>
      <c r="E85" s="82"/>
      <c r="F85" s="82"/>
      <c r="G85" s="82"/>
      <c r="H85" s="82"/>
      <c r="I85" s="82"/>
      <c r="J85" s="82"/>
      <c r="K85" s="82"/>
      <c r="L85" s="82"/>
      <c r="M85" s="55"/>
      <c r="N85" s="55"/>
      <c r="O85" s="55"/>
      <c r="P85" s="55"/>
      <c r="Q85" s="55"/>
    </row>
    <row r="86" spans="1:17" x14ac:dyDescent="0.3">
      <c r="A86" s="82"/>
      <c r="B86" s="82"/>
      <c r="C86" s="82"/>
      <c r="D86" s="82"/>
      <c r="E86" s="82"/>
      <c r="F86" s="82"/>
      <c r="G86" s="82"/>
      <c r="H86" s="82"/>
      <c r="I86" s="82"/>
      <c r="J86" s="82"/>
      <c r="K86" s="82"/>
      <c r="L86" s="82"/>
      <c r="M86" s="55"/>
      <c r="N86" s="55"/>
      <c r="O86" s="55"/>
      <c r="P86" s="55"/>
      <c r="Q86" s="55"/>
    </row>
    <row r="87" spans="1:17" x14ac:dyDescent="0.3">
      <c r="A87" s="82"/>
      <c r="B87" s="82"/>
      <c r="C87" s="82"/>
      <c r="D87" s="82"/>
      <c r="E87" s="82"/>
      <c r="F87" s="82"/>
      <c r="G87" s="82"/>
      <c r="H87" s="82"/>
      <c r="I87" s="82"/>
      <c r="J87" s="82"/>
      <c r="K87" s="82"/>
      <c r="L87" s="82"/>
      <c r="M87" s="55"/>
      <c r="N87" s="55"/>
      <c r="O87" s="55"/>
      <c r="P87" s="55"/>
      <c r="Q87" s="55"/>
    </row>
    <row r="88" spans="1:17" x14ac:dyDescent="0.3">
      <c r="A88" s="82"/>
      <c r="B88" s="82"/>
      <c r="C88" s="82"/>
      <c r="D88" s="82"/>
      <c r="E88" s="82"/>
      <c r="F88" s="82"/>
      <c r="G88" s="82"/>
      <c r="H88" s="82"/>
      <c r="I88" s="55"/>
      <c r="J88" s="55"/>
      <c r="K88" s="55"/>
      <c r="L88" s="55"/>
      <c r="M88" s="55"/>
      <c r="N88" s="55"/>
      <c r="O88" s="55"/>
      <c r="P88" s="55"/>
      <c r="Q88" s="55"/>
    </row>
    <row r="89" spans="1:17" x14ac:dyDescent="0.3">
      <c r="I89"/>
      <c r="J89"/>
      <c r="K89"/>
      <c r="L89"/>
    </row>
    <row r="90" spans="1:17" x14ac:dyDescent="0.3">
      <c r="I90"/>
      <c r="J90"/>
      <c r="K90"/>
      <c r="L90"/>
    </row>
    <row r="91" spans="1:17" x14ac:dyDescent="0.3">
      <c r="I91"/>
      <c r="J91"/>
    </row>
    <row r="92" spans="1:17" x14ac:dyDescent="0.3">
      <c r="I92"/>
      <c r="J92"/>
    </row>
    <row r="93" spans="1:17" x14ac:dyDescent="0.3">
      <c r="I93"/>
      <c r="J93"/>
    </row>
    <row r="94" spans="1:17" x14ac:dyDescent="0.3">
      <c r="I94"/>
      <c r="J94"/>
    </row>
    <row r="95" spans="1:17" x14ac:dyDescent="0.3">
      <c r="I95"/>
      <c r="J95"/>
    </row>
    <row r="96" spans="1:17" x14ac:dyDescent="0.3">
      <c r="I96" s="55"/>
      <c r="J96"/>
    </row>
    <row r="97" spans="2:10" x14ac:dyDescent="0.3">
      <c r="B97" s="82"/>
      <c r="C97" s="82"/>
      <c r="D97" s="82"/>
      <c r="E97" s="82"/>
      <c r="F97" s="82"/>
      <c r="G97" s="82"/>
      <c r="H97" s="82"/>
      <c r="I97" s="55"/>
      <c r="J97"/>
    </row>
    <row r="98" spans="2:10" x14ac:dyDescent="0.3">
      <c r="B98" s="82"/>
      <c r="C98" s="82"/>
      <c r="D98" s="82"/>
      <c r="E98" s="82"/>
      <c r="F98" s="82"/>
      <c r="G98" s="82"/>
      <c r="H98" s="82"/>
      <c r="I98" s="55"/>
      <c r="J98"/>
    </row>
    <row r="99" spans="2:10" x14ac:dyDescent="0.3">
      <c r="B99" s="82"/>
      <c r="C99" s="82"/>
      <c r="D99" s="82"/>
      <c r="E99" s="82"/>
      <c r="F99" s="82"/>
      <c r="G99" s="82"/>
      <c r="H99" s="82"/>
      <c r="I99" s="55"/>
      <c r="J99"/>
    </row>
    <row r="100" spans="2:10" x14ac:dyDescent="0.3">
      <c r="B100" s="82"/>
      <c r="C100" s="82"/>
      <c r="D100" s="82"/>
      <c r="E100" s="82"/>
      <c r="F100" s="82"/>
      <c r="G100" s="82"/>
      <c r="H100" s="82"/>
      <c r="I100" s="55"/>
      <c r="J100"/>
    </row>
    <row r="101" spans="2:10" x14ac:dyDescent="0.3">
      <c r="B101" s="82"/>
      <c r="C101" s="82"/>
      <c r="D101" s="82"/>
      <c r="E101" s="82"/>
      <c r="F101" s="82"/>
      <c r="G101" s="82"/>
      <c r="H101" s="82"/>
      <c r="I101" s="55"/>
      <c r="J101"/>
    </row>
    <row r="102" spans="2:10" x14ac:dyDescent="0.3">
      <c r="B102" s="82"/>
      <c r="C102" s="82"/>
      <c r="D102" s="82"/>
      <c r="E102" s="82"/>
      <c r="F102" s="82"/>
      <c r="G102" s="82"/>
      <c r="H102" s="82"/>
      <c r="I102" s="55"/>
      <c r="J102"/>
    </row>
    <row r="103" spans="2:10" x14ac:dyDescent="0.3">
      <c r="B103" s="82"/>
      <c r="C103" s="82"/>
      <c r="D103" s="82"/>
      <c r="E103" s="82"/>
      <c r="F103" s="82"/>
      <c r="G103" s="82"/>
      <c r="H103" s="82"/>
      <c r="I103" s="55"/>
      <c r="J103"/>
    </row>
    <row r="104" spans="2:10" x14ac:dyDescent="0.3">
      <c r="B104" s="82"/>
      <c r="C104" s="82"/>
      <c r="D104" s="82"/>
      <c r="E104" s="82"/>
      <c r="F104" s="82"/>
      <c r="G104" s="82"/>
      <c r="H104" s="82"/>
      <c r="I104" s="55"/>
      <c r="J104"/>
    </row>
    <row r="105" spans="2:10" x14ac:dyDescent="0.3">
      <c r="B105" s="82"/>
      <c r="C105" s="82"/>
      <c r="D105" s="82"/>
      <c r="E105" s="82"/>
      <c r="F105" s="82"/>
      <c r="G105" s="82"/>
      <c r="H105" s="82"/>
      <c r="I105" s="55"/>
      <c r="J105"/>
    </row>
    <row r="106" spans="2:10" x14ac:dyDescent="0.3">
      <c r="B106" s="82"/>
      <c r="C106" s="82"/>
      <c r="D106" s="82"/>
      <c r="E106" s="82"/>
      <c r="F106" s="82"/>
      <c r="G106" s="82"/>
      <c r="H106" s="82"/>
      <c r="I106" s="55"/>
      <c r="J106"/>
    </row>
    <row r="107" spans="2:10" x14ac:dyDescent="0.3">
      <c r="B107" s="82"/>
      <c r="C107" s="82"/>
      <c r="D107" s="82"/>
      <c r="E107" s="82"/>
      <c r="F107" s="82"/>
      <c r="G107" s="82"/>
      <c r="H107" s="82"/>
      <c r="I107" s="55"/>
      <c r="J107"/>
    </row>
    <row r="108" spans="2:10" x14ac:dyDescent="0.3">
      <c r="B108" s="82"/>
      <c r="C108" s="82"/>
      <c r="D108" s="82"/>
      <c r="E108" s="82"/>
      <c r="F108" s="82"/>
      <c r="G108" s="82"/>
      <c r="H108" s="82"/>
      <c r="I108" s="55"/>
      <c r="J108"/>
    </row>
    <row r="109" spans="2:10" x14ac:dyDescent="0.3">
      <c r="I109" s="55"/>
      <c r="J109"/>
    </row>
    <row r="110" spans="2:10" x14ac:dyDescent="0.3">
      <c r="I110" s="55"/>
      <c r="J110"/>
    </row>
    <row r="111" spans="2:10" x14ac:dyDescent="0.3">
      <c r="I111"/>
      <c r="J111"/>
    </row>
    <row r="112" spans="2:10" x14ac:dyDescent="0.3">
      <c r="I112"/>
      <c r="J112"/>
    </row>
    <row r="113" spans="9:12" x14ac:dyDescent="0.3">
      <c r="I113"/>
      <c r="J113"/>
    </row>
    <row r="114" spans="9:12" x14ac:dyDescent="0.3">
      <c r="I114"/>
      <c r="J114"/>
    </row>
    <row r="115" spans="9:12" x14ac:dyDescent="0.3">
      <c r="I115"/>
      <c r="J115"/>
    </row>
    <row r="116" spans="9:12" x14ac:dyDescent="0.3">
      <c r="I116"/>
      <c r="J116"/>
    </row>
    <row r="117" spans="9:12" x14ac:dyDescent="0.3">
      <c r="I117"/>
      <c r="J117"/>
    </row>
    <row r="118" spans="9:12" x14ac:dyDescent="0.3">
      <c r="I118"/>
      <c r="J118"/>
    </row>
    <row r="119" spans="9:12" x14ac:dyDescent="0.3">
      <c r="I119"/>
      <c r="J119"/>
    </row>
    <row r="120" spans="9:12" x14ac:dyDescent="0.3">
      <c r="I120"/>
      <c r="J120"/>
    </row>
    <row r="121" spans="9:12" x14ac:dyDescent="0.3">
      <c r="I121"/>
      <c r="J121"/>
    </row>
    <row r="122" spans="9:12" x14ac:dyDescent="0.3">
      <c r="I122"/>
      <c r="J122"/>
    </row>
    <row r="123" spans="9:12" x14ac:dyDescent="0.3">
      <c r="I123"/>
      <c r="J123"/>
      <c r="K123"/>
      <c r="L123"/>
    </row>
    <row r="124" spans="9:12" x14ac:dyDescent="0.3">
      <c r="I124"/>
      <c r="J124"/>
      <c r="K124"/>
      <c r="L124"/>
    </row>
    <row r="125" spans="9:12" x14ac:dyDescent="0.3">
      <c r="I125"/>
      <c r="J125"/>
      <c r="K125"/>
      <c r="L125"/>
    </row>
  </sheetData>
  <sortState xmlns:xlrd2="http://schemas.microsoft.com/office/spreadsheetml/2017/richdata2" ref="T11:T12">
    <sortCondition ref="T11"/>
  </sortState>
  <mergeCells count="47">
    <mergeCell ref="U49:V49"/>
    <mergeCell ref="U50:V50"/>
    <mergeCell ref="U51:V51"/>
    <mergeCell ref="U44:V44"/>
    <mergeCell ref="M70:N70"/>
    <mergeCell ref="U60:V60"/>
    <mergeCell ref="U61:V61"/>
    <mergeCell ref="U62:V62"/>
    <mergeCell ref="U63:V63"/>
    <mergeCell ref="U57:V57"/>
    <mergeCell ref="U58:V58"/>
    <mergeCell ref="U59:V59"/>
    <mergeCell ref="U52:V52"/>
    <mergeCell ref="U53:V53"/>
    <mergeCell ref="U54:V54"/>
    <mergeCell ref="U55:V55"/>
    <mergeCell ref="U56:V56"/>
    <mergeCell ref="S31:S36"/>
    <mergeCell ref="S38:T39"/>
    <mergeCell ref="AB35:AB38"/>
    <mergeCell ref="AB39:AB40"/>
    <mergeCell ref="U38:V38"/>
    <mergeCell ref="U39:V39"/>
    <mergeCell ref="U40:V40"/>
    <mergeCell ref="W32:W35"/>
    <mergeCell ref="X19:Y19"/>
    <mergeCell ref="X20:Y20"/>
    <mergeCell ref="X21:Y21"/>
    <mergeCell ref="W26:W29"/>
    <mergeCell ref="S5:S9"/>
    <mergeCell ref="S25:S30"/>
    <mergeCell ref="X13:Y13"/>
    <mergeCell ref="X14:Y14"/>
    <mergeCell ref="X15:Y15"/>
    <mergeCell ref="X16:Y16"/>
    <mergeCell ref="X17:Y17"/>
    <mergeCell ref="X18:Y18"/>
    <mergeCell ref="V26:V27"/>
    <mergeCell ref="U48:V48"/>
    <mergeCell ref="Y26:Y29"/>
    <mergeCell ref="Y32:Y35"/>
    <mergeCell ref="U45:V45"/>
    <mergeCell ref="U46:V46"/>
    <mergeCell ref="U47:V47"/>
    <mergeCell ref="U41:V41"/>
    <mergeCell ref="U42:V42"/>
    <mergeCell ref="U43:V43"/>
  </mergeCells>
  <printOptions horizontalCentered="1"/>
  <pageMargins left="0.5" right="0.5" top="0.5" bottom="0.5" header="0.3" footer="0.3"/>
  <pageSetup scale="70" orientation="portrait" r:id="rId1"/>
  <headerFooter>
    <oddHeader>&amp;R&amp;D</oddHead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0"/>
  <sheetViews>
    <sheetView workbookViewId="0">
      <pane xSplit="2" ySplit="5" topLeftCell="C6" activePane="bottomRight" state="frozen"/>
      <selection pane="topRight" activeCell="C1" sqref="C1"/>
      <selection pane="bottomLeft" activeCell="A6" sqref="A6"/>
      <selection pane="bottomRight" activeCell="H27" sqref="H27"/>
    </sheetView>
  </sheetViews>
  <sheetFormatPr defaultColWidth="9.109375" defaultRowHeight="14.4" x14ac:dyDescent="0.3"/>
  <cols>
    <col min="2" max="2" width="17.44140625" customWidth="1"/>
    <col min="3" max="3" width="19.88671875" customWidth="1"/>
    <col min="4" max="4" width="13.44140625" customWidth="1"/>
    <col min="5" max="5" width="10.109375" customWidth="1"/>
    <col min="6" max="6" width="11.33203125" customWidth="1"/>
    <col min="7" max="7" width="10.6640625" style="11" customWidth="1"/>
    <col min="8" max="8" width="16" style="11" customWidth="1"/>
    <col min="9" max="9" width="9.109375" customWidth="1"/>
    <col min="10" max="10" width="11.44140625" customWidth="1"/>
    <col min="11" max="11" width="9.88671875" customWidth="1"/>
  </cols>
  <sheetData>
    <row r="1" spans="1:18" s="44" customFormat="1" ht="18" x14ac:dyDescent="0.35">
      <c r="A1" s="3"/>
      <c r="B1" s="1"/>
      <c r="C1" s="3"/>
      <c r="D1" s="1"/>
      <c r="E1" s="1"/>
      <c r="F1" s="1"/>
      <c r="G1" s="38"/>
      <c r="H1" s="38"/>
      <c r="I1" s="1"/>
      <c r="J1" s="1"/>
    </row>
    <row r="2" spans="1:18" s="44" customFormat="1" x14ac:dyDescent="0.3">
      <c r="A2" s="1" t="s">
        <v>47</v>
      </c>
      <c r="B2" s="1"/>
      <c r="C2" s="1"/>
      <c r="D2" s="1"/>
      <c r="E2" s="1"/>
      <c r="F2" s="1"/>
      <c r="G2" s="38"/>
      <c r="H2" s="38"/>
      <c r="I2" s="1"/>
      <c r="J2" s="1"/>
    </row>
    <row r="3" spans="1:18" s="7" customFormat="1" x14ac:dyDescent="0.3">
      <c r="A3" s="24"/>
      <c r="B3" s="24"/>
      <c r="C3" s="24"/>
      <c r="D3" s="24"/>
      <c r="E3" s="15" t="s">
        <v>25</v>
      </c>
      <c r="F3" s="25"/>
      <c r="G3" s="42" t="s">
        <v>10</v>
      </c>
      <c r="H3" s="42"/>
      <c r="I3" s="15"/>
      <c r="J3" s="15"/>
    </row>
    <row r="4" spans="1:18" s="7" customFormat="1" x14ac:dyDescent="0.3">
      <c r="A4" s="26" t="s">
        <v>6</v>
      </c>
      <c r="B4" s="26" t="s">
        <v>56</v>
      </c>
      <c r="C4" s="26" t="s">
        <v>57</v>
      </c>
      <c r="D4" s="26"/>
      <c r="E4" s="16" t="s">
        <v>3</v>
      </c>
      <c r="F4" s="16" t="s">
        <v>4</v>
      </c>
      <c r="G4" s="43" t="s">
        <v>44</v>
      </c>
      <c r="H4" s="43" t="s">
        <v>44</v>
      </c>
      <c r="I4" s="16" t="s">
        <v>45</v>
      </c>
      <c r="J4" s="16" t="s">
        <v>46</v>
      </c>
      <c r="L4" s="71" t="s">
        <v>71</v>
      </c>
      <c r="M4" s="7" t="s">
        <v>72</v>
      </c>
      <c r="N4" s="7" t="s">
        <v>73</v>
      </c>
      <c r="O4" s="7" t="s">
        <v>80</v>
      </c>
      <c r="R4" s="7" t="s">
        <v>69</v>
      </c>
    </row>
    <row r="5" spans="1:18" s="7" customFormat="1" x14ac:dyDescent="0.3">
      <c r="A5" s="26"/>
      <c r="B5" s="26"/>
      <c r="C5" s="26"/>
      <c r="D5" s="26"/>
      <c r="E5" s="16" t="s">
        <v>67</v>
      </c>
      <c r="F5" s="16" t="s">
        <v>68</v>
      </c>
      <c r="G5" s="43" t="s">
        <v>58</v>
      </c>
      <c r="H5" s="43"/>
      <c r="I5" s="16"/>
      <c r="J5" s="16"/>
    </row>
    <row r="6" spans="1:18" x14ac:dyDescent="0.3">
      <c r="A6" t="s">
        <v>55</v>
      </c>
      <c r="C6" s="69"/>
      <c r="D6" s="69"/>
      <c r="E6" s="11"/>
      <c r="F6" s="11"/>
    </row>
    <row r="7" spans="1:18" x14ac:dyDescent="0.3">
      <c r="C7" s="70"/>
      <c r="D7" s="8"/>
      <c r="E7" s="45"/>
      <c r="F7" s="45"/>
      <c r="G7" s="45"/>
      <c r="H7" s="45"/>
      <c r="I7" s="45"/>
      <c r="J7" s="45"/>
      <c r="K7" s="45"/>
      <c r="L7" s="45"/>
      <c r="M7" s="45"/>
      <c r="N7" s="45"/>
      <c r="O7" s="45"/>
      <c r="P7" s="45"/>
      <c r="Q7" s="45"/>
    </row>
    <row r="8" spans="1:18" x14ac:dyDescent="0.3">
      <c r="C8" s="69"/>
      <c r="D8" s="69"/>
      <c r="E8" s="45"/>
      <c r="F8" s="45"/>
      <c r="G8" s="45"/>
      <c r="H8" s="45"/>
      <c r="I8" s="45"/>
      <c r="J8" s="45"/>
      <c r="K8" s="45"/>
      <c r="L8" s="45"/>
      <c r="M8" s="45"/>
      <c r="N8" s="45"/>
      <c r="O8" s="45"/>
      <c r="P8" s="45"/>
      <c r="Q8" s="45"/>
    </row>
    <row r="9" spans="1:18" x14ac:dyDescent="0.3">
      <c r="C9" s="70"/>
      <c r="D9" s="8"/>
      <c r="E9" s="45"/>
      <c r="F9" s="45"/>
      <c r="G9" s="45"/>
      <c r="H9" s="45"/>
      <c r="I9" s="45"/>
      <c r="J9" s="45"/>
      <c r="K9" s="45"/>
      <c r="L9" s="45"/>
      <c r="M9" s="45"/>
      <c r="N9" s="45"/>
      <c r="O9" s="45"/>
      <c r="P9" s="45"/>
      <c r="Q9" s="45"/>
    </row>
    <row r="10" spans="1:18" x14ac:dyDescent="0.3">
      <c r="C10" s="36"/>
      <c r="D10" s="8"/>
      <c r="E10" s="45"/>
      <c r="F10" s="45"/>
      <c r="G10" s="45"/>
      <c r="H10" s="45"/>
      <c r="I10" s="45"/>
      <c r="J10" s="45"/>
      <c r="K10" s="45"/>
      <c r="L10" s="45"/>
      <c r="M10" s="45"/>
      <c r="N10" s="45"/>
      <c r="O10" s="45"/>
      <c r="P10" s="45"/>
      <c r="Q10" s="45"/>
    </row>
    <row r="11" spans="1:18" x14ac:dyDescent="0.3">
      <c r="C11" s="69"/>
      <c r="D11" s="69"/>
      <c r="E11" s="45"/>
      <c r="F11" s="45"/>
      <c r="G11" s="45"/>
      <c r="H11" s="45"/>
      <c r="I11" s="45"/>
      <c r="J11" s="45"/>
      <c r="K11" s="45"/>
      <c r="L11" s="45"/>
      <c r="M11" s="45"/>
      <c r="N11" s="45"/>
      <c r="O11" s="45"/>
      <c r="P11" s="45"/>
      <c r="Q11" s="45"/>
    </row>
    <row r="12" spans="1:18" x14ac:dyDescent="0.3">
      <c r="C12" s="69"/>
      <c r="D12" s="69"/>
      <c r="E12" s="45"/>
      <c r="F12" s="45"/>
      <c r="G12" s="45"/>
      <c r="H12" s="45"/>
      <c r="I12" s="45"/>
      <c r="J12" s="45"/>
      <c r="K12" s="45"/>
      <c r="L12" s="45"/>
      <c r="M12" s="45"/>
      <c r="N12" s="45"/>
      <c r="O12" s="45"/>
      <c r="P12" s="45"/>
      <c r="Q12" s="45"/>
    </row>
    <row r="13" spans="1:18" x14ac:dyDescent="0.3">
      <c r="C13" s="70"/>
      <c r="D13" s="8"/>
      <c r="E13" s="45"/>
      <c r="F13" s="45"/>
      <c r="G13" s="45"/>
      <c r="H13" s="45"/>
      <c r="I13" s="45"/>
      <c r="J13" s="45"/>
      <c r="K13" s="45"/>
      <c r="L13" s="45"/>
      <c r="M13" s="45"/>
      <c r="N13" s="45"/>
      <c r="O13" s="45"/>
      <c r="P13" s="45"/>
      <c r="Q13" s="45"/>
    </row>
    <row r="14" spans="1:18" x14ac:dyDescent="0.3">
      <c r="C14" s="70"/>
      <c r="D14" s="8"/>
      <c r="E14" s="45"/>
      <c r="F14" s="45"/>
      <c r="G14" s="45"/>
      <c r="H14" s="45"/>
      <c r="I14" s="45"/>
      <c r="J14" s="45"/>
      <c r="K14" s="45"/>
      <c r="L14" s="45"/>
      <c r="M14" s="45"/>
      <c r="N14" s="45"/>
      <c r="O14" s="45"/>
      <c r="P14" s="45"/>
      <c r="Q14" s="45"/>
    </row>
    <row r="15" spans="1:18" x14ac:dyDescent="0.3">
      <c r="C15" s="70"/>
      <c r="D15" s="8"/>
      <c r="E15" s="45"/>
      <c r="F15" s="45"/>
      <c r="G15" s="45"/>
      <c r="H15" s="45"/>
      <c r="I15" s="45"/>
      <c r="J15" s="45"/>
      <c r="K15" s="45"/>
      <c r="L15" s="45"/>
      <c r="M15" s="45"/>
      <c r="N15" s="45"/>
      <c r="O15" s="45"/>
      <c r="P15" s="45"/>
      <c r="Q15" s="45"/>
    </row>
    <row r="16" spans="1:18" x14ac:dyDescent="0.3">
      <c r="C16" s="70"/>
      <c r="D16" s="8"/>
      <c r="E16" s="45"/>
      <c r="F16" s="45"/>
      <c r="G16" s="45"/>
      <c r="H16" s="45"/>
      <c r="I16" s="45"/>
      <c r="J16" s="45"/>
      <c r="K16" s="45"/>
      <c r="L16" s="45"/>
      <c r="M16" s="45"/>
      <c r="N16" s="45"/>
      <c r="O16" s="45"/>
      <c r="P16" s="45"/>
      <c r="Q16" s="45"/>
    </row>
    <row r="17" spans="1:17" x14ac:dyDescent="0.3">
      <c r="C17" s="70"/>
      <c r="D17" s="8"/>
      <c r="E17" s="45"/>
      <c r="F17" s="45"/>
      <c r="G17" s="45"/>
      <c r="H17" s="45"/>
      <c r="I17" s="45"/>
      <c r="J17" s="45"/>
      <c r="K17" s="45"/>
      <c r="L17" s="45"/>
      <c r="M17" s="45"/>
      <c r="N17" s="45"/>
      <c r="O17" s="45"/>
      <c r="P17" s="45"/>
      <c r="Q17" s="45"/>
    </row>
    <row r="18" spans="1:17" x14ac:dyDescent="0.3">
      <c r="C18" s="69"/>
      <c r="D18" s="69"/>
      <c r="E18" s="45"/>
      <c r="F18" s="45"/>
      <c r="G18" s="45"/>
      <c r="H18" s="45"/>
      <c r="I18" s="45"/>
      <c r="J18" s="45"/>
      <c r="K18" s="45"/>
      <c r="L18" s="45"/>
      <c r="M18" s="45"/>
      <c r="N18" s="45"/>
      <c r="O18" s="45"/>
      <c r="P18" s="45"/>
      <c r="Q18" s="45"/>
    </row>
    <row r="19" spans="1:17" s="45" customFormat="1" x14ac:dyDescent="0.3"/>
    <row r="20" spans="1:17" s="45" customFormat="1" x14ac:dyDescent="0.3"/>
    <row r="21" spans="1:17" s="45" customFormat="1" x14ac:dyDescent="0.3"/>
    <row r="22" spans="1:17" x14ac:dyDescent="0.3">
      <c r="E22" s="45"/>
      <c r="F22" s="45"/>
      <c r="G22" s="45"/>
      <c r="H22" s="45"/>
      <c r="I22" s="45"/>
      <c r="J22" s="45"/>
      <c r="K22" s="45"/>
      <c r="L22" s="45"/>
      <c r="M22" s="45"/>
      <c r="N22" s="45"/>
      <c r="O22" s="45"/>
      <c r="P22" s="45"/>
      <c r="Q22" s="45"/>
    </row>
    <row r="23" spans="1:17" x14ac:dyDescent="0.3">
      <c r="A23" t="s">
        <v>46</v>
      </c>
      <c r="C23" s="69"/>
      <c r="D23" s="69"/>
      <c r="E23" s="45"/>
      <c r="F23" s="45"/>
      <c r="G23" s="45"/>
      <c r="H23" s="45"/>
      <c r="I23" s="45"/>
      <c r="J23" s="45"/>
      <c r="K23" s="45"/>
      <c r="L23" s="45"/>
      <c r="M23" s="45"/>
      <c r="N23" s="45"/>
      <c r="O23" s="45"/>
      <c r="P23" s="45"/>
      <c r="Q23" s="45"/>
    </row>
    <row r="24" spans="1:17" x14ac:dyDescent="0.3">
      <c r="C24" s="70"/>
      <c r="D24" s="8"/>
      <c r="E24" s="45"/>
      <c r="F24" s="45"/>
      <c r="G24" s="45"/>
      <c r="H24" s="45"/>
      <c r="I24" s="45"/>
      <c r="J24" s="45"/>
      <c r="K24" s="45"/>
      <c r="L24" s="45"/>
      <c r="M24" s="45"/>
      <c r="N24" s="45"/>
      <c r="O24" s="45"/>
      <c r="P24" s="45"/>
      <c r="Q24" s="45"/>
    </row>
    <row r="25" spans="1:17" x14ac:dyDescent="0.3">
      <c r="C25" s="69"/>
      <c r="D25" s="69"/>
      <c r="E25" s="45"/>
      <c r="F25" s="45"/>
      <c r="G25" s="45"/>
      <c r="H25" s="45"/>
      <c r="I25" s="45"/>
      <c r="J25" s="45"/>
      <c r="K25" s="45"/>
      <c r="L25" s="45"/>
      <c r="M25" s="45"/>
      <c r="N25" s="45"/>
      <c r="O25" s="45"/>
      <c r="P25" s="45"/>
      <c r="Q25" s="45"/>
    </row>
    <row r="26" spans="1:17" x14ac:dyDescent="0.3">
      <c r="C26" s="70"/>
      <c r="E26" s="45"/>
      <c r="F26" s="45"/>
      <c r="G26" s="45"/>
      <c r="H26" s="45"/>
      <c r="I26" s="45"/>
      <c r="J26" s="45"/>
      <c r="K26" s="45"/>
      <c r="L26" s="45"/>
      <c r="M26" s="45"/>
      <c r="N26" s="45"/>
      <c r="O26" s="45"/>
      <c r="P26" s="45"/>
      <c r="Q26" s="45"/>
    </row>
    <row r="27" spans="1:17" x14ac:dyDescent="0.3">
      <c r="C27" s="69"/>
      <c r="D27" s="69"/>
      <c r="E27" s="45"/>
      <c r="F27" s="45"/>
      <c r="G27" s="45"/>
      <c r="H27" s="45"/>
      <c r="I27" s="45"/>
      <c r="J27" s="45"/>
      <c r="K27" s="45"/>
      <c r="L27" s="45"/>
      <c r="M27" s="45"/>
      <c r="N27" s="45"/>
      <c r="O27" s="45"/>
      <c r="P27" s="45"/>
      <c r="Q27" s="45"/>
    </row>
    <row r="28" spans="1:17" x14ac:dyDescent="0.3">
      <c r="C28" s="69"/>
      <c r="D28" s="69"/>
      <c r="E28" s="45"/>
      <c r="F28" s="45"/>
      <c r="G28" s="45"/>
      <c r="H28" s="45"/>
      <c r="I28" s="45"/>
      <c r="J28" s="45"/>
      <c r="K28" s="45"/>
      <c r="L28" s="45"/>
      <c r="M28" s="45"/>
      <c r="N28" s="45"/>
      <c r="O28" s="45"/>
      <c r="P28" s="45"/>
      <c r="Q28" s="45"/>
    </row>
    <row r="29" spans="1:17" x14ac:dyDescent="0.3">
      <c r="C29" s="70"/>
      <c r="D29" s="8"/>
      <c r="E29" s="45"/>
      <c r="F29" s="45"/>
      <c r="G29" s="45"/>
      <c r="H29" s="45"/>
      <c r="I29" s="45"/>
      <c r="J29" s="45"/>
      <c r="K29" s="45"/>
      <c r="L29" s="45"/>
      <c r="M29" s="45"/>
      <c r="N29" s="45"/>
      <c r="O29" s="45"/>
      <c r="P29" s="45"/>
      <c r="Q29" s="45"/>
    </row>
    <row r="30" spans="1:17" x14ac:dyDescent="0.3">
      <c r="C30" s="70"/>
      <c r="D30" s="8"/>
      <c r="E30" s="45"/>
      <c r="F30" s="45"/>
      <c r="G30" s="45"/>
      <c r="H30" s="45"/>
      <c r="I30" s="45"/>
      <c r="J30" s="45"/>
      <c r="K30" s="45"/>
      <c r="L30" s="45"/>
      <c r="M30" s="45"/>
      <c r="N30" s="45"/>
      <c r="O30" s="45"/>
      <c r="P30" s="45"/>
      <c r="Q30" s="45"/>
    </row>
    <row r="31" spans="1:17" x14ac:dyDescent="0.3">
      <c r="B31" t="s">
        <v>123</v>
      </c>
      <c r="C31" s="70"/>
      <c r="D31" s="8"/>
      <c r="E31" s="45"/>
      <c r="F31" s="45"/>
      <c r="G31" s="45"/>
      <c r="H31" s="45"/>
      <c r="I31" s="45"/>
      <c r="J31" s="45"/>
      <c r="K31" s="45"/>
      <c r="L31" s="45"/>
      <c r="M31" s="45"/>
      <c r="N31" s="45"/>
      <c r="O31" s="45"/>
      <c r="P31" s="45"/>
      <c r="Q31" s="45"/>
    </row>
    <row r="32" spans="1:17" x14ac:dyDescent="0.3">
      <c r="B32" s="104" t="s">
        <v>119</v>
      </c>
      <c r="C32" s="104" t="s">
        <v>120</v>
      </c>
      <c r="G32"/>
      <c r="H32"/>
      <c r="N32" s="45"/>
      <c r="O32" s="45"/>
      <c r="P32" s="45"/>
      <c r="Q32" s="45"/>
    </row>
    <row r="33" spans="2:17" x14ac:dyDescent="0.3">
      <c r="B33" s="104" t="s">
        <v>121</v>
      </c>
      <c r="C33">
        <v>2008</v>
      </c>
      <c r="D33">
        <v>2009</v>
      </c>
      <c r="E33">
        <v>2010</v>
      </c>
      <c r="F33">
        <v>2011</v>
      </c>
      <c r="G33">
        <v>2012</v>
      </c>
      <c r="H33">
        <v>2013</v>
      </c>
      <c r="I33">
        <v>2014</v>
      </c>
      <c r="J33">
        <v>2015</v>
      </c>
      <c r="K33">
        <v>2016</v>
      </c>
      <c r="L33">
        <v>2017</v>
      </c>
      <c r="M33" t="s">
        <v>94</v>
      </c>
      <c r="N33" s="45"/>
      <c r="O33" s="45"/>
      <c r="P33" s="45"/>
      <c r="Q33" s="45"/>
    </row>
    <row r="34" spans="2:17" x14ac:dyDescent="0.3">
      <c r="B34" s="103" t="s">
        <v>98</v>
      </c>
      <c r="C34" s="11">
        <v>409477</v>
      </c>
      <c r="D34" s="11">
        <v>410930</v>
      </c>
      <c r="E34" s="11">
        <v>393705</v>
      </c>
      <c r="F34" s="11">
        <v>437712</v>
      </c>
      <c r="G34" s="11">
        <v>363710</v>
      </c>
      <c r="H34" s="11">
        <v>265942</v>
      </c>
      <c r="I34" s="11">
        <v>297901</v>
      </c>
      <c r="J34" s="11">
        <v>247801</v>
      </c>
      <c r="K34" s="11">
        <v>286410</v>
      </c>
      <c r="L34" s="11">
        <v>360909</v>
      </c>
      <c r="M34">
        <v>3474497</v>
      </c>
      <c r="N34" s="45"/>
      <c r="O34" s="105">
        <f>AVERAGE(H34:L34)</f>
        <v>291792.59999999998</v>
      </c>
      <c r="P34" s="45"/>
      <c r="Q34" s="45"/>
    </row>
    <row r="35" spans="2:17" x14ac:dyDescent="0.3">
      <c r="B35" s="103" t="s">
        <v>99</v>
      </c>
      <c r="C35" s="11">
        <v>175177</v>
      </c>
      <c r="D35" s="11">
        <v>162138</v>
      </c>
      <c r="E35" s="11">
        <v>124708</v>
      </c>
      <c r="F35" s="11">
        <v>159929</v>
      </c>
      <c r="G35" s="11">
        <v>121907</v>
      </c>
      <c r="H35" s="11">
        <v>77462</v>
      </c>
      <c r="I35" s="11">
        <v>73003</v>
      </c>
      <c r="J35" s="11">
        <v>113068</v>
      </c>
      <c r="K35" s="11">
        <v>98450</v>
      </c>
      <c r="L35" s="11">
        <v>90285</v>
      </c>
      <c r="M35">
        <v>1196127</v>
      </c>
      <c r="O35" s="105">
        <f t="shared" ref="O35:O37" si="0">AVERAGE(H35:L35)</f>
        <v>90453.6</v>
      </c>
    </row>
    <row r="36" spans="2:17" x14ac:dyDescent="0.3">
      <c r="B36" s="103" t="s">
        <v>122</v>
      </c>
      <c r="C36" s="11"/>
      <c r="D36" s="11"/>
      <c r="E36" s="11"/>
      <c r="F36" s="11"/>
      <c r="G36" s="11">
        <v>31860</v>
      </c>
      <c r="H36" s="11">
        <v>55541</v>
      </c>
      <c r="I36" s="11">
        <v>179885</v>
      </c>
      <c r="J36" s="11">
        <v>129463</v>
      </c>
      <c r="K36" s="11">
        <v>174443</v>
      </c>
      <c r="L36" s="11">
        <v>165550</v>
      </c>
      <c r="M36">
        <v>736742</v>
      </c>
      <c r="O36" s="105">
        <f t="shared" si="0"/>
        <v>140976.4</v>
      </c>
    </row>
    <row r="37" spans="2:17" x14ac:dyDescent="0.3">
      <c r="B37" s="103" t="s">
        <v>100</v>
      </c>
      <c r="C37" s="11">
        <v>306690</v>
      </c>
      <c r="D37" s="11">
        <v>327143</v>
      </c>
      <c r="E37" s="11">
        <v>484772</v>
      </c>
      <c r="F37" s="11">
        <v>360320</v>
      </c>
      <c r="G37" s="11">
        <v>205975</v>
      </c>
      <c r="H37" s="11">
        <v>248445</v>
      </c>
      <c r="I37" s="11">
        <v>229836</v>
      </c>
      <c r="J37" s="11">
        <v>264758</v>
      </c>
      <c r="K37" s="11">
        <v>197958</v>
      </c>
      <c r="L37" s="11">
        <v>269448</v>
      </c>
      <c r="M37">
        <v>2895345</v>
      </c>
      <c r="O37" s="105">
        <f t="shared" si="0"/>
        <v>242089</v>
      </c>
    </row>
    <row r="38" spans="2:17" x14ac:dyDescent="0.3">
      <c r="B38" s="103" t="s">
        <v>94</v>
      </c>
      <c r="C38">
        <v>891344</v>
      </c>
      <c r="D38">
        <v>900211</v>
      </c>
      <c r="E38">
        <v>1003185</v>
      </c>
      <c r="F38">
        <v>957961</v>
      </c>
      <c r="G38">
        <v>723452</v>
      </c>
      <c r="H38">
        <v>647390</v>
      </c>
      <c r="I38">
        <v>780625</v>
      </c>
      <c r="J38">
        <v>755090</v>
      </c>
      <c r="K38">
        <v>757261</v>
      </c>
      <c r="L38">
        <v>886192</v>
      </c>
      <c r="M38">
        <v>8302711</v>
      </c>
    </row>
    <row r="40" spans="2:17" x14ac:dyDescent="0.3">
      <c r="E40" s="41"/>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02C85-F6E6-402F-9434-7B13488A776A}">
  <dimension ref="A1:N31"/>
  <sheetViews>
    <sheetView workbookViewId="0">
      <selection activeCell="N9" sqref="N9"/>
    </sheetView>
  </sheetViews>
  <sheetFormatPr defaultRowHeight="14.4" x14ac:dyDescent="0.3"/>
  <cols>
    <col min="1" max="1" width="2.21875" customWidth="1"/>
    <col min="2" max="2" width="26.33203125" customWidth="1"/>
    <col min="3" max="3" width="20.44140625" customWidth="1"/>
    <col min="4" max="4" width="21.109375" customWidth="1"/>
    <col min="6" max="6" width="8.88671875" style="58"/>
    <col min="7" max="7" width="22.77734375" customWidth="1"/>
    <col min="8" max="8" width="12.21875" customWidth="1"/>
    <col min="9" max="9" width="14.21875" customWidth="1"/>
    <col min="10" max="10" width="16.5546875" customWidth="1"/>
    <col min="11" max="11" width="24.21875" customWidth="1"/>
    <col min="12" max="12" width="14.44140625" customWidth="1"/>
    <col min="13" max="13" width="15.109375" customWidth="1"/>
    <col min="14" max="14" width="55.88671875" customWidth="1"/>
  </cols>
  <sheetData>
    <row r="1" spans="1:14" x14ac:dyDescent="0.3">
      <c r="A1" s="340"/>
      <c r="B1" s="340" t="s">
        <v>320</v>
      </c>
      <c r="C1" s="340" t="s">
        <v>321</v>
      </c>
      <c r="D1" s="340" t="s">
        <v>322</v>
      </c>
      <c r="E1" s="340" t="s">
        <v>323</v>
      </c>
      <c r="F1" s="342" t="s">
        <v>324</v>
      </c>
      <c r="G1" s="341" t="s">
        <v>6</v>
      </c>
      <c r="H1" s="341" t="s">
        <v>325</v>
      </c>
      <c r="I1" s="340" t="s">
        <v>326</v>
      </c>
      <c r="J1" s="341" t="s">
        <v>327</v>
      </c>
      <c r="K1" s="341" t="s">
        <v>328</v>
      </c>
      <c r="L1" s="340" t="s">
        <v>329</v>
      </c>
      <c r="M1" s="340" t="s">
        <v>330</v>
      </c>
      <c r="N1" s="340" t="s">
        <v>331</v>
      </c>
    </row>
    <row r="2" spans="1:14" x14ac:dyDescent="0.3">
      <c r="B2" t="s">
        <v>332</v>
      </c>
      <c r="C2" t="s">
        <v>70</v>
      </c>
      <c r="D2" s="87" t="s">
        <v>108</v>
      </c>
      <c r="E2" t="s">
        <v>84</v>
      </c>
      <c r="F2" s="37" t="str">
        <f>Summary!U5</f>
        <v>na</v>
      </c>
      <c r="G2" t="s">
        <v>334</v>
      </c>
      <c r="H2" s="23" t="s">
        <v>43</v>
      </c>
      <c r="I2" s="23" t="s">
        <v>43</v>
      </c>
      <c r="J2" s="23" t="s">
        <v>43</v>
      </c>
      <c r="K2" s="8" t="s">
        <v>338</v>
      </c>
      <c r="N2" t="s">
        <v>336</v>
      </c>
    </row>
    <row r="3" spans="1:14" x14ac:dyDescent="0.3">
      <c r="B3" t="s">
        <v>332</v>
      </c>
      <c r="C3" t="s">
        <v>70</v>
      </c>
      <c r="D3" s="87" t="s">
        <v>87</v>
      </c>
      <c r="E3" t="s">
        <v>84</v>
      </c>
      <c r="F3" s="37">
        <f>Summary!U6</f>
        <v>140</v>
      </c>
      <c r="G3" t="s">
        <v>334</v>
      </c>
      <c r="H3" t="s">
        <v>335</v>
      </c>
      <c r="J3" s="8" t="s">
        <v>370</v>
      </c>
      <c r="K3" s="8" t="s">
        <v>338</v>
      </c>
      <c r="L3" t="s">
        <v>368</v>
      </c>
      <c r="M3" s="343" t="s">
        <v>369</v>
      </c>
    </row>
    <row r="4" spans="1:14" x14ac:dyDescent="0.3">
      <c r="B4" t="s">
        <v>332</v>
      </c>
      <c r="C4" t="s">
        <v>70</v>
      </c>
      <c r="D4" t="s">
        <v>85</v>
      </c>
      <c r="E4" t="s">
        <v>84</v>
      </c>
      <c r="F4" s="37">
        <f>Summary!U7</f>
        <v>790</v>
      </c>
      <c r="G4" t="s">
        <v>334</v>
      </c>
      <c r="H4" t="s">
        <v>335</v>
      </c>
      <c r="J4" s="8" t="s">
        <v>370</v>
      </c>
      <c r="K4" s="8" t="s">
        <v>338</v>
      </c>
      <c r="L4" t="s">
        <v>368</v>
      </c>
      <c r="M4" s="343" t="s">
        <v>369</v>
      </c>
    </row>
    <row r="5" spans="1:14" x14ac:dyDescent="0.3">
      <c r="B5" t="s">
        <v>332</v>
      </c>
      <c r="C5" t="s">
        <v>70</v>
      </c>
      <c r="D5" t="s">
        <v>88</v>
      </c>
      <c r="E5" t="s">
        <v>84</v>
      </c>
      <c r="F5" s="37">
        <f>Summary!U8</f>
        <v>240</v>
      </c>
      <c r="G5" t="s">
        <v>334</v>
      </c>
      <c r="H5" t="s">
        <v>335</v>
      </c>
      <c r="J5" s="8" t="s">
        <v>370</v>
      </c>
      <c r="K5" s="8" t="s">
        <v>338</v>
      </c>
      <c r="L5" t="s">
        <v>368</v>
      </c>
      <c r="M5" s="343" t="s">
        <v>369</v>
      </c>
    </row>
    <row r="6" spans="1:14" x14ac:dyDescent="0.3">
      <c r="B6" t="s">
        <v>332</v>
      </c>
      <c r="C6" t="s">
        <v>70</v>
      </c>
      <c r="D6" t="s">
        <v>86</v>
      </c>
      <c r="E6" t="s">
        <v>84</v>
      </c>
      <c r="F6" s="37">
        <f>Summary!U9</f>
        <v>310</v>
      </c>
      <c r="G6" t="s">
        <v>334</v>
      </c>
      <c r="H6" t="s">
        <v>335</v>
      </c>
      <c r="J6" s="8" t="s">
        <v>370</v>
      </c>
      <c r="K6" s="8" t="s">
        <v>338</v>
      </c>
      <c r="L6" t="s">
        <v>368</v>
      </c>
      <c r="M6" s="343" t="s">
        <v>369</v>
      </c>
    </row>
    <row r="7" spans="1:14" s="85" customFormat="1" x14ac:dyDescent="0.3">
      <c r="B7" s="85" t="s">
        <v>332</v>
      </c>
      <c r="C7" s="85" t="s">
        <v>70</v>
      </c>
      <c r="D7" s="85" t="s">
        <v>313</v>
      </c>
      <c r="E7" s="85" t="s">
        <v>84</v>
      </c>
      <c r="F7" s="295">
        <f>Summary!U10</f>
        <v>0</v>
      </c>
      <c r="G7" s="85" t="s">
        <v>334</v>
      </c>
      <c r="I7" s="85" t="s">
        <v>364</v>
      </c>
      <c r="J7" s="173" t="s">
        <v>365</v>
      </c>
      <c r="K7" s="173" t="s">
        <v>338</v>
      </c>
      <c r="L7" s="85" t="s">
        <v>343</v>
      </c>
    </row>
    <row r="8" spans="1:14" x14ac:dyDescent="0.3">
      <c r="B8" t="s">
        <v>332</v>
      </c>
      <c r="C8" t="s">
        <v>70</v>
      </c>
      <c r="D8" s="87" t="s">
        <v>108</v>
      </c>
      <c r="E8" t="s">
        <v>4</v>
      </c>
      <c r="F8" s="37">
        <f>Summary!V5</f>
        <v>0</v>
      </c>
      <c r="G8" t="s">
        <v>334</v>
      </c>
      <c r="H8" s="23" t="s">
        <v>43</v>
      </c>
      <c r="I8" s="23" t="s">
        <v>43</v>
      </c>
      <c r="J8" s="8" t="s">
        <v>358</v>
      </c>
      <c r="K8" s="8" t="s">
        <v>338</v>
      </c>
      <c r="L8" t="s">
        <v>343</v>
      </c>
      <c r="N8" t="s">
        <v>336</v>
      </c>
    </row>
    <row r="9" spans="1:14" x14ac:dyDescent="0.3">
      <c r="B9" t="s">
        <v>332</v>
      </c>
      <c r="C9" t="s">
        <v>70</v>
      </c>
      <c r="D9" s="87" t="s">
        <v>87</v>
      </c>
      <c r="E9" t="s">
        <v>4</v>
      </c>
      <c r="F9" s="37">
        <f>Summary!V6</f>
        <v>500</v>
      </c>
      <c r="G9" t="s">
        <v>334</v>
      </c>
      <c r="I9" t="s">
        <v>360</v>
      </c>
      <c r="J9" s="8" t="s">
        <v>358</v>
      </c>
      <c r="K9" s="8" t="s">
        <v>338</v>
      </c>
      <c r="L9" t="s">
        <v>343</v>
      </c>
      <c r="N9" t="s">
        <v>359</v>
      </c>
    </row>
    <row r="10" spans="1:14" x14ac:dyDescent="0.3">
      <c r="B10" t="s">
        <v>332</v>
      </c>
      <c r="C10" t="s">
        <v>70</v>
      </c>
      <c r="D10" t="s">
        <v>85</v>
      </c>
      <c r="E10" t="s">
        <v>4</v>
      </c>
      <c r="F10" s="37">
        <f>Summary!V7</f>
        <v>3600</v>
      </c>
      <c r="G10" t="s">
        <v>334</v>
      </c>
      <c r="I10" t="s">
        <v>360</v>
      </c>
      <c r="J10" s="8" t="s">
        <v>358</v>
      </c>
      <c r="K10" s="8" t="s">
        <v>338</v>
      </c>
      <c r="L10" t="s">
        <v>343</v>
      </c>
      <c r="N10" t="s">
        <v>359</v>
      </c>
    </row>
    <row r="11" spans="1:14" x14ac:dyDescent="0.3">
      <c r="B11" t="s">
        <v>332</v>
      </c>
      <c r="C11" t="s">
        <v>70</v>
      </c>
      <c r="D11" t="s">
        <v>88</v>
      </c>
      <c r="E11" t="s">
        <v>4</v>
      </c>
      <c r="F11" s="37">
        <f>Summary!V8</f>
        <v>10000</v>
      </c>
      <c r="G11" t="s">
        <v>334</v>
      </c>
      <c r="I11" t="s">
        <v>362</v>
      </c>
      <c r="J11" s="8" t="s">
        <v>358</v>
      </c>
      <c r="K11" s="8" t="s">
        <v>338</v>
      </c>
      <c r="L11" t="s">
        <v>343</v>
      </c>
      <c r="N11" t="s">
        <v>361</v>
      </c>
    </row>
    <row r="12" spans="1:14" x14ac:dyDescent="0.3">
      <c r="B12" t="s">
        <v>332</v>
      </c>
      <c r="C12" t="s">
        <v>70</v>
      </c>
      <c r="D12" t="s">
        <v>86</v>
      </c>
      <c r="E12" t="s">
        <v>4</v>
      </c>
      <c r="F12" s="37">
        <f>Summary!V9</f>
        <v>7300</v>
      </c>
      <c r="G12" t="s">
        <v>334</v>
      </c>
      <c r="I12" t="s">
        <v>360</v>
      </c>
      <c r="J12" s="8" t="s">
        <v>358</v>
      </c>
      <c r="K12" s="8" t="s">
        <v>338</v>
      </c>
      <c r="L12" t="s">
        <v>343</v>
      </c>
      <c r="N12" t="s">
        <v>359</v>
      </c>
    </row>
    <row r="13" spans="1:14" s="85" customFormat="1" x14ac:dyDescent="0.3">
      <c r="B13" s="85" t="s">
        <v>332</v>
      </c>
      <c r="C13" s="85" t="s">
        <v>70</v>
      </c>
      <c r="D13" s="85" t="s">
        <v>313</v>
      </c>
      <c r="E13" s="85" t="s">
        <v>4</v>
      </c>
      <c r="F13" s="295">
        <f>Summary!V10</f>
        <v>1100000</v>
      </c>
      <c r="G13" s="85" t="s">
        <v>334</v>
      </c>
      <c r="I13" s="85" t="s">
        <v>360</v>
      </c>
      <c r="J13" s="173" t="s">
        <v>358</v>
      </c>
      <c r="K13" s="173" t="s">
        <v>338</v>
      </c>
      <c r="L13" s="85" t="s">
        <v>343</v>
      </c>
      <c r="N13" s="85" t="s">
        <v>363</v>
      </c>
    </row>
    <row r="14" spans="1:14" x14ac:dyDescent="0.3">
      <c r="B14" t="s">
        <v>332</v>
      </c>
      <c r="C14" t="s">
        <v>70</v>
      </c>
      <c r="D14" s="87" t="s">
        <v>108</v>
      </c>
      <c r="E14" t="s">
        <v>310</v>
      </c>
      <c r="F14" s="37" t="str">
        <f>Summary!W5</f>
        <v>--</v>
      </c>
      <c r="G14" t="s">
        <v>334</v>
      </c>
      <c r="H14" s="23" t="s">
        <v>43</v>
      </c>
      <c r="I14" s="23" t="s">
        <v>43</v>
      </c>
      <c r="J14" s="8" t="s">
        <v>338</v>
      </c>
      <c r="K14" s="23" t="s">
        <v>43</v>
      </c>
      <c r="N14" t="s">
        <v>336</v>
      </c>
    </row>
    <row r="15" spans="1:14" x14ac:dyDescent="0.3">
      <c r="B15" t="s">
        <v>332</v>
      </c>
      <c r="C15" t="s">
        <v>70</v>
      </c>
      <c r="D15" s="87" t="s">
        <v>87</v>
      </c>
      <c r="E15" t="s">
        <v>310</v>
      </c>
      <c r="F15" s="37">
        <f>Summary!W6</f>
        <v>500</v>
      </c>
      <c r="G15" t="s">
        <v>334</v>
      </c>
      <c r="H15" t="s">
        <v>335</v>
      </c>
      <c r="I15" t="s">
        <v>337</v>
      </c>
      <c r="J15" s="8" t="s">
        <v>338</v>
      </c>
      <c r="K15" s="8" t="s">
        <v>339</v>
      </c>
      <c r="L15" t="s">
        <v>340</v>
      </c>
      <c r="M15" s="343" t="s">
        <v>341</v>
      </c>
    </row>
    <row r="16" spans="1:14" x14ac:dyDescent="0.3">
      <c r="B16" t="s">
        <v>332</v>
      </c>
      <c r="C16" t="s">
        <v>70</v>
      </c>
      <c r="D16" t="s">
        <v>85</v>
      </c>
      <c r="E16" t="s">
        <v>310</v>
      </c>
      <c r="F16" s="37">
        <f>Summary!W7</f>
        <v>1000</v>
      </c>
      <c r="G16" t="s">
        <v>334</v>
      </c>
      <c r="H16" t="s">
        <v>335</v>
      </c>
      <c r="I16" t="s">
        <v>337</v>
      </c>
      <c r="J16" s="8" t="s">
        <v>338</v>
      </c>
      <c r="K16" s="8" t="s">
        <v>339</v>
      </c>
      <c r="L16" t="s">
        <v>340</v>
      </c>
      <c r="M16" s="343" t="s">
        <v>341</v>
      </c>
    </row>
    <row r="17" spans="2:14" x14ac:dyDescent="0.3">
      <c r="B17" t="s">
        <v>332</v>
      </c>
      <c r="C17" t="s">
        <v>70</v>
      </c>
      <c r="D17" t="s">
        <v>88</v>
      </c>
      <c r="E17" t="s">
        <v>310</v>
      </c>
      <c r="F17" s="37">
        <f>Summary!W8</f>
        <v>500</v>
      </c>
      <c r="G17" t="s">
        <v>334</v>
      </c>
      <c r="H17" t="s">
        <v>335</v>
      </c>
      <c r="I17" t="s">
        <v>337</v>
      </c>
      <c r="J17" s="8" t="s">
        <v>338</v>
      </c>
      <c r="K17" s="8" t="s">
        <v>339</v>
      </c>
      <c r="L17" t="s">
        <v>340</v>
      </c>
      <c r="M17" s="343" t="s">
        <v>341</v>
      </c>
    </row>
    <row r="18" spans="2:14" x14ac:dyDescent="0.3">
      <c r="B18" t="s">
        <v>332</v>
      </c>
      <c r="C18" t="s">
        <v>70</v>
      </c>
      <c r="D18" t="s">
        <v>86</v>
      </c>
      <c r="E18" t="s">
        <v>310</v>
      </c>
      <c r="F18" s="37">
        <f>Summary!W9</f>
        <v>1000</v>
      </c>
      <c r="G18" t="s">
        <v>334</v>
      </c>
      <c r="H18" t="s">
        <v>335</v>
      </c>
      <c r="I18" t="s">
        <v>337</v>
      </c>
      <c r="J18" s="8" t="s">
        <v>338</v>
      </c>
      <c r="K18" s="8" t="s">
        <v>339</v>
      </c>
      <c r="L18" t="s">
        <v>340</v>
      </c>
      <c r="M18" s="343" t="s">
        <v>341</v>
      </c>
    </row>
    <row r="19" spans="2:14" s="85" customFormat="1" x14ac:dyDescent="0.3">
      <c r="B19" s="85" t="s">
        <v>332</v>
      </c>
      <c r="C19" s="85" t="s">
        <v>70</v>
      </c>
      <c r="D19" s="85" t="s">
        <v>313</v>
      </c>
      <c r="E19" s="85" t="s">
        <v>310</v>
      </c>
      <c r="F19" s="295">
        <f>Summary!W10</f>
        <v>4500</v>
      </c>
      <c r="G19" s="85" t="s">
        <v>334</v>
      </c>
      <c r="H19" s="85" t="s">
        <v>335</v>
      </c>
      <c r="I19" s="85" t="s">
        <v>337</v>
      </c>
      <c r="J19" s="173" t="s">
        <v>338</v>
      </c>
      <c r="K19" s="173" t="s">
        <v>342</v>
      </c>
      <c r="L19" s="85" t="s">
        <v>343</v>
      </c>
      <c r="N19" s="85" t="s">
        <v>344</v>
      </c>
    </row>
    <row r="20" spans="2:14" x14ac:dyDescent="0.3">
      <c r="B20" t="s">
        <v>332</v>
      </c>
      <c r="C20" t="s">
        <v>70</v>
      </c>
      <c r="D20" s="87" t="s">
        <v>108</v>
      </c>
      <c r="E20" t="s">
        <v>311</v>
      </c>
      <c r="F20" s="37" t="str">
        <f>Summary!X5</f>
        <v>--</v>
      </c>
      <c r="G20" t="s">
        <v>334</v>
      </c>
      <c r="H20" s="23" t="s">
        <v>43</v>
      </c>
      <c r="I20" s="23" t="s">
        <v>43</v>
      </c>
      <c r="J20" s="8" t="s">
        <v>338</v>
      </c>
      <c r="K20" s="23" t="s">
        <v>43</v>
      </c>
      <c r="L20" t="s">
        <v>343</v>
      </c>
      <c r="N20" t="s">
        <v>336</v>
      </c>
    </row>
    <row r="21" spans="2:14" x14ac:dyDescent="0.3">
      <c r="B21" t="s">
        <v>332</v>
      </c>
      <c r="C21" t="s">
        <v>70</v>
      </c>
      <c r="D21" s="87" t="s">
        <v>87</v>
      </c>
      <c r="E21" t="s">
        <v>311</v>
      </c>
      <c r="F21" s="37">
        <f>Summary!X6</f>
        <v>1000</v>
      </c>
      <c r="G21" t="s">
        <v>334</v>
      </c>
      <c r="H21" t="s">
        <v>335</v>
      </c>
      <c r="I21" t="s">
        <v>346</v>
      </c>
      <c r="J21" s="8" t="s">
        <v>338</v>
      </c>
      <c r="K21" s="8" t="s">
        <v>347</v>
      </c>
      <c r="L21" t="s">
        <v>343</v>
      </c>
    </row>
    <row r="22" spans="2:14" x14ac:dyDescent="0.3">
      <c r="B22" t="s">
        <v>332</v>
      </c>
      <c r="C22" t="s">
        <v>70</v>
      </c>
      <c r="D22" t="s">
        <v>85</v>
      </c>
      <c r="E22" t="s">
        <v>311</v>
      </c>
      <c r="F22" s="37">
        <f>Summary!X7</f>
        <v>1100</v>
      </c>
      <c r="G22" t="s">
        <v>334</v>
      </c>
      <c r="H22" t="s">
        <v>335</v>
      </c>
      <c r="I22" t="s">
        <v>353</v>
      </c>
      <c r="J22" s="8" t="s">
        <v>338</v>
      </c>
      <c r="K22" s="8" t="s">
        <v>357</v>
      </c>
      <c r="L22" t="s">
        <v>343</v>
      </c>
      <c r="M22" s="343" t="s">
        <v>351</v>
      </c>
      <c r="N22" t="s">
        <v>352</v>
      </c>
    </row>
    <row r="23" spans="2:14" x14ac:dyDescent="0.3">
      <c r="B23" t="s">
        <v>332</v>
      </c>
      <c r="C23" t="s">
        <v>70</v>
      </c>
      <c r="D23" t="s">
        <v>88</v>
      </c>
      <c r="E23" t="s">
        <v>311</v>
      </c>
      <c r="F23" s="37">
        <f>Summary!X8</f>
        <v>1900</v>
      </c>
      <c r="G23" t="s">
        <v>334</v>
      </c>
      <c r="H23" t="s">
        <v>335</v>
      </c>
      <c r="I23" t="s">
        <v>353</v>
      </c>
      <c r="J23" s="8" t="s">
        <v>338</v>
      </c>
      <c r="K23" s="8" t="s">
        <v>357</v>
      </c>
      <c r="L23" t="s">
        <v>343</v>
      </c>
      <c r="M23" s="344" t="s">
        <v>355</v>
      </c>
      <c r="N23" t="s">
        <v>354</v>
      </c>
    </row>
    <row r="24" spans="2:14" x14ac:dyDescent="0.3">
      <c r="B24" t="s">
        <v>332</v>
      </c>
      <c r="C24" t="s">
        <v>70</v>
      </c>
      <c r="D24" t="s">
        <v>86</v>
      </c>
      <c r="E24" t="s">
        <v>311</v>
      </c>
      <c r="F24" s="37">
        <f>Summary!X9</f>
        <v>2000</v>
      </c>
      <c r="G24" t="s">
        <v>334</v>
      </c>
      <c r="H24" t="s">
        <v>335</v>
      </c>
      <c r="I24" t="s">
        <v>346</v>
      </c>
      <c r="J24" s="8" t="s">
        <v>338</v>
      </c>
      <c r="K24" s="8" t="s">
        <v>347</v>
      </c>
      <c r="L24" t="s">
        <v>343</v>
      </c>
    </row>
    <row r="25" spans="2:14" s="85" customFormat="1" x14ac:dyDescent="0.3">
      <c r="B25" s="85" t="s">
        <v>332</v>
      </c>
      <c r="C25" s="85" t="s">
        <v>70</v>
      </c>
      <c r="D25" s="85" t="s">
        <v>313</v>
      </c>
      <c r="E25" s="85" t="s">
        <v>311</v>
      </c>
      <c r="F25" s="295">
        <f>Summary!X10</f>
        <v>25000</v>
      </c>
      <c r="G25" s="85" t="s">
        <v>334</v>
      </c>
      <c r="H25" s="85" t="s">
        <v>335</v>
      </c>
      <c r="J25" s="173" t="s">
        <v>338</v>
      </c>
      <c r="K25" s="173" t="s">
        <v>357</v>
      </c>
      <c r="L25" s="85" t="s">
        <v>343</v>
      </c>
      <c r="N25" s="85" t="s">
        <v>356</v>
      </c>
    </row>
    <row r="26" spans="2:14" x14ac:dyDescent="0.3">
      <c r="B26" t="s">
        <v>332</v>
      </c>
      <c r="C26" t="s">
        <v>70</v>
      </c>
      <c r="D26" s="87" t="s">
        <v>108</v>
      </c>
      <c r="E26" t="s">
        <v>312</v>
      </c>
      <c r="F26" s="37" t="str">
        <f>Summary!Y5</f>
        <v>--</v>
      </c>
      <c r="G26" t="s">
        <v>334</v>
      </c>
      <c r="H26" s="23" t="s">
        <v>43</v>
      </c>
      <c r="I26" s="23" t="s">
        <v>43</v>
      </c>
      <c r="J26" s="8" t="s">
        <v>338</v>
      </c>
      <c r="K26" s="23" t="s">
        <v>43</v>
      </c>
      <c r="L26" t="s">
        <v>343</v>
      </c>
      <c r="N26" t="s">
        <v>336</v>
      </c>
    </row>
    <row r="27" spans="2:14" x14ac:dyDescent="0.3">
      <c r="B27" t="s">
        <v>332</v>
      </c>
      <c r="C27" t="s">
        <v>70</v>
      </c>
      <c r="D27" s="87" t="s">
        <v>87</v>
      </c>
      <c r="E27" t="s">
        <v>312</v>
      </c>
      <c r="F27" s="37">
        <f>Summary!Y6</f>
        <v>1500</v>
      </c>
      <c r="G27" t="s">
        <v>334</v>
      </c>
      <c r="H27" t="s">
        <v>335</v>
      </c>
      <c r="I27" t="s">
        <v>345</v>
      </c>
      <c r="J27" s="8" t="s">
        <v>338</v>
      </c>
      <c r="K27" s="8" t="s">
        <v>348</v>
      </c>
      <c r="L27" t="s">
        <v>343</v>
      </c>
    </row>
    <row r="28" spans="2:14" x14ac:dyDescent="0.3">
      <c r="B28" t="s">
        <v>332</v>
      </c>
      <c r="C28" t="s">
        <v>70</v>
      </c>
      <c r="D28" t="s">
        <v>85</v>
      </c>
      <c r="E28" t="s">
        <v>312</v>
      </c>
      <c r="F28" s="37">
        <f>Summary!Y7</f>
        <v>1650</v>
      </c>
      <c r="G28" t="s">
        <v>334</v>
      </c>
      <c r="H28" t="s">
        <v>335</v>
      </c>
      <c r="I28" t="s">
        <v>349</v>
      </c>
      <c r="J28" s="8" t="s">
        <v>338</v>
      </c>
      <c r="K28" s="8" t="s">
        <v>350</v>
      </c>
      <c r="L28" t="s">
        <v>343</v>
      </c>
    </row>
    <row r="29" spans="2:14" x14ac:dyDescent="0.3">
      <c r="B29" t="s">
        <v>332</v>
      </c>
      <c r="C29" t="s">
        <v>70</v>
      </c>
      <c r="D29" t="s">
        <v>88</v>
      </c>
      <c r="E29" t="s">
        <v>312</v>
      </c>
      <c r="F29" s="37">
        <f>Summary!Y8</f>
        <v>2850</v>
      </c>
      <c r="G29" t="s">
        <v>334</v>
      </c>
      <c r="H29" t="s">
        <v>335</v>
      </c>
      <c r="I29" t="s">
        <v>349</v>
      </c>
      <c r="J29" s="8" t="s">
        <v>338</v>
      </c>
      <c r="K29" s="8" t="s">
        <v>350</v>
      </c>
      <c r="L29" t="s">
        <v>343</v>
      </c>
    </row>
    <row r="30" spans="2:14" x14ac:dyDescent="0.3">
      <c r="B30" t="s">
        <v>332</v>
      </c>
      <c r="C30" t="s">
        <v>70</v>
      </c>
      <c r="D30" t="s">
        <v>86</v>
      </c>
      <c r="E30" t="s">
        <v>312</v>
      </c>
      <c r="F30" s="37">
        <f>Summary!Y9</f>
        <v>3000</v>
      </c>
      <c r="G30" t="s">
        <v>334</v>
      </c>
      <c r="H30" t="s">
        <v>335</v>
      </c>
      <c r="I30" t="s">
        <v>345</v>
      </c>
      <c r="J30" s="8" t="s">
        <v>338</v>
      </c>
      <c r="K30" s="8" t="s">
        <v>348</v>
      </c>
      <c r="L30" t="s">
        <v>343</v>
      </c>
    </row>
    <row r="31" spans="2:14" s="85" customFormat="1" x14ac:dyDescent="0.3">
      <c r="B31" s="85" t="s">
        <v>332</v>
      </c>
      <c r="C31" s="85" t="s">
        <v>70</v>
      </c>
      <c r="D31" s="85" t="s">
        <v>313</v>
      </c>
      <c r="E31" s="85" t="s">
        <v>312</v>
      </c>
      <c r="F31" s="295">
        <f>Summary!Y10</f>
        <v>38000</v>
      </c>
      <c r="G31" s="85" t="s">
        <v>334</v>
      </c>
      <c r="H31" s="85" t="s">
        <v>335</v>
      </c>
      <c r="I31" s="85" t="s">
        <v>349</v>
      </c>
      <c r="J31" s="173" t="s">
        <v>338</v>
      </c>
      <c r="K31" s="173" t="s">
        <v>350</v>
      </c>
      <c r="L31" s="85" t="s">
        <v>343</v>
      </c>
      <c r="N31" s="85" t="s">
        <v>344</v>
      </c>
    </row>
  </sheetData>
  <hyperlinks>
    <hyperlink ref="M15" r:id="rId1" xr:uid="{F3B12419-C302-4D73-940D-3392DB3631BA}"/>
    <hyperlink ref="M16" r:id="rId2" xr:uid="{99ECDF7C-F16E-4163-9A04-672CD2AA8CB8}"/>
    <hyperlink ref="M17" r:id="rId3" xr:uid="{FA1D697E-66F9-4316-961F-4C277D4DCE74}"/>
    <hyperlink ref="M18" r:id="rId4" xr:uid="{72A2A48C-8409-4D92-93E5-6443FF29EC96}"/>
    <hyperlink ref="M22" r:id="rId5" xr:uid="{F56A7F36-30EE-4D8F-865D-775D06A219AC}"/>
    <hyperlink ref="M3" r:id="rId6" xr:uid="{C73260B3-4349-4692-B9B3-B1AC53FA0A7C}"/>
    <hyperlink ref="M4" r:id="rId7" xr:uid="{A328B4B0-2BA9-4F29-BD11-153798608285}"/>
    <hyperlink ref="M6" r:id="rId8" xr:uid="{EB0E48F9-BE99-44DE-BBFC-4E67C4147423}"/>
    <hyperlink ref="M5" r:id="rId9" xr:uid="{F384CA70-9FF8-4DAA-9F91-5984B73A74C6}"/>
  </hyperlinks>
  <pageMargins left="0.7" right="0.7" top="0.75" bottom="0.75" header="0.3" footer="0.3"/>
  <legacy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2F83B-0982-48F6-8955-93B7835ED507}">
  <dimension ref="B1:IZ68"/>
  <sheetViews>
    <sheetView workbookViewId="0">
      <pane xSplit="2" ySplit="5" topLeftCell="DX38" activePane="bottomRight" state="frozen"/>
      <selection pane="topRight" activeCell="C1" sqref="C1"/>
      <selection pane="bottomLeft" activeCell="A6" sqref="A6"/>
      <selection pane="bottomRight" activeCell="P61" sqref="P61"/>
    </sheetView>
  </sheetViews>
  <sheetFormatPr defaultRowHeight="14.4" x14ac:dyDescent="0.3"/>
  <cols>
    <col min="1" max="1" width="2.44140625" customWidth="1"/>
    <col min="4" max="4" width="6.88671875" customWidth="1"/>
    <col min="9" max="9" width="2.33203125" customWidth="1"/>
    <col min="11" max="11" width="10.33203125" customWidth="1"/>
    <col min="15" max="15" width="2.77734375" customWidth="1"/>
    <col min="17" max="17" width="10.5546875" customWidth="1"/>
    <col min="21" max="21" width="1.5546875" customWidth="1"/>
    <col min="25" max="34" width="0" hidden="1" customWidth="1"/>
    <col min="35" max="35" width="1.6640625" customWidth="1"/>
    <col min="36" max="37" width="9" bestFit="1" customWidth="1"/>
    <col min="38" max="38" width="9.44140625" bestFit="1" customWidth="1"/>
    <col min="39" max="39" width="2.21875" customWidth="1"/>
    <col min="45" max="45" width="2.5546875" customWidth="1"/>
    <col min="51" max="51" width="2" customWidth="1"/>
    <col min="55" max="55" width="2" customWidth="1"/>
    <col min="56" max="56" width="8.33203125" customWidth="1"/>
    <col min="57" max="58" width="6.77734375" customWidth="1"/>
    <col min="59" max="59" width="1.77734375" customWidth="1"/>
    <col min="60" max="60" width="6.77734375" style="408" customWidth="1"/>
    <col min="61" max="61" width="11" style="408" customWidth="1"/>
    <col min="62" max="62" width="8.5546875" style="408" customWidth="1"/>
    <col min="63" max="64" width="6.77734375" style="408" customWidth="1"/>
    <col min="65" max="65" width="2.88671875" style="408" customWidth="1"/>
    <col min="66" max="66" width="6.77734375" style="408" customWidth="1"/>
    <col min="67" max="67" width="9.88671875" style="408" customWidth="1"/>
    <col min="68" max="68" width="8.77734375" style="408" customWidth="1"/>
    <col min="69" max="70" width="6.77734375" style="408" customWidth="1"/>
    <col min="71" max="71" width="2.5546875" style="408" customWidth="1"/>
    <col min="72" max="74" width="6.77734375" style="408" customWidth="1"/>
    <col min="75" max="75" width="2.88671875" customWidth="1"/>
    <col min="78" max="78" width="2.21875" customWidth="1"/>
    <col min="79" max="87" width="8.88671875" style="63"/>
    <col min="88" max="88" width="2.5546875" style="63" customWidth="1"/>
    <col min="89" max="89" width="8.88671875" style="63" customWidth="1"/>
    <col min="90" max="90" width="11.77734375" style="63" customWidth="1"/>
    <col min="91" max="101" width="8.88671875" style="63" customWidth="1"/>
    <col min="102" max="102" width="2.21875" customWidth="1"/>
    <col min="103" max="103" width="8.88671875" style="11" customWidth="1"/>
    <col min="104" max="104" width="10.109375" style="11" customWidth="1"/>
    <col min="105" max="107" width="8.88671875" style="11" customWidth="1"/>
    <col min="108" max="108" width="2.33203125" style="11" customWidth="1"/>
    <col min="109" max="113" width="8.88671875" style="11" customWidth="1"/>
    <col min="114" max="114" width="2.6640625" style="11" customWidth="1"/>
    <col min="115" max="117" width="8.88671875" style="11" customWidth="1"/>
    <col min="118" max="118" width="2.88671875" style="11" customWidth="1"/>
    <col min="119" max="119" width="8.88671875" style="381" customWidth="1"/>
    <col min="120" max="120" width="11.21875" style="381" customWidth="1"/>
    <col min="121" max="123" width="8.88671875" style="381" customWidth="1"/>
    <col min="124" max="124" width="2.6640625" style="381" customWidth="1"/>
    <col min="125" max="125" width="8.88671875" style="381" customWidth="1"/>
    <col min="126" max="126" width="11.44140625" style="381" customWidth="1"/>
    <col min="127" max="129" width="8.88671875" style="381" customWidth="1"/>
    <col min="130" max="130" width="2.33203125" style="381" customWidth="1"/>
    <col min="131" max="133" width="8.88671875" style="381"/>
    <col min="134" max="134" width="3" customWidth="1"/>
    <col min="135" max="140" width="0" style="63" hidden="1" customWidth="1"/>
    <col min="141" max="143" width="8.88671875" style="63"/>
    <col min="144" max="144" width="2.88671875" customWidth="1"/>
    <col min="145" max="145" width="8.88671875" style="11" hidden="1" customWidth="1"/>
    <col min="146" max="146" width="11" style="11" hidden="1" customWidth="1"/>
    <col min="147" max="149" width="8.88671875" style="11" hidden="1" customWidth="1"/>
    <col min="150" max="150" width="1.6640625" style="11" hidden="1" customWidth="1"/>
    <col min="151" max="151" width="8.88671875" style="11" hidden="1" customWidth="1"/>
    <col min="152" max="152" width="9.88671875" style="11" hidden="1" customWidth="1"/>
    <col min="153" max="155" width="8.88671875" style="11" hidden="1" customWidth="1"/>
    <col min="156" max="156" width="1.77734375" style="11" hidden="1" customWidth="1"/>
    <col min="157" max="159" width="8.88671875" style="11"/>
    <col min="160" max="160" width="1.88671875" customWidth="1"/>
    <col min="161" max="166" width="0" style="63" hidden="1" customWidth="1"/>
    <col min="167" max="169" width="8.88671875" style="63"/>
    <col min="170" max="170" width="2.109375" customWidth="1"/>
    <col min="171" max="171" width="8.88671875" style="11" hidden="1" customWidth="1"/>
    <col min="172" max="172" width="11.5546875" style="11" hidden="1" customWidth="1"/>
    <col min="173" max="175" width="8.88671875" style="11" hidden="1" customWidth="1"/>
    <col min="176" max="176" width="1.109375" style="11" hidden="1" customWidth="1"/>
    <col min="177" max="177" width="8.88671875" style="11" hidden="1" customWidth="1"/>
    <col min="178" max="178" width="11.44140625" style="11" hidden="1" customWidth="1"/>
    <col min="179" max="181" width="8.88671875" style="11" hidden="1" customWidth="1"/>
    <col min="182" max="182" width="2.21875" style="11" hidden="1" customWidth="1"/>
    <col min="183" max="185" width="8.88671875" style="11"/>
    <col min="186" max="186" width="2.21875" customWidth="1"/>
    <col min="187" max="192" width="8.88671875" style="63" customWidth="1"/>
    <col min="193" max="195" width="8.88671875" style="63"/>
    <col min="196" max="196" width="2.44140625" customWidth="1"/>
    <col min="197" max="197" width="8.88671875" style="11" customWidth="1"/>
    <col min="198" max="198" width="11" style="11" customWidth="1"/>
    <col min="199" max="201" width="8.88671875" style="11" customWidth="1"/>
    <col min="202" max="202" width="2.6640625" style="11" customWidth="1"/>
    <col min="203" max="207" width="8.88671875" style="11" customWidth="1"/>
    <col min="208" max="210" width="8.88671875" style="11"/>
    <col min="211" max="211" width="2.21875" customWidth="1"/>
    <col min="212" max="212" width="8.88671875" style="11"/>
    <col min="213" max="213" width="10.88671875" style="11" customWidth="1"/>
    <col min="214" max="217" width="8.88671875" style="11"/>
    <col min="218" max="218" width="10.33203125" style="11" customWidth="1"/>
    <col min="219" max="224" width="8.88671875" style="11"/>
    <col min="225" max="225" width="1.21875" style="11" customWidth="1"/>
    <col min="226" max="230" width="8.88671875" style="381"/>
    <col min="231" max="231" width="1.6640625" style="381" customWidth="1"/>
    <col min="232" max="236" width="8.88671875" style="381"/>
    <col min="237" max="237" width="2.21875" style="381" customWidth="1"/>
    <col min="238" max="240" width="8.88671875" style="381"/>
    <col min="241" max="241" width="2.109375" customWidth="1"/>
    <col min="242" max="250" width="8.88671875" style="63"/>
    <col min="251" max="251" width="2.109375" style="63" customWidth="1"/>
    <col min="252" max="260" width="8.88671875" style="63"/>
  </cols>
  <sheetData>
    <row r="1" spans="2:260" x14ac:dyDescent="0.3">
      <c r="B1" s="7" t="s">
        <v>411</v>
      </c>
      <c r="J1" s="347" t="s">
        <v>374</v>
      </c>
      <c r="K1" s="347"/>
      <c r="L1" s="347"/>
      <c r="M1" s="406"/>
      <c r="N1" s="407"/>
      <c r="O1" s="407"/>
      <c r="P1" s="407"/>
      <c r="Q1" s="407"/>
      <c r="R1" s="407"/>
      <c r="S1" s="407"/>
      <c r="T1" s="407"/>
      <c r="U1" s="407"/>
      <c r="V1" s="407"/>
      <c r="W1" s="407"/>
      <c r="X1" s="407"/>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408" t="s">
        <v>466</v>
      </c>
      <c r="BI1" s="409"/>
      <c r="BJ1" s="409"/>
      <c r="BK1" s="409"/>
      <c r="BL1" s="409"/>
      <c r="BM1" s="409"/>
      <c r="BN1" s="409"/>
      <c r="BO1" s="409"/>
      <c r="BP1" s="409"/>
      <c r="BQ1" s="409"/>
      <c r="BR1" s="409"/>
      <c r="BS1" s="409"/>
      <c r="BT1" s="409"/>
      <c r="BU1" s="409"/>
      <c r="BV1" s="409"/>
      <c r="BW1" s="73"/>
      <c r="BX1" s="347">
        <v>0.84499999999999997</v>
      </c>
      <c r="BY1" s="348">
        <v>1</v>
      </c>
      <c r="BZ1" s="73"/>
      <c r="CA1" s="63" t="s">
        <v>375</v>
      </c>
      <c r="CJ1" s="365"/>
      <c r="CK1" s="63" t="s">
        <v>376</v>
      </c>
      <c r="CX1" s="73"/>
      <c r="CY1" s="11" t="s">
        <v>377</v>
      </c>
      <c r="DO1" s="372" t="s">
        <v>378</v>
      </c>
      <c r="DP1" s="372"/>
      <c r="DQ1" s="372"/>
      <c r="DR1" s="372"/>
      <c r="DS1" s="372"/>
      <c r="DT1" s="372"/>
      <c r="DU1" s="372"/>
      <c r="DV1" s="372"/>
      <c r="DW1" s="372"/>
      <c r="DX1" s="372"/>
      <c r="DY1" s="372"/>
      <c r="DZ1" s="416"/>
      <c r="EA1" s="372" t="s">
        <v>378</v>
      </c>
      <c r="EB1" s="372"/>
      <c r="EC1" s="372"/>
      <c r="ED1" s="73"/>
      <c r="EE1" s="63" t="s">
        <v>379</v>
      </c>
      <c r="EK1" s="63" t="s">
        <v>379</v>
      </c>
      <c r="EN1" s="73"/>
      <c r="EO1" s="11" t="s">
        <v>380</v>
      </c>
      <c r="FA1" s="11" t="s">
        <v>380</v>
      </c>
      <c r="FD1" s="73"/>
      <c r="FE1" s="63" t="s">
        <v>381</v>
      </c>
      <c r="FK1" s="63" t="s">
        <v>381</v>
      </c>
      <c r="FN1" s="73"/>
      <c r="FO1" s="11" t="s">
        <v>380</v>
      </c>
      <c r="GA1" s="11" t="s">
        <v>380</v>
      </c>
      <c r="GD1" s="73"/>
      <c r="GE1" s="63" t="s">
        <v>382</v>
      </c>
      <c r="GK1" s="63" t="s">
        <v>382</v>
      </c>
      <c r="GN1" s="73"/>
      <c r="GO1" s="11" t="s">
        <v>383</v>
      </c>
      <c r="GZ1" s="11" t="s">
        <v>383</v>
      </c>
      <c r="HC1" s="73"/>
      <c r="HD1" s="11" t="s">
        <v>384</v>
      </c>
      <c r="HQ1" s="373"/>
      <c r="HR1" s="381" t="s">
        <v>385</v>
      </c>
      <c r="IH1" s="63" t="s">
        <v>386</v>
      </c>
      <c r="IR1" s="63" t="s">
        <v>386</v>
      </c>
    </row>
    <row r="2" spans="2:260" x14ac:dyDescent="0.3">
      <c r="J2" s="349"/>
      <c r="K2" s="349"/>
      <c r="L2" s="349"/>
      <c r="M2" s="346"/>
      <c r="N2" s="346"/>
      <c r="O2" s="346"/>
      <c r="P2" s="346"/>
      <c r="Q2" s="346"/>
      <c r="R2" s="346"/>
      <c r="S2" s="346"/>
      <c r="T2" s="346"/>
      <c r="U2" s="346"/>
      <c r="V2" s="346"/>
      <c r="W2" s="346"/>
      <c r="X2" s="346"/>
      <c r="Y2" s="346"/>
      <c r="Z2" s="346"/>
      <c r="AA2" s="346"/>
      <c r="AB2" s="346"/>
      <c r="AC2" s="346"/>
      <c r="AD2" s="346"/>
      <c r="AE2" s="346"/>
      <c r="AF2" s="346"/>
      <c r="AG2" s="346"/>
      <c r="AH2" s="346"/>
      <c r="AI2" s="346"/>
      <c r="AJ2" t="s">
        <v>459</v>
      </c>
      <c r="AK2" t="s">
        <v>459</v>
      </c>
      <c r="AM2" s="346"/>
      <c r="AN2" s="7" t="s">
        <v>472</v>
      </c>
      <c r="AO2" s="7"/>
      <c r="AP2" s="7"/>
      <c r="AQ2" s="7"/>
      <c r="AR2" s="7"/>
      <c r="AS2" s="7"/>
      <c r="AT2" s="7"/>
      <c r="AU2" s="7"/>
      <c r="AV2" s="7"/>
      <c r="AW2" s="7"/>
      <c r="AX2" s="7"/>
      <c r="AY2" s="7"/>
      <c r="AZ2" s="7"/>
      <c r="BA2" s="7"/>
      <c r="BB2" s="7"/>
      <c r="BC2" s="346"/>
      <c r="BD2" s="11" t="s">
        <v>468</v>
      </c>
      <c r="BE2" s="375"/>
      <c r="BF2" s="375"/>
      <c r="BG2" s="346"/>
      <c r="BH2" s="410" t="s">
        <v>467</v>
      </c>
      <c r="BI2" s="410"/>
      <c r="BJ2" s="410"/>
      <c r="BK2" s="410"/>
      <c r="BL2" s="410"/>
      <c r="BM2" s="410"/>
      <c r="BN2" s="410"/>
      <c r="BO2" s="410"/>
      <c r="BP2" s="410"/>
      <c r="BQ2" s="410"/>
      <c r="BR2" s="410"/>
      <c r="BS2" s="410"/>
      <c r="BT2" s="410"/>
      <c r="BU2" s="410"/>
      <c r="BV2" s="410"/>
      <c r="BW2" s="346"/>
      <c r="BX2" s="7"/>
      <c r="BY2" s="350"/>
      <c r="BZ2" s="346"/>
      <c r="CA2" s="366" t="s">
        <v>387</v>
      </c>
      <c r="CB2" s="366"/>
      <c r="CC2" s="366"/>
      <c r="CD2" s="366"/>
      <c r="CE2" s="366"/>
      <c r="CF2" s="366"/>
      <c r="CG2" s="366"/>
      <c r="CH2" s="366"/>
      <c r="CI2" s="366"/>
      <c r="CJ2" s="367"/>
      <c r="CK2" s="366" t="s">
        <v>387</v>
      </c>
      <c r="CL2" s="366"/>
      <c r="CM2" s="366"/>
      <c r="CN2" s="366"/>
      <c r="CO2" s="366"/>
      <c r="CP2" s="366"/>
      <c r="CQ2" s="366"/>
      <c r="CR2" s="366"/>
      <c r="CS2" s="366"/>
      <c r="CT2" s="366"/>
      <c r="CU2" s="366"/>
      <c r="CV2" s="366"/>
      <c r="CW2" s="366"/>
      <c r="CX2" s="346"/>
      <c r="CY2" s="225" t="s">
        <v>387</v>
      </c>
      <c r="CZ2" s="225"/>
      <c r="DA2" s="225"/>
      <c r="DB2" s="225"/>
      <c r="DC2" s="225"/>
      <c r="DD2" s="225"/>
      <c r="DE2" s="225"/>
      <c r="DF2" s="225"/>
      <c r="DG2" s="225"/>
      <c r="DH2" s="225"/>
      <c r="DI2" s="225"/>
      <c r="DJ2" s="225"/>
      <c r="DK2" s="225"/>
      <c r="DL2" s="225"/>
      <c r="DM2" s="225"/>
      <c r="DN2" s="225"/>
      <c r="DO2" s="374"/>
      <c r="DP2" s="374"/>
      <c r="DQ2" s="374"/>
      <c r="DR2" s="374"/>
      <c r="DS2" s="374"/>
      <c r="DT2" s="374"/>
      <c r="DU2" s="374"/>
      <c r="DV2" s="374"/>
      <c r="DW2" s="374"/>
      <c r="DX2" s="374"/>
      <c r="DY2" s="374"/>
      <c r="DZ2" s="417"/>
      <c r="EA2" s="374"/>
      <c r="EB2" s="374"/>
      <c r="EC2" s="374"/>
      <c r="ED2" s="346"/>
      <c r="EE2" s="366" t="s">
        <v>388</v>
      </c>
      <c r="EF2" s="366"/>
      <c r="EG2" s="366"/>
      <c r="EH2" s="366"/>
      <c r="EI2" s="366"/>
      <c r="EJ2" s="366"/>
      <c r="EK2" s="366" t="s">
        <v>388</v>
      </c>
      <c r="EL2" s="366"/>
      <c r="EM2" s="366"/>
      <c r="EN2" s="346"/>
      <c r="EO2" s="225" t="s">
        <v>388</v>
      </c>
      <c r="EP2" s="225"/>
      <c r="EQ2" s="225"/>
      <c r="ER2" s="225"/>
      <c r="ES2" s="225"/>
      <c r="ET2" s="225"/>
      <c r="EU2" s="225"/>
      <c r="EV2" s="225"/>
      <c r="EW2" s="225"/>
      <c r="EX2" s="225"/>
      <c r="EY2" s="225"/>
      <c r="EZ2" s="225"/>
      <c r="FA2" s="225" t="s">
        <v>388</v>
      </c>
      <c r="FB2" s="225"/>
      <c r="FC2" s="225"/>
      <c r="FD2" s="346"/>
      <c r="FE2" s="366" t="s">
        <v>389</v>
      </c>
      <c r="FF2" s="366"/>
      <c r="FG2" s="366"/>
      <c r="FH2" s="366"/>
      <c r="FI2" s="366"/>
      <c r="FJ2" s="366"/>
      <c r="FK2" s="366" t="s">
        <v>389</v>
      </c>
      <c r="FL2" s="366"/>
      <c r="FM2" s="366"/>
      <c r="FN2" s="346"/>
      <c r="FO2" s="225" t="s">
        <v>389</v>
      </c>
      <c r="FP2" s="225"/>
      <c r="FQ2" s="225"/>
      <c r="FR2" s="225"/>
      <c r="FS2" s="225"/>
      <c r="FT2" s="225"/>
      <c r="FU2" s="225"/>
      <c r="FV2" s="225"/>
      <c r="FW2" s="225"/>
      <c r="FX2" s="225"/>
      <c r="FY2" s="225"/>
      <c r="FZ2" s="225"/>
      <c r="GA2" s="225" t="s">
        <v>389</v>
      </c>
      <c r="GB2" s="225"/>
      <c r="GC2" s="225"/>
      <c r="GD2" s="346"/>
      <c r="GE2" s="366" t="s">
        <v>390</v>
      </c>
      <c r="GF2" s="366"/>
      <c r="GG2" s="366"/>
      <c r="GH2" s="366"/>
      <c r="GI2" s="366"/>
      <c r="GJ2" s="366"/>
      <c r="GK2" s="366" t="s">
        <v>390</v>
      </c>
      <c r="GL2" s="366"/>
      <c r="GM2" s="366"/>
      <c r="GN2" s="346"/>
      <c r="GO2" s="225" t="s">
        <v>390</v>
      </c>
      <c r="GP2" s="225"/>
      <c r="GQ2" s="225"/>
      <c r="GR2" s="225"/>
      <c r="GS2" s="225"/>
      <c r="GT2" s="225"/>
      <c r="GU2" s="225"/>
      <c r="GV2" s="225"/>
      <c r="GW2" s="225"/>
      <c r="GX2" s="225"/>
      <c r="GY2" s="225"/>
      <c r="GZ2" s="225" t="s">
        <v>390</v>
      </c>
      <c r="HA2" s="225"/>
      <c r="HB2" s="225"/>
      <c r="HC2" s="346"/>
      <c r="HD2" s="225" t="s">
        <v>391</v>
      </c>
      <c r="HE2" s="225"/>
      <c r="HF2" s="225"/>
      <c r="HG2" s="225"/>
      <c r="HH2" s="225"/>
      <c r="HI2" s="225"/>
      <c r="HJ2" s="225"/>
      <c r="HK2" s="225"/>
      <c r="HL2" s="225"/>
      <c r="HM2" s="225"/>
      <c r="HN2" s="225"/>
      <c r="HO2" s="225"/>
      <c r="HP2" s="225"/>
      <c r="HQ2" s="375"/>
      <c r="HR2" s="382"/>
      <c r="HS2" s="382"/>
      <c r="HT2" s="382"/>
      <c r="HU2" s="382"/>
      <c r="HV2" s="382"/>
      <c r="HW2" s="382"/>
      <c r="HX2" s="382"/>
      <c r="HY2" s="382"/>
      <c r="HZ2" s="382"/>
      <c r="IA2" s="382"/>
      <c r="IB2" s="382"/>
      <c r="IC2" s="382"/>
      <c r="ID2" s="382"/>
      <c r="IE2" s="382"/>
      <c r="IF2" s="382"/>
      <c r="IG2" s="7"/>
      <c r="IH2" s="366" t="s">
        <v>392</v>
      </c>
      <c r="II2" s="366"/>
      <c r="IJ2" s="366"/>
      <c r="IK2" s="366"/>
      <c r="IL2" s="366"/>
      <c r="IM2" s="366"/>
      <c r="IN2" s="366"/>
      <c r="IO2" s="366"/>
      <c r="IP2" s="366"/>
      <c r="IQ2" s="366"/>
      <c r="IR2" s="366" t="s">
        <v>390</v>
      </c>
      <c r="IS2" s="366"/>
      <c r="IT2" s="366"/>
      <c r="IU2" s="366"/>
      <c r="IV2" s="366"/>
      <c r="IW2" s="366"/>
      <c r="IX2" s="366"/>
      <c r="IY2" s="366"/>
      <c r="IZ2" s="366"/>
    </row>
    <row r="3" spans="2:260" x14ac:dyDescent="0.3">
      <c r="C3" t="s">
        <v>230</v>
      </c>
      <c r="E3" t="s">
        <v>371</v>
      </c>
      <c r="J3" s="133" t="s">
        <v>393</v>
      </c>
      <c r="K3" s="351"/>
      <c r="L3" s="351"/>
      <c r="M3" s="316"/>
      <c r="N3" s="316"/>
      <c r="O3" s="73"/>
      <c r="P3" s="85" t="s">
        <v>394</v>
      </c>
      <c r="Q3" s="316"/>
      <c r="R3" s="316"/>
      <c r="S3" s="316"/>
      <c r="T3" s="316"/>
      <c r="U3" s="73"/>
      <c r="V3" s="85" t="s">
        <v>42</v>
      </c>
      <c r="W3" s="316"/>
      <c r="X3" s="316"/>
      <c r="Y3" s="73"/>
      <c r="Z3" s="352" t="s">
        <v>395</v>
      </c>
      <c r="AA3" s="353"/>
      <c r="AB3" s="353"/>
      <c r="AC3" s="353"/>
      <c r="AD3" s="353"/>
      <c r="AE3" s="353"/>
      <c r="AF3" s="353"/>
      <c r="AG3" s="353"/>
      <c r="AH3" s="353"/>
      <c r="AI3" s="353"/>
      <c r="AJ3" s="8" t="s">
        <v>460</v>
      </c>
      <c r="AK3" s="8" t="s">
        <v>460</v>
      </c>
      <c r="AL3" s="8" t="s">
        <v>461</v>
      </c>
      <c r="AM3" s="353"/>
      <c r="AN3" s="107" t="s">
        <v>393</v>
      </c>
      <c r="AO3" s="107"/>
      <c r="AP3" s="107"/>
      <c r="AQ3" s="107"/>
      <c r="AR3" s="107"/>
      <c r="AS3" s="107"/>
      <c r="AT3" s="107" t="s">
        <v>394</v>
      </c>
      <c r="AU3" s="107"/>
      <c r="AV3" s="107"/>
      <c r="AW3" s="107"/>
      <c r="AX3" s="107"/>
      <c r="AY3" s="107"/>
      <c r="AZ3" s="107" t="s">
        <v>42</v>
      </c>
      <c r="BA3" s="107"/>
      <c r="BB3" s="107"/>
      <c r="BC3" s="353"/>
      <c r="BD3" s="11" t="s">
        <v>469</v>
      </c>
      <c r="BE3" s="373"/>
      <c r="BF3" s="373"/>
      <c r="BG3" s="353"/>
      <c r="BH3" s="411" t="s">
        <v>393</v>
      </c>
      <c r="BI3" s="412"/>
      <c r="BJ3" s="412"/>
      <c r="BK3" s="413"/>
      <c r="BL3" s="413"/>
      <c r="BM3" s="409"/>
      <c r="BN3" s="414" t="s">
        <v>394</v>
      </c>
      <c r="BO3" s="413"/>
      <c r="BP3" s="413"/>
      <c r="BQ3" s="413"/>
      <c r="BR3" s="413"/>
      <c r="BS3" s="409"/>
      <c r="BT3" s="414" t="s">
        <v>42</v>
      </c>
      <c r="BU3" s="413"/>
      <c r="BV3" s="413"/>
      <c r="BW3" s="353"/>
      <c r="BX3" t="s">
        <v>396</v>
      </c>
      <c r="BY3" s="354" t="s">
        <v>397</v>
      </c>
      <c r="BZ3" s="353"/>
      <c r="CA3" s="368" t="s">
        <v>393</v>
      </c>
      <c r="CD3" s="63" t="s">
        <v>394</v>
      </c>
      <c r="CG3" s="63" t="s">
        <v>42</v>
      </c>
      <c r="CJ3" s="369"/>
      <c r="CK3" s="368" t="s">
        <v>393</v>
      </c>
      <c r="CL3" s="370"/>
      <c r="CM3" s="370"/>
      <c r="CP3" s="63" t="s">
        <v>394</v>
      </c>
      <c r="CU3" s="63" t="s">
        <v>42</v>
      </c>
      <c r="CX3" s="353"/>
      <c r="CY3" s="355" t="s">
        <v>393</v>
      </c>
      <c r="CZ3" s="37"/>
      <c r="DA3" s="37"/>
      <c r="DE3" s="11" t="s">
        <v>394</v>
      </c>
      <c r="DK3" s="11" t="s">
        <v>42</v>
      </c>
      <c r="DN3" s="107"/>
      <c r="DO3" s="356" t="s">
        <v>393</v>
      </c>
      <c r="DP3" s="376"/>
      <c r="DQ3" s="376"/>
      <c r="DR3" s="377"/>
      <c r="DS3" s="377"/>
      <c r="DT3" s="372"/>
      <c r="DU3" s="377" t="s">
        <v>394</v>
      </c>
      <c r="DV3" s="377"/>
      <c r="DW3" s="377"/>
      <c r="DX3" s="377"/>
      <c r="DY3" s="377"/>
      <c r="DZ3" s="416"/>
      <c r="EA3" s="372" t="s">
        <v>42</v>
      </c>
      <c r="EB3" s="372"/>
      <c r="EC3" s="372"/>
      <c r="ED3" s="73"/>
      <c r="EE3" s="380" t="s">
        <v>393</v>
      </c>
      <c r="EH3" s="63" t="s">
        <v>394</v>
      </c>
      <c r="EK3" s="63" t="s">
        <v>42</v>
      </c>
      <c r="EN3" s="73"/>
      <c r="EO3" s="107" t="s">
        <v>393</v>
      </c>
      <c r="ES3" s="107"/>
      <c r="EU3" s="11" t="s">
        <v>394</v>
      </c>
      <c r="FA3" s="107"/>
      <c r="FD3" s="73"/>
      <c r="FE3" s="368" t="s">
        <v>393</v>
      </c>
      <c r="FH3" s="63" t="s">
        <v>394</v>
      </c>
      <c r="FK3" s="63" t="s">
        <v>42</v>
      </c>
      <c r="FN3" s="73"/>
      <c r="FO3" s="107" t="s">
        <v>393</v>
      </c>
      <c r="GD3" s="73"/>
      <c r="GN3" s="73"/>
      <c r="GO3" s="107" t="s">
        <v>393</v>
      </c>
      <c r="GU3" s="11" t="s">
        <v>394</v>
      </c>
      <c r="GZ3" s="107"/>
      <c r="HC3" s="73"/>
      <c r="HD3" s="107" t="s">
        <v>393</v>
      </c>
      <c r="HI3" s="11" t="s">
        <v>394</v>
      </c>
      <c r="HQ3" s="373"/>
      <c r="HR3" s="357" t="s">
        <v>393</v>
      </c>
      <c r="HX3" s="381" t="s">
        <v>394</v>
      </c>
    </row>
    <row r="4" spans="2:260" ht="18" customHeight="1" x14ac:dyDescent="0.3">
      <c r="C4" t="s">
        <v>231</v>
      </c>
      <c r="E4" t="s">
        <v>87</v>
      </c>
      <c r="F4" t="s">
        <v>85</v>
      </c>
      <c r="G4" t="s">
        <v>88</v>
      </c>
      <c r="H4" t="s">
        <v>86</v>
      </c>
      <c r="J4" s="73"/>
      <c r="K4" s="358" t="s">
        <v>398</v>
      </c>
      <c r="L4" s="358" t="s">
        <v>399</v>
      </c>
      <c r="P4" s="73"/>
      <c r="Q4" s="358" t="s">
        <v>398</v>
      </c>
      <c r="R4" s="358" t="s">
        <v>399</v>
      </c>
      <c r="W4" s="73"/>
      <c r="Y4" s="73"/>
      <c r="Z4" s="353" t="s">
        <v>393</v>
      </c>
      <c r="AA4" s="359"/>
      <c r="AB4" s="73"/>
      <c r="AC4" s="73" t="s">
        <v>394</v>
      </c>
      <c r="AD4" s="73"/>
      <c r="AE4" s="73"/>
      <c r="AF4" s="73" t="s">
        <v>42</v>
      </c>
      <c r="AG4" s="73"/>
      <c r="AH4" s="73"/>
      <c r="AI4" s="73"/>
      <c r="AJ4" t="s">
        <v>462</v>
      </c>
      <c r="AK4" t="s">
        <v>463</v>
      </c>
      <c r="AL4" s="8" t="s">
        <v>42</v>
      </c>
      <c r="AM4" s="73"/>
      <c r="AO4" t="s">
        <v>398</v>
      </c>
      <c r="AP4" t="s">
        <v>399</v>
      </c>
      <c r="AU4" t="s">
        <v>398</v>
      </c>
      <c r="AV4" t="s">
        <v>399</v>
      </c>
      <c r="BC4" s="73"/>
      <c r="BD4" s="11"/>
      <c r="BE4" s="11"/>
      <c r="BF4" s="11"/>
      <c r="BG4" s="73"/>
      <c r="BH4" s="409"/>
      <c r="BI4" s="415" t="s">
        <v>398</v>
      </c>
      <c r="BJ4" s="415" t="s">
        <v>399</v>
      </c>
      <c r="BN4" s="409"/>
      <c r="BO4" s="415" t="s">
        <v>398</v>
      </c>
      <c r="BP4" s="415" t="s">
        <v>399</v>
      </c>
      <c r="BU4" s="409"/>
      <c r="BW4" s="353"/>
      <c r="BX4" s="8" t="s">
        <v>400</v>
      </c>
      <c r="BY4" s="360" t="s">
        <v>400</v>
      </c>
      <c r="BZ4" s="353"/>
      <c r="CA4" s="368" t="s">
        <v>401</v>
      </c>
      <c r="CB4" s="368" t="s">
        <v>402</v>
      </c>
      <c r="CC4" s="368" t="s">
        <v>42</v>
      </c>
      <c r="CD4" s="368" t="s">
        <v>401</v>
      </c>
      <c r="CE4" s="368" t="s">
        <v>402</v>
      </c>
      <c r="CF4" s="368" t="s">
        <v>42</v>
      </c>
      <c r="CG4" s="368" t="s">
        <v>403</v>
      </c>
      <c r="CH4" s="368" t="s">
        <v>404</v>
      </c>
      <c r="CI4" s="368" t="s">
        <v>42</v>
      </c>
      <c r="CJ4" s="369"/>
      <c r="CK4" s="368" t="s">
        <v>403</v>
      </c>
      <c r="CL4" s="371" t="s">
        <v>398</v>
      </c>
      <c r="CM4" s="371" t="s">
        <v>399</v>
      </c>
      <c r="CN4" s="368" t="s">
        <v>404</v>
      </c>
      <c r="CO4" s="368" t="s">
        <v>42</v>
      </c>
      <c r="CP4" s="368" t="s">
        <v>403</v>
      </c>
      <c r="CQ4" s="371" t="s">
        <v>398</v>
      </c>
      <c r="CR4" s="371" t="s">
        <v>399</v>
      </c>
      <c r="CS4" s="368" t="s">
        <v>404</v>
      </c>
      <c r="CT4" s="368" t="s">
        <v>42</v>
      </c>
      <c r="CU4" s="368" t="s">
        <v>404</v>
      </c>
      <c r="CV4" s="368" t="s">
        <v>403</v>
      </c>
      <c r="CW4" s="368" t="s">
        <v>42</v>
      </c>
      <c r="CX4" s="353"/>
      <c r="CY4" s="107" t="s">
        <v>403</v>
      </c>
      <c r="CZ4" s="378" t="s">
        <v>398</v>
      </c>
      <c r="DA4" s="378" t="s">
        <v>399</v>
      </c>
      <c r="DB4" s="107" t="s">
        <v>404</v>
      </c>
      <c r="DC4" s="107" t="s">
        <v>42</v>
      </c>
      <c r="DD4" s="107"/>
      <c r="DE4" s="107" t="s">
        <v>403</v>
      </c>
      <c r="DF4" s="378" t="s">
        <v>398</v>
      </c>
      <c r="DG4" s="378" t="s">
        <v>399</v>
      </c>
      <c r="DH4" s="107" t="s">
        <v>404</v>
      </c>
      <c r="DI4" s="107" t="s">
        <v>42</v>
      </c>
      <c r="DJ4" s="107"/>
      <c r="DK4" s="107" t="s">
        <v>403</v>
      </c>
      <c r="DL4" s="107" t="s">
        <v>404</v>
      </c>
      <c r="DM4" s="107" t="s">
        <v>42</v>
      </c>
      <c r="DN4" s="107"/>
      <c r="DO4" s="361" t="s">
        <v>403</v>
      </c>
      <c r="DP4" s="379" t="s">
        <v>398</v>
      </c>
      <c r="DQ4" s="379" t="s">
        <v>399</v>
      </c>
      <c r="DR4" s="362" t="s">
        <v>404</v>
      </c>
      <c r="DS4" s="362" t="s">
        <v>42</v>
      </c>
      <c r="DT4" s="362"/>
      <c r="DU4" s="362" t="s">
        <v>403</v>
      </c>
      <c r="DV4" s="379" t="s">
        <v>398</v>
      </c>
      <c r="DW4" s="379" t="s">
        <v>399</v>
      </c>
      <c r="DX4" s="362" t="s">
        <v>404</v>
      </c>
      <c r="DY4" s="362" t="s">
        <v>42</v>
      </c>
      <c r="DZ4" s="418"/>
      <c r="EA4" s="362" t="s">
        <v>403</v>
      </c>
      <c r="EB4" s="362" t="s">
        <v>404</v>
      </c>
      <c r="EC4" s="362" t="s">
        <v>42</v>
      </c>
      <c r="ED4" s="73"/>
      <c r="EE4" s="370" t="s">
        <v>403</v>
      </c>
      <c r="EF4" s="368" t="s">
        <v>404</v>
      </c>
      <c r="EG4" s="368" t="s">
        <v>42</v>
      </c>
      <c r="EH4" s="368" t="s">
        <v>403</v>
      </c>
      <c r="EI4" s="368" t="s">
        <v>404</v>
      </c>
      <c r="EJ4" s="368" t="s">
        <v>42</v>
      </c>
      <c r="EK4" s="368" t="s">
        <v>403</v>
      </c>
      <c r="EL4" s="368" t="s">
        <v>404</v>
      </c>
      <c r="EM4" s="368" t="s">
        <v>42</v>
      </c>
      <c r="EN4" s="73"/>
      <c r="EP4" s="378" t="s">
        <v>398</v>
      </c>
      <c r="EQ4" s="378" t="s">
        <v>399</v>
      </c>
      <c r="ER4" s="107" t="s">
        <v>404</v>
      </c>
      <c r="EV4" s="378" t="s">
        <v>398</v>
      </c>
      <c r="EW4" s="378" t="s">
        <v>399</v>
      </c>
      <c r="EX4" s="107" t="s">
        <v>404</v>
      </c>
      <c r="FA4" s="11" t="s">
        <v>42</v>
      </c>
      <c r="FD4" s="73"/>
      <c r="FE4" s="368" t="s">
        <v>401</v>
      </c>
      <c r="FF4" s="368" t="s">
        <v>402</v>
      </c>
      <c r="FG4" s="368" t="s">
        <v>42</v>
      </c>
      <c r="FH4" s="368" t="s">
        <v>401</v>
      </c>
      <c r="FI4" s="368" t="s">
        <v>402</v>
      </c>
      <c r="FJ4" s="368" t="s">
        <v>42</v>
      </c>
      <c r="FK4" s="368" t="s">
        <v>403</v>
      </c>
      <c r="FL4" s="368" t="s">
        <v>404</v>
      </c>
      <c r="FM4" s="368" t="s">
        <v>42</v>
      </c>
      <c r="FN4" s="73"/>
      <c r="FP4" s="378" t="s">
        <v>398</v>
      </c>
      <c r="FQ4" s="378" t="s">
        <v>399</v>
      </c>
      <c r="FR4" s="107" t="s">
        <v>404</v>
      </c>
      <c r="FU4" s="11" t="s">
        <v>394</v>
      </c>
      <c r="FV4" s="378" t="s">
        <v>398</v>
      </c>
      <c r="FW4" s="378" t="s">
        <v>399</v>
      </c>
      <c r="FX4" s="107" t="s">
        <v>404</v>
      </c>
      <c r="GA4" s="11" t="s">
        <v>42</v>
      </c>
      <c r="GB4" s="373"/>
      <c r="GD4" s="73"/>
      <c r="GE4" s="368" t="s">
        <v>393</v>
      </c>
      <c r="GH4" s="63" t="s">
        <v>394</v>
      </c>
      <c r="GK4" s="63" t="s">
        <v>42</v>
      </c>
      <c r="GN4" s="73"/>
      <c r="GO4" s="37" t="s">
        <v>403</v>
      </c>
      <c r="GP4" s="378" t="s">
        <v>398</v>
      </c>
      <c r="GQ4" s="378" t="s">
        <v>399</v>
      </c>
      <c r="GR4" s="107" t="s">
        <v>404</v>
      </c>
      <c r="GU4" s="37" t="s">
        <v>403</v>
      </c>
      <c r="GV4" s="378" t="s">
        <v>398</v>
      </c>
      <c r="GW4" s="378" t="s">
        <v>399</v>
      </c>
      <c r="GX4" s="107" t="s">
        <v>404</v>
      </c>
      <c r="GZ4" s="11" t="s">
        <v>42</v>
      </c>
      <c r="HC4" s="73"/>
      <c r="HD4" s="363" t="s">
        <v>403</v>
      </c>
      <c r="HE4" s="420" t="s">
        <v>398</v>
      </c>
      <c r="HF4" s="420" t="s">
        <v>399</v>
      </c>
      <c r="HG4" s="357" t="s">
        <v>404</v>
      </c>
      <c r="HH4" s="408"/>
      <c r="HI4" s="363" t="s">
        <v>403</v>
      </c>
      <c r="HJ4" s="420" t="s">
        <v>398</v>
      </c>
      <c r="HK4" s="420" t="s">
        <v>399</v>
      </c>
      <c r="HL4" s="357" t="s">
        <v>404</v>
      </c>
      <c r="HM4" s="408"/>
      <c r="HN4"/>
      <c r="HO4" t="s">
        <v>42</v>
      </c>
      <c r="HP4"/>
      <c r="HQ4" s="373"/>
      <c r="HR4" s="363" t="s">
        <v>403</v>
      </c>
      <c r="HS4" s="383" t="s">
        <v>398</v>
      </c>
      <c r="HT4" s="383" t="s">
        <v>399</v>
      </c>
      <c r="HU4" s="357" t="s">
        <v>404</v>
      </c>
      <c r="HY4" s="383" t="s">
        <v>398</v>
      </c>
      <c r="HZ4" s="383" t="s">
        <v>399</v>
      </c>
      <c r="IA4" s="357" t="s">
        <v>404</v>
      </c>
      <c r="ID4" s="381" t="s">
        <v>42</v>
      </c>
      <c r="IH4" s="368" t="s">
        <v>393</v>
      </c>
      <c r="IK4" s="63" t="s">
        <v>394</v>
      </c>
      <c r="IN4" s="63" t="s">
        <v>42</v>
      </c>
      <c r="IR4" s="368" t="s">
        <v>393</v>
      </c>
      <c r="IU4" s="63" t="s">
        <v>394</v>
      </c>
      <c r="IX4" s="368" t="s">
        <v>42</v>
      </c>
    </row>
    <row r="5" spans="2:260" x14ac:dyDescent="0.3">
      <c r="B5" t="s">
        <v>372</v>
      </c>
      <c r="C5" t="s">
        <v>232</v>
      </c>
      <c r="D5" t="s">
        <v>419</v>
      </c>
      <c r="E5" s="107" t="s">
        <v>367</v>
      </c>
      <c r="F5" s="107" t="s">
        <v>367</v>
      </c>
      <c r="G5" s="107" t="s">
        <v>367</v>
      </c>
      <c r="H5" t="s">
        <v>366</v>
      </c>
      <c r="J5" s="37" t="s">
        <v>403</v>
      </c>
      <c r="K5" s="364" t="s">
        <v>405</v>
      </c>
      <c r="L5" s="364" t="s">
        <v>406</v>
      </c>
      <c r="M5" s="107" t="s">
        <v>404</v>
      </c>
      <c r="N5" s="107" t="s">
        <v>42</v>
      </c>
      <c r="O5" s="107"/>
      <c r="P5" s="107" t="s">
        <v>403</v>
      </c>
      <c r="Q5" s="364" t="s">
        <v>405</v>
      </c>
      <c r="R5" s="364" t="s">
        <v>406</v>
      </c>
      <c r="S5" s="107" t="s">
        <v>404</v>
      </c>
      <c r="T5" s="107" t="s">
        <v>42</v>
      </c>
      <c r="U5" s="107"/>
      <c r="V5" s="107" t="s">
        <v>403</v>
      </c>
      <c r="W5" s="107" t="s">
        <v>404</v>
      </c>
      <c r="X5" s="107" t="s">
        <v>42</v>
      </c>
      <c r="Y5" s="73"/>
      <c r="Z5" s="353" t="s">
        <v>404</v>
      </c>
      <c r="AA5" s="304" t="s">
        <v>403</v>
      </c>
      <c r="AB5" s="353" t="s">
        <v>42</v>
      </c>
      <c r="AC5" s="353" t="s">
        <v>404</v>
      </c>
      <c r="AD5" s="353" t="s">
        <v>403</v>
      </c>
      <c r="AE5" s="353" t="s">
        <v>42</v>
      </c>
      <c r="AF5" s="353" t="s">
        <v>404</v>
      </c>
      <c r="AG5" s="353" t="s">
        <v>403</v>
      </c>
      <c r="AH5" s="353" t="s">
        <v>42</v>
      </c>
      <c r="AI5" s="353"/>
      <c r="AJ5" t="s">
        <v>464</v>
      </c>
      <c r="AK5" s="8" t="s">
        <v>465</v>
      </c>
      <c r="AL5" s="8" t="s">
        <v>465</v>
      </c>
      <c r="AM5" s="353"/>
      <c r="AN5" s="107" t="s">
        <v>403</v>
      </c>
      <c r="AO5" s="107" t="s">
        <v>405</v>
      </c>
      <c r="AP5" s="107" t="s">
        <v>406</v>
      </c>
      <c r="AQ5" s="107" t="s">
        <v>404</v>
      </c>
      <c r="AR5" s="107" t="s">
        <v>42</v>
      </c>
      <c r="AS5" s="107"/>
      <c r="AT5" s="107" t="s">
        <v>403</v>
      </c>
      <c r="AU5" s="107" t="s">
        <v>405</v>
      </c>
      <c r="AV5" s="107" t="s">
        <v>406</v>
      </c>
      <c r="AW5" s="107" t="s">
        <v>404</v>
      </c>
      <c r="AX5" s="107" t="s">
        <v>42</v>
      </c>
      <c r="AY5" s="107"/>
      <c r="AZ5" s="107" t="s">
        <v>403</v>
      </c>
      <c r="BA5" s="107" t="s">
        <v>404</v>
      </c>
      <c r="BB5" s="107" t="s">
        <v>42</v>
      </c>
      <c r="BC5" s="353"/>
      <c r="BD5" s="107" t="s">
        <v>403</v>
      </c>
      <c r="BE5" s="107" t="s">
        <v>404</v>
      </c>
      <c r="BF5" s="107" t="s">
        <v>42</v>
      </c>
      <c r="BG5" s="353"/>
      <c r="BH5" s="363" t="s">
        <v>403</v>
      </c>
      <c r="BI5" s="357" t="s">
        <v>405</v>
      </c>
      <c r="BJ5" s="357" t="s">
        <v>406</v>
      </c>
      <c r="BK5" s="357" t="s">
        <v>404</v>
      </c>
      <c r="BL5" s="357" t="s">
        <v>42</v>
      </c>
      <c r="BM5" s="357"/>
      <c r="BN5" s="357" t="s">
        <v>403</v>
      </c>
      <c r="BO5" s="357" t="s">
        <v>405</v>
      </c>
      <c r="BP5" s="357" t="s">
        <v>406</v>
      </c>
      <c r="BQ5" s="357" t="s">
        <v>404</v>
      </c>
      <c r="BR5" s="357" t="s">
        <v>42</v>
      </c>
      <c r="BS5" s="357"/>
      <c r="BT5" s="357" t="s">
        <v>403</v>
      </c>
      <c r="BU5" s="357" t="s">
        <v>404</v>
      </c>
      <c r="BV5" s="357" t="s">
        <v>42</v>
      </c>
      <c r="BW5" s="353"/>
      <c r="BX5" s="8" t="s">
        <v>407</v>
      </c>
      <c r="BY5" s="360" t="s">
        <v>407</v>
      </c>
      <c r="BZ5" s="353"/>
      <c r="CA5" s="368" t="s">
        <v>408</v>
      </c>
      <c r="CB5" s="368" t="s">
        <v>409</v>
      </c>
      <c r="CD5" s="368" t="s">
        <v>408</v>
      </c>
      <c r="CE5" s="368" t="s">
        <v>409</v>
      </c>
      <c r="CG5" s="368"/>
      <c r="CH5" s="368"/>
      <c r="CJ5" s="365"/>
      <c r="CK5" s="368"/>
      <c r="CL5" s="368" t="s">
        <v>405</v>
      </c>
      <c r="CM5" s="368" t="s">
        <v>405</v>
      </c>
      <c r="CN5" s="368" t="s">
        <v>410</v>
      </c>
      <c r="CP5" s="368"/>
      <c r="CQ5" s="368" t="s">
        <v>405</v>
      </c>
      <c r="CR5" s="368" t="s">
        <v>405</v>
      </c>
      <c r="CS5" s="368" t="s">
        <v>410</v>
      </c>
      <c r="CX5" s="73"/>
      <c r="CY5" s="107"/>
      <c r="CZ5" s="107" t="s">
        <v>405</v>
      </c>
      <c r="DA5" s="107" t="s">
        <v>405</v>
      </c>
      <c r="DB5" s="107" t="s">
        <v>410</v>
      </c>
      <c r="DC5" s="107"/>
      <c r="DF5" s="107" t="s">
        <v>405</v>
      </c>
      <c r="DG5" s="107" t="s">
        <v>405</v>
      </c>
      <c r="DH5" s="107" t="s">
        <v>410</v>
      </c>
      <c r="DN5" s="107"/>
      <c r="DO5" s="372"/>
      <c r="DP5" s="362" t="s">
        <v>405</v>
      </c>
      <c r="DQ5" s="362" t="s">
        <v>406</v>
      </c>
      <c r="DR5" s="362" t="s">
        <v>410</v>
      </c>
      <c r="DS5" s="372"/>
      <c r="DT5" s="372"/>
      <c r="DU5" s="372"/>
      <c r="DV5" s="362" t="s">
        <v>405</v>
      </c>
      <c r="DW5" s="362" t="s">
        <v>406</v>
      </c>
      <c r="DX5" s="362" t="s">
        <v>410</v>
      </c>
      <c r="DY5" s="372"/>
      <c r="DZ5" s="416"/>
      <c r="EA5" s="372"/>
      <c r="EB5" s="372"/>
      <c r="EC5" s="372"/>
      <c r="ED5" s="73"/>
      <c r="EE5" s="368" t="s">
        <v>408</v>
      </c>
      <c r="EF5" s="368" t="s">
        <v>409</v>
      </c>
      <c r="EH5" s="368" t="s">
        <v>408</v>
      </c>
      <c r="EI5" s="368" t="s">
        <v>409</v>
      </c>
      <c r="EN5" s="73"/>
      <c r="EO5" s="37" t="s">
        <v>403</v>
      </c>
      <c r="EP5" s="107" t="s">
        <v>405</v>
      </c>
      <c r="EQ5" s="107" t="s">
        <v>406</v>
      </c>
      <c r="ER5" s="107" t="s">
        <v>410</v>
      </c>
      <c r="ES5" s="107" t="s">
        <v>42</v>
      </c>
      <c r="ET5" s="107"/>
      <c r="EU5" s="107" t="s">
        <v>403</v>
      </c>
      <c r="EV5" s="107" t="s">
        <v>405</v>
      </c>
      <c r="EW5" s="107" t="s">
        <v>406</v>
      </c>
      <c r="EX5" s="107" t="s">
        <v>410</v>
      </c>
      <c r="EY5" s="107" t="s">
        <v>42</v>
      </c>
      <c r="EZ5" s="107"/>
      <c r="FA5" s="107" t="s">
        <v>403</v>
      </c>
      <c r="FB5" s="107" t="s">
        <v>404</v>
      </c>
      <c r="FC5" s="107" t="s">
        <v>42</v>
      </c>
      <c r="FD5" s="73"/>
      <c r="FE5" s="368" t="s">
        <v>408</v>
      </c>
      <c r="FF5" s="368" t="s">
        <v>409</v>
      </c>
      <c r="FH5" s="368" t="s">
        <v>408</v>
      </c>
      <c r="FI5" s="368" t="s">
        <v>409</v>
      </c>
      <c r="FN5" s="73"/>
      <c r="FO5" s="37" t="s">
        <v>403</v>
      </c>
      <c r="FP5" s="107" t="s">
        <v>405</v>
      </c>
      <c r="FQ5" s="107" t="s">
        <v>405</v>
      </c>
      <c r="FR5" s="107" t="s">
        <v>410</v>
      </c>
      <c r="FS5" s="107" t="s">
        <v>42</v>
      </c>
      <c r="FT5" s="107"/>
      <c r="FU5" s="107" t="s">
        <v>403</v>
      </c>
      <c r="FV5" s="107" t="s">
        <v>405</v>
      </c>
      <c r="FW5" s="107" t="s">
        <v>405</v>
      </c>
      <c r="FX5" s="107" t="s">
        <v>410</v>
      </c>
      <c r="FY5" s="107" t="s">
        <v>42</v>
      </c>
      <c r="FZ5" s="107"/>
      <c r="GA5" s="107" t="s">
        <v>403</v>
      </c>
      <c r="GB5" s="107" t="s">
        <v>404</v>
      </c>
      <c r="GC5" s="107" t="s">
        <v>42</v>
      </c>
      <c r="GD5" s="73"/>
      <c r="GE5" s="370" t="s">
        <v>403</v>
      </c>
      <c r="GF5" s="368" t="s">
        <v>404</v>
      </c>
      <c r="GG5" s="368" t="s">
        <v>42</v>
      </c>
      <c r="GH5" s="368" t="s">
        <v>403</v>
      </c>
      <c r="GI5" s="368" t="s">
        <v>404</v>
      </c>
      <c r="GJ5" s="368" t="s">
        <v>42</v>
      </c>
      <c r="GK5" s="368" t="s">
        <v>403</v>
      </c>
      <c r="GL5" s="368" t="s">
        <v>404</v>
      </c>
      <c r="GM5" s="368" t="s">
        <v>42</v>
      </c>
      <c r="GN5" s="73"/>
      <c r="GP5" s="107" t="s">
        <v>405</v>
      </c>
      <c r="GQ5" s="107" t="s">
        <v>406</v>
      </c>
      <c r="GR5" s="107" t="s">
        <v>410</v>
      </c>
      <c r="GS5" s="107" t="s">
        <v>42</v>
      </c>
      <c r="GT5" s="107"/>
      <c r="GV5" s="107" t="s">
        <v>405</v>
      </c>
      <c r="GW5" s="107" t="s">
        <v>406</v>
      </c>
      <c r="GX5" s="107" t="s">
        <v>410</v>
      </c>
      <c r="GY5" s="107" t="s">
        <v>42</v>
      </c>
      <c r="GZ5" s="107" t="s">
        <v>403</v>
      </c>
      <c r="HA5" s="107" t="s">
        <v>404</v>
      </c>
      <c r="HB5" s="107" t="s">
        <v>42</v>
      </c>
      <c r="HC5" s="353"/>
      <c r="HD5" s="408"/>
      <c r="HE5" s="357" t="s">
        <v>405</v>
      </c>
      <c r="HF5" s="357" t="s">
        <v>406</v>
      </c>
      <c r="HG5" s="421" t="s">
        <v>410</v>
      </c>
      <c r="HH5" s="357" t="s">
        <v>42</v>
      </c>
      <c r="HI5" s="408"/>
      <c r="HJ5" s="357" t="s">
        <v>405</v>
      </c>
      <c r="HK5" s="357" t="s">
        <v>406</v>
      </c>
      <c r="HL5" s="421" t="s">
        <v>410</v>
      </c>
      <c r="HM5" s="357" t="s">
        <v>42</v>
      </c>
      <c r="HN5" s="107" t="s">
        <v>403</v>
      </c>
      <c r="HO5" s="107" t="s">
        <v>404</v>
      </c>
      <c r="HP5" s="107" t="s">
        <v>42</v>
      </c>
      <c r="HQ5" s="373"/>
      <c r="HS5" s="357" t="s">
        <v>405</v>
      </c>
      <c r="HT5" s="357" t="s">
        <v>406</v>
      </c>
      <c r="HU5" s="357" t="s">
        <v>410</v>
      </c>
      <c r="HV5" s="357" t="s">
        <v>42</v>
      </c>
      <c r="HW5" s="357"/>
      <c r="HX5" s="357" t="s">
        <v>403</v>
      </c>
      <c r="HY5" s="357" t="s">
        <v>405</v>
      </c>
      <c r="HZ5" s="357" t="s">
        <v>406</v>
      </c>
      <c r="IA5" s="357" t="s">
        <v>410</v>
      </c>
      <c r="IB5" s="357" t="s">
        <v>42</v>
      </c>
      <c r="IC5" s="357"/>
      <c r="ID5" s="357" t="s">
        <v>403</v>
      </c>
      <c r="IE5" s="357" t="s">
        <v>404</v>
      </c>
      <c r="IF5" s="357" t="s">
        <v>42</v>
      </c>
      <c r="IH5" s="370" t="s">
        <v>403</v>
      </c>
      <c r="II5" s="368" t="s">
        <v>404</v>
      </c>
      <c r="IJ5" s="368" t="s">
        <v>42</v>
      </c>
      <c r="IK5" s="368" t="s">
        <v>403</v>
      </c>
      <c r="IL5" s="368" t="s">
        <v>404</v>
      </c>
      <c r="IM5" s="368" t="s">
        <v>42</v>
      </c>
      <c r="IN5" s="368" t="s">
        <v>403</v>
      </c>
      <c r="IO5" s="368" t="s">
        <v>404</v>
      </c>
      <c r="IP5" s="368" t="s">
        <v>42</v>
      </c>
      <c r="IR5" s="370" t="s">
        <v>403</v>
      </c>
      <c r="IS5" s="368" t="s">
        <v>404</v>
      </c>
      <c r="IT5" s="368" t="s">
        <v>42</v>
      </c>
      <c r="IU5" s="368" t="s">
        <v>403</v>
      </c>
      <c r="IV5" s="368" t="s">
        <v>404</v>
      </c>
      <c r="IW5" s="368" t="s">
        <v>42</v>
      </c>
      <c r="IX5" s="368" t="s">
        <v>403</v>
      </c>
      <c r="IY5" s="368" t="s">
        <v>404</v>
      </c>
      <c r="IZ5" s="368" t="s">
        <v>42</v>
      </c>
    </row>
    <row r="6" spans="2:260" x14ac:dyDescent="0.3">
      <c r="B6">
        <v>1962</v>
      </c>
      <c r="C6">
        <v>9334</v>
      </c>
      <c r="D6">
        <f>C6</f>
        <v>9334</v>
      </c>
    </row>
    <row r="7" spans="2:260" x14ac:dyDescent="0.3">
      <c r="B7">
        <v>1963</v>
      </c>
      <c r="C7">
        <v>9274</v>
      </c>
      <c r="D7">
        <f t="shared" ref="D7:D61" si="0">C7</f>
        <v>9274</v>
      </c>
    </row>
    <row r="8" spans="2:260" x14ac:dyDescent="0.3">
      <c r="B8">
        <v>1964</v>
      </c>
      <c r="C8">
        <v>5999</v>
      </c>
      <c r="D8">
        <f t="shared" si="0"/>
        <v>5999</v>
      </c>
    </row>
    <row r="9" spans="2:260" x14ac:dyDescent="0.3">
      <c r="B9">
        <v>1965</v>
      </c>
      <c r="C9">
        <v>9041</v>
      </c>
      <c r="D9">
        <f t="shared" si="0"/>
        <v>9041</v>
      </c>
    </row>
    <row r="10" spans="2:260" x14ac:dyDescent="0.3">
      <c r="B10">
        <v>1966</v>
      </c>
      <c r="C10">
        <v>13006</v>
      </c>
      <c r="D10">
        <f t="shared" si="0"/>
        <v>13006</v>
      </c>
    </row>
    <row r="11" spans="2:260" x14ac:dyDescent="0.3">
      <c r="B11">
        <v>1967</v>
      </c>
      <c r="C11">
        <v>7354</v>
      </c>
      <c r="D11">
        <f t="shared" si="0"/>
        <v>7354</v>
      </c>
    </row>
    <row r="12" spans="2:260" x14ac:dyDescent="0.3">
      <c r="B12">
        <v>1968</v>
      </c>
      <c r="C12">
        <v>10523</v>
      </c>
      <c r="D12">
        <f t="shared" si="0"/>
        <v>10523</v>
      </c>
    </row>
    <row r="13" spans="2:260" x14ac:dyDescent="0.3">
      <c r="B13">
        <v>1969</v>
      </c>
      <c r="C13">
        <v>6650</v>
      </c>
      <c r="D13">
        <f t="shared" si="0"/>
        <v>6650</v>
      </c>
    </row>
    <row r="14" spans="2:260" x14ac:dyDescent="0.3">
      <c r="B14">
        <v>1970</v>
      </c>
      <c r="C14">
        <v>5558</v>
      </c>
      <c r="D14">
        <f t="shared" si="0"/>
        <v>5558</v>
      </c>
    </row>
    <row r="15" spans="2:260" x14ac:dyDescent="0.3">
      <c r="B15">
        <v>1971</v>
      </c>
      <c r="C15">
        <v>11102</v>
      </c>
      <c r="D15">
        <f t="shared" si="0"/>
        <v>11102</v>
      </c>
    </row>
    <row r="16" spans="2:260" x14ac:dyDescent="0.3">
      <c r="B16">
        <v>1972</v>
      </c>
      <c r="C16">
        <v>6429</v>
      </c>
      <c r="D16">
        <f t="shared" si="0"/>
        <v>6429</v>
      </c>
    </row>
    <row r="17" spans="2:6" x14ac:dyDescent="0.3">
      <c r="B17">
        <v>1973</v>
      </c>
      <c r="C17">
        <v>6999</v>
      </c>
      <c r="D17">
        <f t="shared" si="0"/>
        <v>6999</v>
      </c>
    </row>
    <row r="18" spans="2:6" x14ac:dyDescent="0.3">
      <c r="B18">
        <v>1974</v>
      </c>
      <c r="C18">
        <v>3089</v>
      </c>
      <c r="D18">
        <f t="shared" si="0"/>
        <v>3089</v>
      </c>
    </row>
    <row r="19" spans="2:6" x14ac:dyDescent="0.3">
      <c r="B19">
        <v>1975</v>
      </c>
      <c r="C19">
        <v>2462</v>
      </c>
      <c r="D19">
        <f t="shared" si="0"/>
        <v>2462</v>
      </c>
    </row>
    <row r="20" spans="2:6" x14ac:dyDescent="0.3">
      <c r="B20">
        <v>1976</v>
      </c>
      <c r="C20">
        <v>9248</v>
      </c>
      <c r="D20">
        <f t="shared" si="0"/>
        <v>9248</v>
      </c>
    </row>
    <row r="21" spans="2:6" x14ac:dyDescent="0.3">
      <c r="B21">
        <v>1977</v>
      </c>
      <c r="C21">
        <v>9812</v>
      </c>
      <c r="D21">
        <f t="shared" si="0"/>
        <v>9812</v>
      </c>
    </row>
    <row r="22" spans="2:6" x14ac:dyDescent="0.3">
      <c r="B22">
        <v>1978</v>
      </c>
      <c r="C22">
        <v>4545</v>
      </c>
      <c r="D22">
        <f t="shared" si="0"/>
        <v>4545</v>
      </c>
    </row>
    <row r="23" spans="2:6" x14ac:dyDescent="0.3">
      <c r="B23">
        <v>1979</v>
      </c>
      <c r="C23">
        <v>8409</v>
      </c>
      <c r="D23">
        <f t="shared" si="0"/>
        <v>8409</v>
      </c>
    </row>
    <row r="24" spans="2:6" x14ac:dyDescent="0.3">
      <c r="B24">
        <v>1980</v>
      </c>
      <c r="C24">
        <v>8524</v>
      </c>
      <c r="D24">
        <f t="shared" si="0"/>
        <v>8524</v>
      </c>
    </row>
    <row r="25" spans="2:6" x14ac:dyDescent="0.3">
      <c r="B25">
        <v>1981</v>
      </c>
      <c r="C25">
        <v>9003</v>
      </c>
      <c r="D25">
        <f t="shared" si="0"/>
        <v>9003</v>
      </c>
    </row>
    <row r="26" spans="2:6" x14ac:dyDescent="0.3">
      <c r="B26">
        <v>1982</v>
      </c>
      <c r="C26">
        <v>11159</v>
      </c>
      <c r="D26">
        <f t="shared" si="0"/>
        <v>11159</v>
      </c>
    </row>
    <row r="27" spans="2:6" x14ac:dyDescent="0.3">
      <c r="B27">
        <v>1983</v>
      </c>
      <c r="C27">
        <v>31809</v>
      </c>
      <c r="D27">
        <f t="shared" si="0"/>
        <v>31809</v>
      </c>
    </row>
    <row r="28" spans="2:6" x14ac:dyDescent="0.3">
      <c r="B28">
        <v>1984</v>
      </c>
      <c r="C28">
        <v>26168</v>
      </c>
      <c r="D28">
        <f t="shared" si="0"/>
        <v>26168</v>
      </c>
    </row>
    <row r="29" spans="2:6" x14ac:dyDescent="0.3">
      <c r="B29">
        <v>1985</v>
      </c>
      <c r="C29">
        <v>34775</v>
      </c>
      <c r="D29">
        <f t="shared" si="0"/>
        <v>34775</v>
      </c>
    </row>
    <row r="30" spans="2:6" x14ac:dyDescent="0.3">
      <c r="B30">
        <v>1986</v>
      </c>
      <c r="C30">
        <v>22396</v>
      </c>
      <c r="D30">
        <f t="shared" si="0"/>
        <v>22396</v>
      </c>
    </row>
    <row r="31" spans="2:6" x14ac:dyDescent="0.3">
      <c r="B31">
        <v>1987</v>
      </c>
      <c r="C31">
        <v>14265</v>
      </c>
      <c r="D31">
        <f t="shared" si="0"/>
        <v>14265</v>
      </c>
    </row>
    <row r="32" spans="2:6" x14ac:dyDescent="0.3">
      <c r="B32">
        <v>1988</v>
      </c>
      <c r="C32">
        <v>10208</v>
      </c>
      <c r="D32">
        <f t="shared" si="0"/>
        <v>10208</v>
      </c>
      <c r="F32">
        <v>393</v>
      </c>
    </row>
    <row r="33" spans="2:260" x14ac:dyDescent="0.3">
      <c r="B33">
        <v>1989</v>
      </c>
      <c r="C33">
        <v>10667</v>
      </c>
      <c r="D33">
        <f t="shared" si="0"/>
        <v>10667</v>
      </c>
      <c r="F33">
        <v>304</v>
      </c>
    </row>
    <row r="34" spans="2:260" x14ac:dyDescent="0.3">
      <c r="B34">
        <v>1990</v>
      </c>
      <c r="C34">
        <v>7830</v>
      </c>
      <c r="D34">
        <f t="shared" si="0"/>
        <v>7830</v>
      </c>
      <c r="F34">
        <v>385</v>
      </c>
      <c r="G34">
        <v>113</v>
      </c>
    </row>
    <row r="35" spans="2:260" x14ac:dyDescent="0.3">
      <c r="B35">
        <v>1991</v>
      </c>
      <c r="C35">
        <v>14027</v>
      </c>
      <c r="D35">
        <f t="shared" si="0"/>
        <v>14027</v>
      </c>
      <c r="F35">
        <v>302</v>
      </c>
      <c r="G35">
        <v>89</v>
      </c>
    </row>
    <row r="36" spans="2:260" x14ac:dyDescent="0.3">
      <c r="B36">
        <v>1992</v>
      </c>
      <c r="C36">
        <v>13733</v>
      </c>
      <c r="D36">
        <f t="shared" si="0"/>
        <v>13733</v>
      </c>
      <c r="F36">
        <v>509</v>
      </c>
      <c r="G36">
        <v>150</v>
      </c>
    </row>
    <row r="37" spans="2:260" x14ac:dyDescent="0.3">
      <c r="B37">
        <v>1993</v>
      </c>
      <c r="C37">
        <v>5493</v>
      </c>
      <c r="D37">
        <f t="shared" si="0"/>
        <v>5493</v>
      </c>
      <c r="F37">
        <v>80</v>
      </c>
      <c r="G37">
        <v>26</v>
      </c>
    </row>
    <row r="38" spans="2:260" x14ac:dyDescent="0.3">
      <c r="B38">
        <v>1994</v>
      </c>
      <c r="C38">
        <v>6707</v>
      </c>
      <c r="D38">
        <f t="shared" si="0"/>
        <v>6707</v>
      </c>
      <c r="F38">
        <v>80</v>
      </c>
      <c r="G38">
        <v>29</v>
      </c>
    </row>
    <row r="39" spans="2:260" x14ac:dyDescent="0.3">
      <c r="B39">
        <v>1995</v>
      </c>
      <c r="C39">
        <v>4357</v>
      </c>
      <c r="D39">
        <f t="shared" si="0"/>
        <v>4357</v>
      </c>
      <c r="F39">
        <v>109</v>
      </c>
      <c r="G39">
        <v>29</v>
      </c>
    </row>
    <row r="40" spans="2:260" x14ac:dyDescent="0.3">
      <c r="B40">
        <v>1996</v>
      </c>
      <c r="C40">
        <v>8377</v>
      </c>
      <c r="D40">
        <f t="shared" si="0"/>
        <v>8377</v>
      </c>
      <c r="F40">
        <v>59</v>
      </c>
      <c r="G40">
        <v>11</v>
      </c>
    </row>
    <row r="41" spans="2:260" x14ac:dyDescent="0.3">
      <c r="B41">
        <v>1997</v>
      </c>
      <c r="C41">
        <v>9536</v>
      </c>
      <c r="D41">
        <f t="shared" si="0"/>
        <v>9536</v>
      </c>
      <c r="F41">
        <v>164</v>
      </c>
      <c r="G41">
        <v>27</v>
      </c>
    </row>
    <row r="42" spans="2:260" x14ac:dyDescent="0.3">
      <c r="B42">
        <v>1998</v>
      </c>
      <c r="C42">
        <v>5837</v>
      </c>
      <c r="D42">
        <f t="shared" si="0"/>
        <v>5837</v>
      </c>
      <c r="F42">
        <v>69</v>
      </c>
      <c r="G42">
        <v>20</v>
      </c>
    </row>
    <row r="43" spans="2:260" x14ac:dyDescent="0.3">
      <c r="B43">
        <v>1999</v>
      </c>
      <c r="C43">
        <v>8277</v>
      </c>
      <c r="F43">
        <v>136</v>
      </c>
      <c r="G43">
        <v>40</v>
      </c>
      <c r="J43">
        <v>1328</v>
      </c>
      <c r="K43">
        <v>50</v>
      </c>
      <c r="L43">
        <v>6740</v>
      </c>
      <c r="M43">
        <v>6790</v>
      </c>
      <c r="N43">
        <v>8118</v>
      </c>
      <c r="P43">
        <v>101</v>
      </c>
      <c r="Q43">
        <v>0</v>
      </c>
      <c r="R43">
        <v>131</v>
      </c>
      <c r="S43">
        <v>131</v>
      </c>
      <c r="T43">
        <v>232</v>
      </c>
      <c r="V43">
        <v>1429</v>
      </c>
      <c r="W43">
        <v>6921</v>
      </c>
      <c r="X43">
        <v>8350</v>
      </c>
      <c r="AN43" s="11">
        <v>0</v>
      </c>
      <c r="AO43" s="11">
        <v>0</v>
      </c>
      <c r="AP43" s="11">
        <v>0</v>
      </c>
      <c r="AQ43" s="11">
        <v>0</v>
      </c>
      <c r="AR43" s="11">
        <v>0</v>
      </c>
      <c r="AS43" s="11"/>
      <c r="AT43" s="11">
        <v>0</v>
      </c>
      <c r="AU43" s="11">
        <v>0</v>
      </c>
      <c r="AV43" s="11"/>
      <c r="AW43" s="11">
        <v>0</v>
      </c>
      <c r="AX43" s="11">
        <v>0</v>
      </c>
      <c r="AY43" s="11"/>
      <c r="AZ43" s="11">
        <v>0</v>
      </c>
      <c r="BA43" s="11">
        <v>0</v>
      </c>
      <c r="BB43" s="11">
        <v>0</v>
      </c>
      <c r="BD43" s="63">
        <v>0</v>
      </c>
      <c r="BE43" s="63">
        <v>0</v>
      </c>
      <c r="BF43" s="63">
        <v>0</v>
      </c>
      <c r="BH43" s="381">
        <v>1328</v>
      </c>
      <c r="BI43" s="381">
        <v>50</v>
      </c>
      <c r="BJ43" s="381">
        <v>6740</v>
      </c>
      <c r="BK43" s="381">
        <v>6790</v>
      </c>
      <c r="BL43" s="381">
        <v>8118</v>
      </c>
      <c r="BM43" s="381"/>
      <c r="BN43" s="381">
        <v>101</v>
      </c>
      <c r="BO43" s="381">
        <v>0</v>
      </c>
      <c r="BP43" s="381">
        <v>131</v>
      </c>
      <c r="BQ43" s="381">
        <v>131</v>
      </c>
      <c r="BR43" s="381">
        <v>232</v>
      </c>
      <c r="BS43" s="381"/>
      <c r="BT43" s="381">
        <v>1429</v>
      </c>
      <c r="BU43" s="381">
        <v>6921</v>
      </c>
      <c r="BV43" s="381">
        <v>8350</v>
      </c>
      <c r="BX43">
        <v>0.84499999999999997</v>
      </c>
      <c r="BY43">
        <v>1</v>
      </c>
      <c r="CA43" s="144">
        <v>5.8776922261858509E-2</v>
      </c>
      <c r="CB43" s="144">
        <v>0.12393719959946596</v>
      </c>
      <c r="CC43" s="144">
        <v>0.11351979407822323</v>
      </c>
      <c r="CD43" s="144">
        <v>0.13646577540106952</v>
      </c>
      <c r="CE43" s="144">
        <v>0.22268989509159101</v>
      </c>
      <c r="CF43" s="144">
        <v>0.18736523419429582</v>
      </c>
      <c r="CG43" s="144">
        <v>6.472406089559983E-2</v>
      </c>
      <c r="CH43" s="144">
        <v>0.12560252368025485</v>
      </c>
      <c r="CI43" s="144">
        <v>0.11575235698742203</v>
      </c>
      <c r="CK43" s="63">
        <v>5.8480522903378844E-2</v>
      </c>
      <c r="CL43" s="63">
        <v>5.8480522903378837E-2</v>
      </c>
      <c r="CM43" s="63">
        <v>0.11856402519338077</v>
      </c>
      <c r="CN43" s="63">
        <v>0.1181677643693064</v>
      </c>
      <c r="CO43" s="63">
        <v>0.10927092725458794</v>
      </c>
      <c r="CP43" s="63">
        <v>0.13584828320468462</v>
      </c>
      <c r="CQ43" s="63">
        <v>0.13584828320468462</v>
      </c>
      <c r="CS43" s="63">
        <v>0.2161799377341565</v>
      </c>
      <c r="CT43" s="63">
        <v>0.18375648872930911</v>
      </c>
      <c r="CU43" s="63">
        <v>0.12022545574651833</v>
      </c>
      <c r="CV43" s="63">
        <v>6.440023617970092E-2</v>
      </c>
      <c r="CW43" s="63">
        <v>0.11575235698742203</v>
      </c>
      <c r="CY43" s="11">
        <v>98.142166394543537</v>
      </c>
      <c r="CZ43" s="11">
        <v>3.6951116865415483</v>
      </c>
      <c r="DA43" s="11">
        <v>1128.4170170233999</v>
      </c>
      <c r="DB43" s="11">
        <v>1132.1121287099415</v>
      </c>
      <c r="DC43" s="11">
        <v>1230.254295104485</v>
      </c>
      <c r="DE43" s="11">
        <v>18.888995247504333</v>
      </c>
      <c r="DF43" s="11">
        <v>0</v>
      </c>
      <c r="DG43" s="11">
        <v>44.414091595656288</v>
      </c>
      <c r="DH43" s="11">
        <v>44.414091595656288</v>
      </c>
      <c r="DI43" s="11">
        <v>63.303086843160621</v>
      </c>
      <c r="DK43" s="11">
        <v>117.03116164204786</v>
      </c>
      <c r="DL43" s="11">
        <v>1176.5262203055979</v>
      </c>
      <c r="DM43" s="11">
        <v>1293.5573819476456</v>
      </c>
      <c r="DO43" s="381">
        <v>1669.7397995306383</v>
      </c>
      <c r="DP43" s="381">
        <v>62.866709319677639</v>
      </c>
      <c r="DQ43" s="381">
        <v>9104.7483779701452</v>
      </c>
      <c r="DR43" s="381">
        <v>9167.6150872898234</v>
      </c>
      <c r="DS43" s="381">
        <v>10837.354886820462</v>
      </c>
      <c r="DU43" s="381">
        <v>138.41562246643926</v>
      </c>
      <c r="DV43" s="381">
        <v>0</v>
      </c>
      <c r="DW43" s="381">
        <v>199.44367739447287</v>
      </c>
      <c r="DX43" s="381">
        <v>199.44367739447287</v>
      </c>
      <c r="DY43" s="381">
        <v>337.85929986091213</v>
      </c>
      <c r="EA43" s="381">
        <v>1808.1554219970776</v>
      </c>
      <c r="EB43" s="381">
        <v>9367.058764684296</v>
      </c>
      <c r="EC43" s="381">
        <v>11175.214186681374</v>
      </c>
      <c r="EE43" s="63">
        <v>5.4273690530851557E-2</v>
      </c>
      <c r="EF43" s="63">
        <v>5.6447212950600803E-2</v>
      </c>
      <c r="EG43" s="63">
        <v>5.6099724183192305E-2</v>
      </c>
      <c r="EH43" s="63">
        <v>0.12657272727272728</v>
      </c>
      <c r="EI43" s="63">
        <v>0.12979431429037344</v>
      </c>
      <c r="EJ43" s="63">
        <v>0.12847448093796648</v>
      </c>
      <c r="EK43" s="63">
        <v>5.9808234770028619E-2</v>
      </c>
      <c r="EL43" s="63">
        <v>5.7994333960442741E-2</v>
      </c>
      <c r="EM43" s="63">
        <v>5.8287824047436015E-2</v>
      </c>
      <c r="EO43" s="11">
        <v>90.622941146771979</v>
      </c>
      <c r="EP43" s="11">
        <v>3.4120083263091856</v>
      </c>
      <c r="EQ43" s="11">
        <v>513.93767055291801</v>
      </c>
      <c r="ER43" s="11">
        <v>517.34967887922721</v>
      </c>
      <c r="ES43" s="11">
        <v>607.97262002599916</v>
      </c>
      <c r="EU43" s="11">
        <v>17.519642832729399</v>
      </c>
      <c r="EV43" s="11">
        <v>0</v>
      </c>
      <c r="EW43" s="11">
        <v>25.886655346966062</v>
      </c>
      <c r="EX43" s="11">
        <v>25.886655346966062</v>
      </c>
      <c r="EY43" s="11">
        <v>43.406298179695462</v>
      </c>
      <c r="FA43" s="11">
        <v>108.14258397950138</v>
      </c>
      <c r="FB43" s="11">
        <v>543.23633422619332</v>
      </c>
      <c r="FC43" s="11">
        <v>651.37891820569473</v>
      </c>
      <c r="FE43" s="63">
        <v>4.503231731006958E-3</v>
      </c>
      <c r="FF43" s="63">
        <v>6.7489986648865158E-2</v>
      </c>
      <c r="FG43" s="63">
        <v>5.7420069895030922E-2</v>
      </c>
      <c r="FH43" s="63">
        <v>9.8930481283422463E-3</v>
      </c>
      <c r="FI43" s="63">
        <v>9.2895580801217584E-2</v>
      </c>
      <c r="FJ43" s="63">
        <v>5.8890753256329344E-2</v>
      </c>
      <c r="FK43" s="63">
        <v>4.9158261255712269E-3</v>
      </c>
      <c r="FL43" s="63">
        <v>6.7608189719812084E-2</v>
      </c>
      <c r="FM43" s="63">
        <v>5.7464532939986025E-2</v>
      </c>
      <c r="FO43" s="11">
        <v>7.5192252477715673</v>
      </c>
      <c r="FP43" s="11">
        <v>0.28310336023236321</v>
      </c>
      <c r="FQ43" s="11">
        <v>614.4793464704818</v>
      </c>
      <c r="FR43" s="11">
        <v>614.76244983071422</v>
      </c>
      <c r="FS43" s="11">
        <v>622.28167507848582</v>
      </c>
      <c r="FU43" s="11">
        <v>1.3693524147749339</v>
      </c>
      <c r="FV43" s="11">
        <v>0</v>
      </c>
      <c r="FW43" s="11">
        <v>18.527436248690229</v>
      </c>
      <c r="FX43" s="11">
        <v>18.527436248690229</v>
      </c>
      <c r="FY43" s="11">
        <v>19.896788663465163</v>
      </c>
      <c r="GA43" s="11">
        <v>8.8885776625465009</v>
      </c>
      <c r="GB43" s="11">
        <v>633.28988607940448</v>
      </c>
      <c r="GC43" s="11">
        <v>642.17846374195096</v>
      </c>
      <c r="GE43" s="63">
        <v>5.0427846010577546E-3</v>
      </c>
      <c r="GF43" s="63">
        <v>4.3354008509551289E-2</v>
      </c>
      <c r="GG43" s="63">
        <v>3.7428422577189681E-2</v>
      </c>
      <c r="GH43" s="63">
        <v>4.5248868778280547E-3</v>
      </c>
      <c r="GI43" s="63">
        <v>2.9233285842435754E-2</v>
      </c>
      <c r="GJ43" s="63">
        <v>1.9260485972784559E-2</v>
      </c>
      <c r="GK43" s="63">
        <v>5.0031581983282433E-3</v>
      </c>
      <c r="GL43" s="63">
        <v>4.2810190242871943E-2</v>
      </c>
      <c r="GM43" s="63">
        <v>3.6889025876240496E-2</v>
      </c>
      <c r="GO43" s="11">
        <v>8.4628142984723116</v>
      </c>
      <c r="GP43" s="11">
        <v>0.31863005641838521</v>
      </c>
      <c r="GQ43" s="11">
        <v>412.61589152833653</v>
      </c>
      <c r="GR43" s="11">
        <v>412.93452158475492</v>
      </c>
      <c r="GS43" s="11">
        <v>421.39733588322724</v>
      </c>
      <c r="GU43" s="11">
        <v>0.62916192030199658</v>
      </c>
      <c r="GV43" s="11">
        <v>0</v>
      </c>
      <c r="GW43" s="11">
        <v>6.0059682163688626</v>
      </c>
      <c r="GX43" s="11">
        <v>6.0059682163688626</v>
      </c>
      <c r="GY43" s="11">
        <v>6.6351301366708588</v>
      </c>
      <c r="GZ43" s="11">
        <v>9.0919762187743078</v>
      </c>
      <c r="HA43" s="11">
        <v>418.94048980112376</v>
      </c>
      <c r="HB43" s="11">
        <v>428.0324660198981</v>
      </c>
      <c r="HD43" s="11">
        <v>15.982039546243879</v>
      </c>
      <c r="HE43" s="11">
        <v>0.60173341665074842</v>
      </c>
      <c r="HF43" s="11">
        <v>1027.0952379988184</v>
      </c>
      <c r="HG43" s="11">
        <v>1027.6969714154693</v>
      </c>
      <c r="HH43" s="11">
        <v>1043.6790109617132</v>
      </c>
      <c r="HI43" s="11">
        <v>0</v>
      </c>
      <c r="HJ43" s="11">
        <v>1.9985143350769303</v>
      </c>
      <c r="HK43" s="11">
        <v>0</v>
      </c>
      <c r="HL43" s="11">
        <v>1.9985143350769303</v>
      </c>
      <c r="HM43" s="11">
        <v>1.9985143350769303</v>
      </c>
      <c r="HN43" s="11">
        <v>15.982039546243879</v>
      </c>
      <c r="HO43" s="11">
        <v>1029.6954857505461</v>
      </c>
      <c r="HP43" s="11">
        <v>1045.67752529679</v>
      </c>
      <c r="HR43" s="381">
        <v>1678.2026138291105</v>
      </c>
      <c r="HS43" s="381">
        <v>63.185339376096024</v>
      </c>
      <c r="HT43" s="381">
        <v>9517.364269498481</v>
      </c>
      <c r="HU43" s="381">
        <v>9580.5496088745767</v>
      </c>
      <c r="HV43" s="381">
        <v>11258.752222703688</v>
      </c>
      <c r="HX43" s="381">
        <v>139.04478438674124</v>
      </c>
      <c r="HY43" s="381">
        <v>0</v>
      </c>
      <c r="HZ43" s="381">
        <v>205.44964561084174</v>
      </c>
      <c r="IA43" s="381">
        <v>205.44964561084174</v>
      </c>
      <c r="IB43" s="381">
        <v>344.49442999758298</v>
      </c>
      <c r="ID43" s="381">
        <v>1817.2473982158517</v>
      </c>
      <c r="IE43" s="381">
        <v>9785.9992544854176</v>
      </c>
      <c r="IF43" s="381">
        <v>11603.246652701271</v>
      </c>
      <c r="IH43" s="144">
        <v>5.4000000000000006E-2</v>
      </c>
      <c r="II43" s="144">
        <v>5.4000000000000006E-2</v>
      </c>
      <c r="IJ43" s="144">
        <v>5.3999999999999999E-2</v>
      </c>
      <c r="IK43" s="144">
        <v>0.12600000000000003</v>
      </c>
      <c r="IL43" s="144">
        <v>0.126</v>
      </c>
      <c r="IM43" s="144">
        <v>0.12600000000000003</v>
      </c>
      <c r="IN43" s="144">
        <v>5.9509004709911412E-2</v>
      </c>
      <c r="IO43" s="144">
        <v>5.5511585490587552E-2</v>
      </c>
      <c r="IP43" s="144">
        <v>5.6137642997880405E-2</v>
      </c>
      <c r="IR43" s="144">
        <v>9.5233075044365966E-3</v>
      </c>
      <c r="IS43" s="144">
        <v>0.10726910390020852</v>
      </c>
      <c r="IT43" s="144">
        <v>9.2699349831777633E-2</v>
      </c>
      <c r="IU43" s="144">
        <v>1.4373170082512644E-2</v>
      </c>
      <c r="IV43" s="144">
        <v>0.11941322357659226</v>
      </c>
      <c r="IW43" s="144">
        <v>7.7016974702093649E-2</v>
      </c>
      <c r="IX43" s="144">
        <v>9.8943896681177625E-3</v>
      </c>
      <c r="IY43" s="144">
        <v>0.10752406049880271</v>
      </c>
      <c r="IZ43" s="144">
        <v>9.2233748173637303E-2</v>
      </c>
    </row>
    <row r="44" spans="2:260" x14ac:dyDescent="0.3">
      <c r="B44">
        <v>2000</v>
      </c>
      <c r="C44">
        <v>11331</v>
      </c>
      <c r="F44">
        <v>242</v>
      </c>
      <c r="G44">
        <v>64</v>
      </c>
      <c r="J44">
        <v>2184</v>
      </c>
      <c r="K44">
        <v>1492</v>
      </c>
      <c r="L44">
        <v>7386</v>
      </c>
      <c r="M44">
        <v>8878</v>
      </c>
      <c r="N44">
        <v>11062</v>
      </c>
      <c r="P44">
        <v>209</v>
      </c>
      <c r="Q44">
        <v>0</v>
      </c>
      <c r="R44">
        <v>241</v>
      </c>
      <c r="S44">
        <v>241</v>
      </c>
      <c r="T44">
        <v>450</v>
      </c>
      <c r="V44">
        <v>2393</v>
      </c>
      <c r="W44">
        <v>9119</v>
      </c>
      <c r="X44">
        <v>11512</v>
      </c>
      <c r="AN44" s="11">
        <v>0</v>
      </c>
      <c r="AO44" s="11">
        <v>0</v>
      </c>
      <c r="AP44" s="11">
        <v>0</v>
      </c>
      <c r="AQ44" s="11">
        <v>0</v>
      </c>
      <c r="AR44" s="11">
        <v>0</v>
      </c>
      <c r="AS44" s="11"/>
      <c r="AT44" s="11">
        <v>0</v>
      </c>
      <c r="AU44" s="11">
        <v>0</v>
      </c>
      <c r="AV44" s="11"/>
      <c r="AW44" s="11">
        <v>0</v>
      </c>
      <c r="AX44" s="11">
        <v>0</v>
      </c>
      <c r="AY44" s="11"/>
      <c r="AZ44" s="11">
        <v>0</v>
      </c>
      <c r="BA44" s="11">
        <v>0</v>
      </c>
      <c r="BB44" s="11">
        <v>0</v>
      </c>
      <c r="BD44" s="63">
        <v>0</v>
      </c>
      <c r="BE44" s="63">
        <v>0</v>
      </c>
      <c r="BF44" s="63">
        <v>0</v>
      </c>
      <c r="BH44" s="381">
        <v>2184</v>
      </c>
      <c r="BI44" s="381">
        <v>1492</v>
      </c>
      <c r="BJ44" s="381">
        <v>7386</v>
      </c>
      <c r="BK44" s="381">
        <v>8878</v>
      </c>
      <c r="BL44" s="381">
        <v>11062</v>
      </c>
      <c r="BM44" s="381"/>
      <c r="BN44" s="381">
        <v>209</v>
      </c>
      <c r="BO44" s="381">
        <v>0</v>
      </c>
      <c r="BP44" s="381">
        <v>241</v>
      </c>
      <c r="BQ44" s="381">
        <v>241</v>
      </c>
      <c r="BR44" s="381">
        <v>450</v>
      </c>
      <c r="BS44" s="381"/>
      <c r="BT44" s="381">
        <v>2393</v>
      </c>
      <c r="BU44" s="381">
        <v>9119</v>
      </c>
      <c r="BV44" s="381">
        <v>11512</v>
      </c>
      <c r="BX44">
        <v>0.84499999999999997</v>
      </c>
      <c r="BY44">
        <v>1</v>
      </c>
      <c r="CA44" s="144">
        <v>5.1414251587351481E-2</v>
      </c>
      <c r="CB44" s="144">
        <v>0.14603007936248733</v>
      </c>
      <c r="CC44" s="144">
        <v>0.1167541526995314</v>
      </c>
      <c r="CD44" s="144">
        <v>0.15411460325047799</v>
      </c>
      <c r="CE44" s="144">
        <v>0.26879189330383207</v>
      </c>
      <c r="CF44" s="144">
        <v>0.21965758098730709</v>
      </c>
      <c r="CG44" s="144">
        <v>6.1367380602043498E-2</v>
      </c>
      <c r="CH44" s="144">
        <v>0.13576071635126868</v>
      </c>
      <c r="CI44" s="144">
        <v>0.12128370253579839</v>
      </c>
      <c r="CK44" s="63">
        <v>5.1034070699822159E-2</v>
      </c>
      <c r="CL44" s="63">
        <v>5.1034070699822159E-2</v>
      </c>
      <c r="CM44" s="63">
        <v>0.13901119228975595</v>
      </c>
      <c r="CN44" s="63">
        <v>0.12594621955887841</v>
      </c>
      <c r="CO44" s="63">
        <v>0.11256954598963759</v>
      </c>
      <c r="CP44" s="63">
        <v>0.15321741713199472</v>
      </c>
      <c r="CQ44" s="63">
        <v>0.15321741713199472</v>
      </c>
      <c r="CS44" s="63">
        <v>0.26267326346136516</v>
      </c>
      <c r="CT44" s="63">
        <v>0.21623624091213806</v>
      </c>
      <c r="CU44" s="63">
        <v>0.13013549783882633</v>
      </c>
      <c r="CV44" s="63">
        <v>6.0922942987071987E-2</v>
      </c>
      <c r="CW44" s="63">
        <v>0.12128370253579839</v>
      </c>
      <c r="CY44" s="11">
        <v>140.08861704229108</v>
      </c>
      <c r="CZ44" s="11">
        <v>95.701564389697026</v>
      </c>
      <c r="DA44" s="11">
        <v>1494.6941741679029</v>
      </c>
      <c r="DB44" s="11">
        <v>1590.3957385576</v>
      </c>
      <c r="DC44" s="11">
        <v>1730.4843555998912</v>
      </c>
      <c r="DE44" s="11">
        <v>45.063180699081251</v>
      </c>
      <c r="DF44" s="11">
        <v>0</v>
      </c>
      <c r="DG44" s="11">
        <v>104.84204954745967</v>
      </c>
      <c r="DH44" s="11">
        <v>104.84204954745967</v>
      </c>
      <c r="DI44" s="11">
        <v>149.90523024654092</v>
      </c>
      <c r="DK44" s="11">
        <v>185.15179774137232</v>
      </c>
      <c r="DL44" s="11">
        <v>1695.2377881050597</v>
      </c>
      <c r="DM44" s="11">
        <v>1880.3895858464321</v>
      </c>
      <c r="DO44" s="381">
        <v>2724.7040016576757</v>
      </c>
      <c r="DP44" s="381">
        <v>1861.3820377624781</v>
      </c>
      <c r="DQ44" s="381">
        <v>10235.522576534768</v>
      </c>
      <c r="DR44" s="381">
        <v>12096.904614297246</v>
      </c>
      <c r="DS44" s="381">
        <v>14821.608615954921</v>
      </c>
      <c r="DU44" s="381">
        <v>292.40045880559012</v>
      </c>
      <c r="DV44" s="381">
        <v>0</v>
      </c>
      <c r="DW44" s="381">
        <v>390.04915013917559</v>
      </c>
      <c r="DX44" s="381">
        <v>390.04915013917559</v>
      </c>
      <c r="DY44" s="381">
        <v>682.44960894476571</v>
      </c>
      <c r="EA44" s="381">
        <v>3017.1044604632657</v>
      </c>
      <c r="EB44" s="381">
        <v>12486.953764436421</v>
      </c>
      <c r="EC44" s="381">
        <v>15504.058224899687</v>
      </c>
      <c r="EE44" s="63">
        <v>4.3320330672031178E-2</v>
      </c>
      <c r="EF44" s="63">
        <v>4.5171135569417681E-2</v>
      </c>
      <c r="EG44" s="63">
        <v>4.459846152832489E-2</v>
      </c>
      <c r="EH44" s="63">
        <v>0.1438373565965583</v>
      </c>
      <c r="EI44" s="63">
        <v>0.1463309978181371</v>
      </c>
      <c r="EJ44" s="63">
        <v>0.145262579245206</v>
      </c>
      <c r="EK44" s="63">
        <v>5.3061864279254113E-2</v>
      </c>
      <c r="EL44" s="63">
        <v>4.8055126652132844E-2</v>
      </c>
      <c r="EM44" s="63">
        <v>4.9029442551108034E-2</v>
      </c>
      <c r="EO44" s="11">
        <v>118.03507833521709</v>
      </c>
      <c r="EP44" s="11">
        <v>80.635685382849772</v>
      </c>
      <c r="EQ44" s="11">
        <v>462.35017792848737</v>
      </c>
      <c r="ER44" s="11">
        <v>542.9858633113372</v>
      </c>
      <c r="ES44" s="11">
        <v>661.02094164655432</v>
      </c>
      <c r="EU44" s="11">
        <v>42.058109062216921</v>
      </c>
      <c r="EV44" s="11">
        <v>0</v>
      </c>
      <c r="EW44" s="11">
        <v>57.076281337981939</v>
      </c>
      <c r="EX44" s="11">
        <v>57.076281337981939</v>
      </c>
      <c r="EY44" s="11">
        <v>99.134390400198868</v>
      </c>
      <c r="FA44" s="11">
        <v>160.09318739743401</v>
      </c>
      <c r="FB44" s="11">
        <v>600.06214464931918</v>
      </c>
      <c r="FC44" s="11">
        <v>760.15533204675319</v>
      </c>
      <c r="FE44" s="63">
        <v>8.0939209153202997E-3</v>
      </c>
      <c r="FF44" s="63">
        <v>0.10085894379306966</v>
      </c>
      <c r="FG44" s="63">
        <v>7.2155691171206529E-2</v>
      </c>
      <c r="FH44" s="63">
        <v>1.0277246653919695E-2</v>
      </c>
      <c r="FI44" s="63">
        <v>0.12246089548569497</v>
      </c>
      <c r="FJ44" s="63">
        <v>7.4395001742101105E-2</v>
      </c>
      <c r="FK44" s="63">
        <v>8.3055163227893844E-3</v>
      </c>
      <c r="FL44" s="63">
        <v>8.7705589699135861E-2</v>
      </c>
      <c r="FM44" s="63">
        <v>7.2254259984690386E-2</v>
      </c>
      <c r="FO44" s="11">
        <v>22.053538707073979</v>
      </c>
      <c r="FP44" s="11">
        <v>15.065879006847242</v>
      </c>
      <c r="FQ44" s="11">
        <v>1032.3439962394157</v>
      </c>
      <c r="FR44" s="11">
        <v>1047.409875246263</v>
      </c>
      <c r="FS44" s="11">
        <v>1069.4634139533371</v>
      </c>
      <c r="FU44" s="11">
        <v>3.0050716368643346</v>
      </c>
      <c r="FV44" s="11">
        <v>0</v>
      </c>
      <c r="FW44" s="11">
        <v>47.765768209477727</v>
      </c>
      <c r="FX44" s="11">
        <v>47.765768209477727</v>
      </c>
      <c r="FY44" s="11">
        <v>50.770839846342064</v>
      </c>
      <c r="GA44" s="11">
        <v>25.058610343938312</v>
      </c>
      <c r="GB44" s="11">
        <v>1095.1756434557408</v>
      </c>
      <c r="GC44" s="11">
        <v>1120.2342537996792</v>
      </c>
      <c r="GE44" s="63">
        <v>7.3944650712926274E-3</v>
      </c>
      <c r="GF44" s="63">
        <v>4.8064666563034354E-2</v>
      </c>
      <c r="GG44" s="63">
        <v>3.5841180918532139E-2</v>
      </c>
      <c r="GH44" s="63">
        <v>5.8215516217179518E-3</v>
      </c>
      <c r="GI44" s="63">
        <v>2.2763446349740233E-2</v>
      </c>
      <c r="GJ44" s="63">
        <v>1.5575788733495591E-2</v>
      </c>
      <c r="GK44" s="63">
        <v>7.2422451571399213E-3</v>
      </c>
      <c r="GL44" s="63">
        <v>4.1434802817978809E-2</v>
      </c>
      <c r="GM44" s="63">
        <v>3.4966720381060516E-2</v>
      </c>
      <c r="GO44" s="11">
        <v>20.297820091559348</v>
      </c>
      <c r="GP44" s="11">
        <v>13.866459513098237</v>
      </c>
      <c r="GQ44" s="11">
        <v>516.80714273238016</v>
      </c>
      <c r="GR44" s="11">
        <v>530.67360224547838</v>
      </c>
      <c r="GS44" s="11">
        <v>550.97142233703778</v>
      </c>
      <c r="GU44" s="11">
        <v>1.7121919791436324</v>
      </c>
      <c r="GV44" s="11">
        <v>0</v>
      </c>
      <c r="GW44" s="11">
        <v>9.0856843921666552</v>
      </c>
      <c r="GX44" s="11">
        <v>9.0856843921666552</v>
      </c>
      <c r="GY44" s="11">
        <v>10.797876371310288</v>
      </c>
      <c r="GZ44" s="11">
        <v>22.010012070702981</v>
      </c>
      <c r="HA44" s="11">
        <v>539.759286637645</v>
      </c>
      <c r="HB44" s="11">
        <v>561.76929870834806</v>
      </c>
      <c r="HD44" s="11">
        <v>42.351358798633328</v>
      </c>
      <c r="HE44" s="11">
        <v>28.932338519945478</v>
      </c>
      <c r="HF44" s="11">
        <v>1549.1511389717957</v>
      </c>
      <c r="HG44" s="11">
        <v>1578.0834774917412</v>
      </c>
      <c r="HH44" s="11">
        <v>1620.4348362903745</v>
      </c>
      <c r="HI44" s="11">
        <v>0</v>
      </c>
      <c r="HJ44" s="11">
        <v>4.7172636160079673</v>
      </c>
      <c r="HK44" s="11">
        <v>0</v>
      </c>
      <c r="HL44" s="11">
        <v>4.7172636160079673</v>
      </c>
      <c r="HM44" s="11">
        <v>4.7172636160079673</v>
      </c>
      <c r="HN44" s="11">
        <v>42.351358798633328</v>
      </c>
      <c r="HO44" s="11">
        <v>1582.8007411077492</v>
      </c>
      <c r="HP44" s="11">
        <v>1625.1520999063825</v>
      </c>
      <c r="HR44" s="381">
        <v>2745.0018217492348</v>
      </c>
      <c r="HS44" s="381">
        <v>1875.2484972755763</v>
      </c>
      <c r="HT44" s="381">
        <v>10752.329719267147</v>
      </c>
      <c r="HU44" s="381">
        <v>12627.578216542723</v>
      </c>
      <c r="HV44" s="381">
        <v>15372.580038291957</v>
      </c>
      <c r="HX44" s="381">
        <v>294.11265078473377</v>
      </c>
      <c r="HY44" s="381">
        <v>0</v>
      </c>
      <c r="HZ44" s="381">
        <v>399.13483453134228</v>
      </c>
      <c r="IA44" s="381">
        <v>399.13483453134228</v>
      </c>
      <c r="IB44" s="381">
        <v>693.24748531607611</v>
      </c>
      <c r="ID44" s="381">
        <v>3039.1144725339686</v>
      </c>
      <c r="IE44" s="381">
        <v>13026.713051074064</v>
      </c>
      <c r="IF44" s="381">
        <v>16065.827523608034</v>
      </c>
      <c r="IH44" s="144">
        <v>4.2999999999999997E-2</v>
      </c>
      <c r="II44" s="144">
        <v>4.300000000000001E-2</v>
      </c>
      <c r="IJ44" s="144">
        <v>4.300000000000001E-2</v>
      </c>
      <c r="IK44" s="144">
        <v>0.14299999999999996</v>
      </c>
      <c r="IL44" s="144">
        <v>0.14299999999999999</v>
      </c>
      <c r="IM44" s="144">
        <v>0.14299999999999999</v>
      </c>
      <c r="IN44" s="144">
        <v>5.2677577249648867E-2</v>
      </c>
      <c r="IO44" s="144">
        <v>4.6063971954908724E-2</v>
      </c>
      <c r="IP44" s="144">
        <v>4.7315043742984175E-2</v>
      </c>
      <c r="IR44" s="144">
        <v>1.5428535771114789E-2</v>
      </c>
      <c r="IS44" s="144">
        <v>0.12497119007541586</v>
      </c>
      <c r="IT44" s="144">
        <v>0.10541072690816972</v>
      </c>
      <c r="IU44" s="144">
        <v>1.6038968753712725E-2</v>
      </c>
      <c r="IV44" s="144">
        <v>0.14243670981110543</v>
      </c>
      <c r="IW44" s="144">
        <v>8.8812029645633686E-2</v>
      </c>
      <c r="IX44" s="144">
        <v>1.5487610894563039E-2</v>
      </c>
      <c r="IY44" s="144">
        <v>0.12550632870189646</v>
      </c>
      <c r="IZ44" s="144">
        <v>0.10469448586052578</v>
      </c>
    </row>
    <row r="45" spans="2:260" x14ac:dyDescent="0.3">
      <c r="B45">
        <v>2001</v>
      </c>
      <c r="C45">
        <v>29963</v>
      </c>
      <c r="F45">
        <v>336</v>
      </c>
      <c r="G45">
        <v>99</v>
      </c>
      <c r="H45">
        <v>158</v>
      </c>
      <c r="J45">
        <v>5709</v>
      </c>
      <c r="K45">
        <v>9778</v>
      </c>
      <c r="L45">
        <v>13076</v>
      </c>
      <c r="M45">
        <v>22854</v>
      </c>
      <c r="N45">
        <v>28563</v>
      </c>
      <c r="P45">
        <v>234</v>
      </c>
      <c r="Q45">
        <v>285</v>
      </c>
      <c r="R45">
        <v>703</v>
      </c>
      <c r="S45">
        <v>988</v>
      </c>
      <c r="T45">
        <v>1222</v>
      </c>
      <c r="V45">
        <v>5943</v>
      </c>
      <c r="W45">
        <v>23842</v>
      </c>
      <c r="X45">
        <v>29785</v>
      </c>
      <c r="AN45" s="11">
        <v>0</v>
      </c>
      <c r="AO45" s="11">
        <v>0</v>
      </c>
      <c r="AP45" s="11">
        <v>0</v>
      </c>
      <c r="AQ45" s="11">
        <v>0</v>
      </c>
      <c r="AR45" s="11">
        <v>0</v>
      </c>
      <c r="AS45" s="11"/>
      <c r="AT45" s="11">
        <v>0</v>
      </c>
      <c r="AU45" s="11">
        <v>0</v>
      </c>
      <c r="AV45" s="11"/>
      <c r="AW45" s="11">
        <v>0</v>
      </c>
      <c r="AX45" s="11">
        <v>0</v>
      </c>
      <c r="AY45" s="11"/>
      <c r="AZ45" s="11">
        <v>0</v>
      </c>
      <c r="BA45" s="11">
        <v>0</v>
      </c>
      <c r="BB45" s="11">
        <v>0</v>
      </c>
      <c r="BD45" s="63">
        <v>0</v>
      </c>
      <c r="BE45" s="63">
        <v>0</v>
      </c>
      <c r="BF45" s="63">
        <v>0</v>
      </c>
      <c r="BH45" s="381">
        <v>5709</v>
      </c>
      <c r="BI45" s="381">
        <v>9778</v>
      </c>
      <c r="BJ45" s="381">
        <v>13076</v>
      </c>
      <c r="BK45" s="381">
        <v>22854</v>
      </c>
      <c r="BL45" s="381">
        <v>28563</v>
      </c>
      <c r="BM45" s="381"/>
      <c r="BN45" s="381">
        <v>234</v>
      </c>
      <c r="BO45" s="381">
        <v>285</v>
      </c>
      <c r="BP45" s="381">
        <v>703</v>
      </c>
      <c r="BQ45" s="381">
        <v>988</v>
      </c>
      <c r="BR45" s="381">
        <v>1222</v>
      </c>
      <c r="BS45" s="381"/>
      <c r="BT45" s="381">
        <v>5943</v>
      </c>
      <c r="BU45" s="381">
        <v>23842</v>
      </c>
      <c r="BV45" s="381">
        <v>29785</v>
      </c>
      <c r="BX45">
        <v>0.84499999999999997</v>
      </c>
      <c r="BY45">
        <v>1</v>
      </c>
      <c r="CA45" s="144">
        <v>4.6032208700721416E-2</v>
      </c>
      <c r="CB45" s="144">
        <v>0.12634687401581055</v>
      </c>
      <c r="CC45" s="144">
        <v>8.4558525817540336E-2</v>
      </c>
      <c r="CD45" s="144">
        <v>0.12399186519465427</v>
      </c>
      <c r="CE45" s="144">
        <v>0.21107187512604364</v>
      </c>
      <c r="CF45" s="144">
        <v>0.19539259428258499</v>
      </c>
      <c r="CG45" s="144">
        <v>4.9363299581949842E-2</v>
      </c>
      <c r="CH45" s="144">
        <v>9.9102823755232314E-2</v>
      </c>
      <c r="CI45" s="144">
        <v>8.9589202469519624E-2</v>
      </c>
      <c r="CK45" s="63">
        <v>4.5800253761102049E-2</v>
      </c>
      <c r="CL45" s="63">
        <v>4.5800253761102049E-2</v>
      </c>
      <c r="CM45" s="63">
        <v>0.12335895772879139</v>
      </c>
      <c r="CN45" s="63">
        <v>9.2186553750005146E-2</v>
      </c>
      <c r="CO45" s="63">
        <v>8.3370178154265728E-2</v>
      </c>
      <c r="CP45" s="63">
        <v>0.12342835894893407</v>
      </c>
      <c r="CQ45" s="63">
        <v>0.12342835894893407</v>
      </c>
      <c r="CR45" s="63">
        <v>0.12342835894893407</v>
      </c>
      <c r="CS45" s="63">
        <v>0.20896039807016248</v>
      </c>
      <c r="CT45" s="63">
        <v>0.19362915450265875</v>
      </c>
      <c r="CU45" s="63">
        <v>9.7528384075083976E-2</v>
      </c>
      <c r="CV45" s="63">
        <v>4.91156013936003E-2</v>
      </c>
      <c r="CW45" s="63">
        <v>8.9589202469519624E-2</v>
      </c>
      <c r="CY45" s="11">
        <v>326.01038577632545</v>
      </c>
      <c r="CZ45" s="11">
        <v>558.36916309702406</v>
      </c>
      <c r="DA45" s="11">
        <v>2237.9154222039774</v>
      </c>
      <c r="DB45" s="11">
        <v>2796.2845853010012</v>
      </c>
      <c r="DC45" s="11">
        <v>3122.2949710773269</v>
      </c>
      <c r="DE45" s="11">
        <v>39.196221426373789</v>
      </c>
      <c r="DF45" s="11">
        <v>47.738987634686026</v>
      </c>
      <c r="DG45" s="11">
        <v>222.5827714848804</v>
      </c>
      <c r="DH45" s="11">
        <v>303.84905150134244</v>
      </c>
      <c r="DI45" s="11">
        <v>343.04527292771621</v>
      </c>
      <c r="DK45" s="11">
        <v>365.20660720269922</v>
      </c>
      <c r="DL45" s="11">
        <v>3100.1336368023435</v>
      </c>
      <c r="DM45" s="11">
        <v>3465.3402440050431</v>
      </c>
      <c r="DO45" s="381">
        <v>7082.2234035278052</v>
      </c>
      <c r="DP45" s="381">
        <v>12129.966796233119</v>
      </c>
      <c r="DQ45" s="381">
        <v>17712.471635221729</v>
      </c>
      <c r="DR45" s="381">
        <v>29842.438431454848</v>
      </c>
      <c r="DS45" s="381">
        <v>36924.661834982653</v>
      </c>
      <c r="DU45" s="381">
        <v>316.11929834945073</v>
      </c>
      <c r="DV45" s="381">
        <v>385.01709414356179</v>
      </c>
      <c r="DW45" s="381">
        <v>1054.535434206774</v>
      </c>
      <c r="DX45" s="381">
        <v>1439.5525283503357</v>
      </c>
      <c r="DY45" s="381">
        <v>1755.6718266997864</v>
      </c>
      <c r="EA45" s="381">
        <v>7398.3427018772563</v>
      </c>
      <c r="EB45" s="381">
        <v>31281.990959805182</v>
      </c>
      <c r="EC45" s="381">
        <v>38680.333661682438</v>
      </c>
      <c r="EE45" s="63">
        <v>4.0202579610872258E-2</v>
      </c>
      <c r="EF45" s="63">
        <v>4.0968852636899929E-2</v>
      </c>
      <c r="EG45" s="63">
        <v>4.0570154791357504E-2</v>
      </c>
      <c r="EH45" s="63">
        <v>0.11552502697767079</v>
      </c>
      <c r="EI45" s="63">
        <v>0.11639461407117602</v>
      </c>
      <c r="EJ45" s="63">
        <v>0.11604734008270813</v>
      </c>
      <c r="EK45" s="63">
        <v>4.3420986782726302E-2</v>
      </c>
      <c r="EL45" s="63">
        <v>4.4132004031074069E-2</v>
      </c>
      <c r="EM45" s="63">
        <v>4.399600858397601E-2</v>
      </c>
      <c r="EO45" s="11">
        <v>284.72365020230927</v>
      </c>
      <c r="EP45" s="11">
        <v>487.65595580279904</v>
      </c>
      <c r="EQ45" s="11">
        <v>725.6596402586689</v>
      </c>
      <c r="ER45" s="11">
        <v>1213.3155960614679</v>
      </c>
      <c r="ES45" s="11">
        <v>1498.0392462637772</v>
      </c>
      <c r="EU45" s="11">
        <v>36.519690469982656</v>
      </c>
      <c r="EV45" s="11">
        <v>44.479110187799392</v>
      </c>
      <c r="EW45" s="11">
        <v>122.74224488887748</v>
      </c>
      <c r="EX45" s="11">
        <v>167.22135507667687</v>
      </c>
      <c r="EY45" s="11">
        <v>203.74104554665954</v>
      </c>
      <c r="FA45" s="11">
        <v>321.24334067229194</v>
      </c>
      <c r="FB45" s="11">
        <v>1380.5369511381448</v>
      </c>
      <c r="FC45" s="11">
        <v>1701.7802918104367</v>
      </c>
      <c r="FE45" s="63">
        <v>5.8296290898491587E-3</v>
      </c>
      <c r="FF45" s="63">
        <v>8.5378021378910623E-2</v>
      </c>
      <c r="FG45" s="63">
        <v>4.3988371026182832E-2</v>
      </c>
      <c r="FH45" s="63">
        <v>8.4668382169834806E-3</v>
      </c>
      <c r="FI45" s="63">
        <v>9.4677261054867637E-2</v>
      </c>
      <c r="FJ45" s="63">
        <v>6.0248694198228529E-2</v>
      </c>
      <c r="FK45" s="63">
        <v>5.9423127992235475E-3</v>
      </c>
      <c r="FL45" s="63">
        <v>5.3899043556686836E-2</v>
      </c>
      <c r="FM45" s="63">
        <v>4.4726415106564547E-2</v>
      </c>
      <c r="FO45" s="11">
        <v>41.286735574016213</v>
      </c>
      <c r="FP45" s="11">
        <v>70.713207294224986</v>
      </c>
      <c r="FQ45" s="11">
        <v>1512.2557819453089</v>
      </c>
      <c r="FR45" s="11">
        <v>1582.9689892395338</v>
      </c>
      <c r="FS45" s="11">
        <v>1624.2557248135499</v>
      </c>
      <c r="FU45" s="11">
        <v>2.6765309563911326</v>
      </c>
      <c r="FV45" s="11">
        <v>3.2598774468866356</v>
      </c>
      <c r="FW45" s="11">
        <v>99.840526596002931</v>
      </c>
      <c r="FX45" s="11">
        <v>103.10040404288956</v>
      </c>
      <c r="FY45" s="11">
        <v>105.7769349992807</v>
      </c>
      <c r="GA45" s="11">
        <v>43.963266530407346</v>
      </c>
      <c r="GB45" s="11">
        <v>1686.0693932824233</v>
      </c>
      <c r="GC45" s="11">
        <v>1730.0326598128306</v>
      </c>
      <c r="GE45" s="63">
        <v>5.0389704549574045E-3</v>
      </c>
      <c r="GF45" s="63">
        <v>2.3648517704088622E-2</v>
      </c>
      <c r="GG45" s="63">
        <v>1.4053552279740528E-2</v>
      </c>
      <c r="GH45" s="63">
        <v>4.5447033548173853E-3</v>
      </c>
      <c r="GI45" s="63">
        <v>1.1981774949854545E-2</v>
      </c>
      <c r="GJ45" s="63">
        <v>9.0251106312447173E-3</v>
      </c>
      <c r="GK45" s="63">
        <v>5.0178612541556325E-3</v>
      </c>
      <c r="GL45" s="63">
        <v>1.5886930568567176E-2</v>
      </c>
      <c r="GM45" s="63">
        <v>1.3826420838692085E-2</v>
      </c>
      <c r="GO45" s="11">
        <v>35.867851529926575</v>
      </c>
      <c r="GP45" s="11">
        <v>61.432098836857961</v>
      </c>
      <c r="GQ45" s="11">
        <v>429.01937124499273</v>
      </c>
      <c r="GR45" s="11">
        <v>490.45147008185069</v>
      </c>
      <c r="GS45" s="11">
        <v>526.31932161177724</v>
      </c>
      <c r="GU45" s="11">
        <v>1.4432274764854145</v>
      </c>
      <c r="GV45" s="11">
        <v>1.7577770546937741</v>
      </c>
      <c r="GW45" s="11">
        <v>12.788434392160557</v>
      </c>
      <c r="GX45" s="11">
        <v>14.546211446854331</v>
      </c>
      <c r="GY45" s="11">
        <v>15.989438923339746</v>
      </c>
      <c r="GZ45" s="11">
        <v>37.311079006411987</v>
      </c>
      <c r="HA45" s="11">
        <v>504.99768152870502</v>
      </c>
      <c r="HB45" s="11">
        <v>542.30876053511702</v>
      </c>
      <c r="HD45" s="11">
        <v>77.154587103942788</v>
      </c>
      <c r="HE45" s="11">
        <v>132.14530613108295</v>
      </c>
      <c r="HF45" s="11">
        <v>1941.2751531903016</v>
      </c>
      <c r="HG45" s="11">
        <v>2073.4204593213844</v>
      </c>
      <c r="HH45" s="11">
        <v>2150.5750464253274</v>
      </c>
      <c r="HI45" s="11">
        <v>0</v>
      </c>
      <c r="HJ45" s="11">
        <v>4.1197584328765471</v>
      </c>
      <c r="HK45" s="11">
        <v>5.0176545015804095</v>
      </c>
      <c r="HL45" s="11">
        <v>9.1374129344569575</v>
      </c>
      <c r="HM45" s="11">
        <v>9.1374129344569575</v>
      </c>
      <c r="HN45" s="11">
        <v>77.154587103942788</v>
      </c>
      <c r="HO45" s="11">
        <v>2082.5578722558412</v>
      </c>
      <c r="HP45" s="11">
        <v>2159.7124593597841</v>
      </c>
      <c r="HR45" s="381">
        <v>7118.0912550577314</v>
      </c>
      <c r="HS45" s="381">
        <v>12191.398895069977</v>
      </c>
      <c r="HT45" s="381">
        <v>18141.49100646672</v>
      </c>
      <c r="HU45" s="381">
        <v>30332.889901536699</v>
      </c>
      <c r="HV45" s="381">
        <v>37450.981156594433</v>
      </c>
      <c r="HX45" s="381">
        <v>317.56252582593612</v>
      </c>
      <c r="HY45" s="381">
        <v>386.77487119825554</v>
      </c>
      <c r="HZ45" s="381">
        <v>1067.3238685989345</v>
      </c>
      <c r="IA45" s="381">
        <v>1454.0987397971901</v>
      </c>
      <c r="IB45" s="381">
        <v>1771.6612656231262</v>
      </c>
      <c r="ID45" s="381">
        <v>7435.6537808836674</v>
      </c>
      <c r="IE45" s="381">
        <v>31786.98864133389</v>
      </c>
      <c r="IF45" s="381">
        <v>39222.642422217556</v>
      </c>
      <c r="IH45" s="144">
        <v>0.04</v>
      </c>
      <c r="II45" s="144">
        <v>0.04</v>
      </c>
      <c r="IJ45" s="144">
        <v>3.9999999999999994E-2</v>
      </c>
      <c r="IK45" s="144">
        <v>0.115</v>
      </c>
      <c r="IL45" s="144">
        <v>0.115</v>
      </c>
      <c r="IM45" s="144">
        <v>0.11500000000000002</v>
      </c>
      <c r="IN45" s="144">
        <v>4.3203106295532062E-2</v>
      </c>
      <c r="IO45" s="144">
        <v>4.3430881947180665E-2</v>
      </c>
      <c r="IP45" s="144">
        <v>4.3387701254071244E-2</v>
      </c>
      <c r="IR45" s="144">
        <v>1.0839224216059453E-2</v>
      </c>
      <c r="IS45" s="144">
        <v>6.8355519901067613E-2</v>
      </c>
      <c r="IT45" s="144">
        <v>5.7423730434006268E-2</v>
      </c>
      <c r="IU45" s="144">
        <v>1.2973062303751446E-2</v>
      </c>
      <c r="IV45" s="144">
        <v>8.0906895982973348E-2</v>
      </c>
      <c r="IW45" s="144">
        <v>6.8730053698946192E-2</v>
      </c>
      <c r="IX45" s="144">
        <v>1.0930356352223884E-2</v>
      </c>
      <c r="IY45" s="144">
        <v>6.8929683762556745E-2</v>
      </c>
      <c r="IZ45" s="144">
        <v>5.7934429707387242E-2</v>
      </c>
    </row>
    <row r="46" spans="2:260" x14ac:dyDescent="0.3">
      <c r="B46">
        <v>2002</v>
      </c>
      <c r="C46">
        <v>15075</v>
      </c>
      <c r="F46">
        <v>562</v>
      </c>
      <c r="G46">
        <v>157</v>
      </c>
      <c r="H46">
        <v>731</v>
      </c>
      <c r="J46">
        <v>2479</v>
      </c>
      <c r="K46">
        <v>4898</v>
      </c>
      <c r="L46">
        <v>5562</v>
      </c>
      <c r="M46">
        <v>10460</v>
      </c>
      <c r="N46">
        <v>12939</v>
      </c>
      <c r="P46">
        <v>634</v>
      </c>
      <c r="Q46">
        <v>723</v>
      </c>
      <c r="R46">
        <v>708</v>
      </c>
      <c r="S46">
        <v>1431</v>
      </c>
      <c r="T46">
        <v>2065</v>
      </c>
      <c r="V46">
        <v>3113</v>
      </c>
      <c r="W46">
        <v>11891</v>
      </c>
      <c r="X46">
        <v>15004</v>
      </c>
      <c r="AN46" s="11">
        <v>0</v>
      </c>
      <c r="AO46" s="11">
        <v>0</v>
      </c>
      <c r="AP46" s="11">
        <v>0</v>
      </c>
      <c r="AQ46" s="11">
        <v>0</v>
      </c>
      <c r="AR46" s="11">
        <v>0</v>
      </c>
      <c r="AS46" s="11"/>
      <c r="AT46" s="11">
        <v>0</v>
      </c>
      <c r="AU46" s="11">
        <v>0</v>
      </c>
      <c r="AV46" s="11"/>
      <c r="AW46" s="11">
        <v>0</v>
      </c>
      <c r="AX46" s="11">
        <v>0</v>
      </c>
      <c r="AY46" s="11"/>
      <c r="AZ46" s="11">
        <v>0</v>
      </c>
      <c r="BA46" s="11">
        <v>0</v>
      </c>
      <c r="BB46" s="11">
        <v>0</v>
      </c>
      <c r="BD46" s="63">
        <v>0</v>
      </c>
      <c r="BE46" s="63">
        <v>0</v>
      </c>
      <c r="BF46" s="63">
        <v>0</v>
      </c>
      <c r="BH46" s="381">
        <v>2479</v>
      </c>
      <c r="BI46" s="381">
        <v>4898</v>
      </c>
      <c r="BJ46" s="381">
        <v>5562</v>
      </c>
      <c r="BK46" s="381">
        <v>10460</v>
      </c>
      <c r="BL46" s="381">
        <v>12939</v>
      </c>
      <c r="BM46" s="381"/>
      <c r="BN46" s="381">
        <v>634</v>
      </c>
      <c r="BO46" s="381">
        <v>723</v>
      </c>
      <c r="BP46" s="381">
        <v>708</v>
      </c>
      <c r="BQ46" s="381">
        <v>1431</v>
      </c>
      <c r="BR46" s="381">
        <v>2065</v>
      </c>
      <c r="BS46" s="381"/>
      <c r="BT46" s="381">
        <v>3113</v>
      </c>
      <c r="BU46" s="381">
        <v>11891</v>
      </c>
      <c r="BV46" s="381">
        <v>15004</v>
      </c>
      <c r="BX46">
        <v>0.84499999999999997</v>
      </c>
      <c r="BY46">
        <v>1</v>
      </c>
      <c r="CA46" s="144">
        <v>3.2157133690819927E-2</v>
      </c>
      <c r="CB46" s="144">
        <v>0.10870375411281843</v>
      </c>
      <c r="CC46" s="144">
        <v>6.6615508924821473E-2</v>
      </c>
      <c r="CD46" s="144">
        <v>4.233433334364272E-2</v>
      </c>
      <c r="CE46" s="144">
        <v>0.12717424063803834</v>
      </c>
      <c r="CF46" s="144">
        <v>0.10196661473850049</v>
      </c>
      <c r="CG46" s="144">
        <v>3.4247346111520832E-2</v>
      </c>
      <c r="CH46" s="144">
        <v>8.0845691461312041E-2</v>
      </c>
      <c r="CI46" s="144">
        <v>7.1510752901091462E-2</v>
      </c>
      <c r="CK46" s="63">
        <v>3.1965944554545662E-2</v>
      </c>
      <c r="CL46" s="63">
        <v>3.1965944554545662E-2</v>
      </c>
      <c r="CM46" s="63">
        <v>0.10543105001048653</v>
      </c>
      <c r="CN46" s="63">
        <v>7.297905059758536E-2</v>
      </c>
      <c r="CO46" s="63">
        <v>6.5485095193084555E-2</v>
      </c>
      <c r="CP46" s="63">
        <v>4.2124576844955991E-2</v>
      </c>
      <c r="CQ46" s="63">
        <v>4.2124576844955991E-2</v>
      </c>
      <c r="CR46" s="63">
        <v>4.2124576844955991E-2</v>
      </c>
      <c r="CS46" s="63">
        <v>0.12618062784130263</v>
      </c>
      <c r="CT46" s="63">
        <v>0.10125636844121054</v>
      </c>
      <c r="CU46" s="63">
        <v>7.9387721181046006E-2</v>
      </c>
      <c r="CV46" s="63">
        <v>3.4050692579059925E-2</v>
      </c>
      <c r="CW46" s="63">
        <v>7.1510752901091462E-2</v>
      </c>
      <c r="CY46" s="11">
        <v>97.474787182488555</v>
      </c>
      <c r="CZ46" s="11">
        <v>192.59036208948322</v>
      </c>
      <c r="DA46" s="11">
        <v>802.78036399953317</v>
      </c>
      <c r="DB46" s="11">
        <v>995.37072608901644</v>
      </c>
      <c r="DC46" s="11">
        <v>1092.8455132715051</v>
      </c>
      <c r="DE46" s="11">
        <v>33.167394493033612</v>
      </c>
      <c r="DF46" s="11">
        <v>37.823385202623498</v>
      </c>
      <c r="DG46" s="11">
        <v>122.08101936172983</v>
      </c>
      <c r="DH46" s="11">
        <v>235.70416898021779</v>
      </c>
      <c r="DI46" s="11">
        <v>268.8715634732514</v>
      </c>
      <c r="DK46" s="11">
        <v>130.64218167552218</v>
      </c>
      <c r="DL46" s="11">
        <v>1231.0748950692341</v>
      </c>
      <c r="DM46" s="11">
        <v>1361.7170767447565</v>
      </c>
      <c r="DO46" s="381">
        <v>3031.2025978333763</v>
      </c>
      <c r="DP46" s="381">
        <v>5989.0400662314951</v>
      </c>
      <c r="DQ46" s="381">
        <v>7385.0288847095917</v>
      </c>
      <c r="DR46" s="381">
        <v>13374.068950941088</v>
      </c>
      <c r="DS46" s="381">
        <v>16405.271548774464</v>
      </c>
      <c r="DU46" s="381">
        <v>783.46325248119933</v>
      </c>
      <c r="DV46" s="381">
        <v>893.44468697777143</v>
      </c>
      <c r="DW46" s="381">
        <v>959.9508418469369</v>
      </c>
      <c r="DX46" s="381">
        <v>1853.3955288247084</v>
      </c>
      <c r="DY46" s="381">
        <v>2636.8587813059075</v>
      </c>
      <c r="EA46" s="381">
        <v>3814.6658503145754</v>
      </c>
      <c r="EB46" s="381">
        <v>15227.464479765797</v>
      </c>
      <c r="EC46" s="381">
        <v>19042.13033008037</v>
      </c>
      <c r="EE46" s="63">
        <v>2.7161487694211464E-2</v>
      </c>
      <c r="EF46" s="63">
        <v>2.7838111834741022E-2</v>
      </c>
      <c r="EG46" s="63">
        <v>2.7466078130709042E-2</v>
      </c>
      <c r="EH46" s="63">
        <v>3.4169300714440354E-2</v>
      </c>
      <c r="EI46" s="63">
        <v>3.4359347609919121E-2</v>
      </c>
      <c r="EJ46" s="63">
        <v>3.4238487459896202E-2</v>
      </c>
      <c r="EK46" s="63">
        <v>2.8600765522741548E-2</v>
      </c>
      <c r="EL46" s="63">
        <v>2.8354567070090528E-2</v>
      </c>
      <c r="EM46" s="63">
        <v>2.8403887435692932E-2</v>
      </c>
      <c r="EO46" s="11">
        <v>82.331972059713067</v>
      </c>
      <c r="EP46" s="11">
        <v>162.67123805908616</v>
      </c>
      <c r="EQ46" s="11">
        <v>205.58525999533836</v>
      </c>
      <c r="ER46" s="11">
        <v>368.25649805442453</v>
      </c>
      <c r="ES46" s="11">
        <v>450.58847011413758</v>
      </c>
      <c r="EU46" s="11">
        <v>26.770391472743608</v>
      </c>
      <c r="EV46" s="11">
        <v>30.528380181062502</v>
      </c>
      <c r="EW46" s="11">
        <v>32.983284663453396</v>
      </c>
      <c r="EX46" s="11">
        <v>63.511664844515899</v>
      </c>
      <c r="EY46" s="11">
        <v>90.282056317259503</v>
      </c>
      <c r="FA46" s="11">
        <v>109.10236353245668</v>
      </c>
      <c r="FB46" s="11">
        <v>431.76816289894043</v>
      </c>
      <c r="FC46" s="11">
        <v>540.87052643139714</v>
      </c>
      <c r="FE46" s="63">
        <v>4.9956459966084606E-3</v>
      </c>
      <c r="FF46" s="63">
        <v>8.086564227807741E-2</v>
      </c>
      <c r="FG46" s="63">
        <v>3.9149430794112414E-2</v>
      </c>
      <c r="FH46" s="63">
        <v>8.165032629202363E-3</v>
      </c>
      <c r="FI46" s="63">
        <v>9.2814893028119197E-2</v>
      </c>
      <c r="FJ46" s="63">
        <v>3.8981891434178614E-2</v>
      </c>
      <c r="FK46" s="63">
        <v>5.6465805887792762E-3</v>
      </c>
      <c r="FL46" s="63">
        <v>4.7513292099011159E-2</v>
      </c>
      <c r="FM46" s="63">
        <v>3.9126230783147364E-2</v>
      </c>
      <c r="FO46" s="11">
        <v>15.142815122775472</v>
      </c>
      <c r="FP46" s="11">
        <v>29.91912403039704</v>
      </c>
      <c r="FQ46" s="11">
        <v>597.19510400419483</v>
      </c>
      <c r="FR46" s="11">
        <v>627.11422803459186</v>
      </c>
      <c r="FS46" s="11">
        <v>642.25704315736732</v>
      </c>
      <c r="FU46" s="11">
        <v>6.3970030202900015</v>
      </c>
      <c r="FV46" s="11">
        <v>7.2950050215609954</v>
      </c>
      <c r="FW46" s="11">
        <v>89.097734698276412</v>
      </c>
      <c r="FX46" s="11">
        <v>96.392739719837408</v>
      </c>
      <c r="FY46" s="11">
        <v>102.78974274012741</v>
      </c>
      <c r="GA46" s="11">
        <v>21.539818143065474</v>
      </c>
      <c r="GB46" s="11">
        <v>723.5069677544293</v>
      </c>
      <c r="GC46" s="11">
        <v>745.04678589749471</v>
      </c>
      <c r="GE46" s="63">
        <v>5.945465728148705E-3</v>
      </c>
      <c r="GF46" s="63">
        <v>3.010663365807319E-2</v>
      </c>
      <c r="GG46" s="63">
        <v>1.6969227586516564E-2</v>
      </c>
      <c r="GH46" s="63">
        <v>4.9547608789314952E-3</v>
      </c>
      <c r="GI46" s="63">
        <v>1.0458510854128626E-2</v>
      </c>
      <c r="GJ46" s="63">
        <v>6.9654788394360968E-3</v>
      </c>
      <c r="GK46" s="63">
        <v>5.7421539123216903E-3</v>
      </c>
      <c r="GL46" s="63">
        <v>1.8033988625896613E-2</v>
      </c>
      <c r="GM46" s="63">
        <v>1.5595998043519452E-2</v>
      </c>
      <c r="GO46" s="11">
        <v>18.129700674515586</v>
      </c>
      <c r="GP46" s="11">
        <v>35.820602623548744</v>
      </c>
      <c r="GQ46" s="11">
        <v>229.24000400664377</v>
      </c>
      <c r="GR46" s="11">
        <v>265.06060663019252</v>
      </c>
      <c r="GS46" s="11">
        <v>283.19030730470809</v>
      </c>
      <c r="GU46" s="11">
        <v>3.901202599495039</v>
      </c>
      <c r="GV46" s="11">
        <v>4.4488477593610618</v>
      </c>
      <c r="GW46" s="11">
        <v>10.1457659016924</v>
      </c>
      <c r="GX46" s="11">
        <v>14.594613661053462</v>
      </c>
      <c r="GY46" s="11">
        <v>18.495816260548501</v>
      </c>
      <c r="GZ46" s="11">
        <v>22.030903274010626</v>
      </c>
      <c r="HA46" s="11">
        <v>279.655220291246</v>
      </c>
      <c r="HB46" s="11">
        <v>301.68612356525659</v>
      </c>
      <c r="HD46" s="11">
        <v>33.272515797291057</v>
      </c>
      <c r="HE46" s="11">
        <v>65.73972665394578</v>
      </c>
      <c r="HF46" s="11">
        <v>826.43510801083858</v>
      </c>
      <c r="HG46" s="11">
        <v>892.17483466478438</v>
      </c>
      <c r="HH46" s="11">
        <v>925.44735046207541</v>
      </c>
      <c r="HI46" s="11">
        <v>0</v>
      </c>
      <c r="HJ46" s="11">
        <v>10.29820561978504</v>
      </c>
      <c r="HK46" s="11">
        <v>11.743852780922058</v>
      </c>
      <c r="HL46" s="11">
        <v>22.042058400707099</v>
      </c>
      <c r="HM46" s="11">
        <v>22.042058400707099</v>
      </c>
      <c r="HN46" s="11">
        <v>33.272515797291057</v>
      </c>
      <c r="HO46" s="11">
        <v>914.21689306549149</v>
      </c>
      <c r="HP46" s="11">
        <v>947.48940886278251</v>
      </c>
      <c r="HR46" s="381">
        <v>3049.3322985078917</v>
      </c>
      <c r="HS46" s="381">
        <v>6024.8606688550435</v>
      </c>
      <c r="HT46" s="381">
        <v>7614.2688887162358</v>
      </c>
      <c r="HU46" s="381">
        <v>13639.129557571279</v>
      </c>
      <c r="HV46" s="381">
        <v>16688.461856079171</v>
      </c>
      <c r="HX46" s="381">
        <v>787.36445508069437</v>
      </c>
      <c r="HY46" s="381">
        <v>897.89353473713254</v>
      </c>
      <c r="HZ46" s="381">
        <v>970.09660774862925</v>
      </c>
      <c r="IA46" s="381">
        <v>1867.9901424857617</v>
      </c>
      <c r="IB46" s="381">
        <v>2655.3545975664561</v>
      </c>
      <c r="ID46" s="381">
        <v>3836.696753588586</v>
      </c>
      <c r="IE46" s="381">
        <v>15507.119700057041</v>
      </c>
      <c r="IF46" s="381">
        <v>19343.816453645628</v>
      </c>
      <c r="IH46" s="144">
        <v>2.6999999999999996E-2</v>
      </c>
      <c r="II46" s="144">
        <v>2.7E-2</v>
      </c>
      <c r="IJ46" s="144">
        <v>2.6999999999999996E-2</v>
      </c>
      <c r="IK46" s="144">
        <v>3.4000000000000002E-2</v>
      </c>
      <c r="IL46" s="144">
        <v>3.4000000000000002E-2</v>
      </c>
      <c r="IM46" s="144">
        <v>3.3999999999999996E-2</v>
      </c>
      <c r="IN46" s="144">
        <v>2.8436535525099744E-2</v>
      </c>
      <c r="IO46" s="144">
        <v>2.7843221130056293E-2</v>
      </c>
      <c r="IP46" s="144">
        <v>2.7960900462817517E-2</v>
      </c>
      <c r="IR46" s="144">
        <v>1.0911410282694366E-2</v>
      </c>
      <c r="IS46" s="144">
        <v>6.5412886570134901E-2</v>
      </c>
      <c r="IT46" s="144">
        <v>5.5454322779601106E-2</v>
      </c>
      <c r="IU46" s="144">
        <v>1.3079337723887486E-2</v>
      </c>
      <c r="IV46" s="144">
        <v>5.9415384940521357E-2</v>
      </c>
      <c r="IW46" s="144">
        <v>4.5675842733708741E-2</v>
      </c>
      <c r="IX46" s="144">
        <v>1.1356310966281868E-2</v>
      </c>
      <c r="IY46" s="144">
        <v>6.4690426555615313E-2</v>
      </c>
      <c r="IZ46" s="144">
        <v>5.4112016207922553E-2</v>
      </c>
    </row>
    <row r="47" spans="2:260" x14ac:dyDescent="0.3">
      <c r="B47">
        <v>2003</v>
      </c>
      <c r="C47">
        <v>17166</v>
      </c>
      <c r="F47">
        <v>489</v>
      </c>
      <c r="G47">
        <v>142</v>
      </c>
      <c r="H47">
        <v>355</v>
      </c>
      <c r="J47">
        <v>2834</v>
      </c>
      <c r="K47">
        <v>8363</v>
      </c>
      <c r="L47">
        <v>6376</v>
      </c>
      <c r="M47">
        <v>14739</v>
      </c>
      <c r="N47">
        <v>17573</v>
      </c>
      <c r="P47">
        <v>55</v>
      </c>
      <c r="Q47">
        <v>9</v>
      </c>
      <c r="R47">
        <v>28</v>
      </c>
      <c r="S47">
        <v>37</v>
      </c>
      <c r="T47">
        <v>92</v>
      </c>
      <c r="V47">
        <v>2889</v>
      </c>
      <c r="W47">
        <v>14776</v>
      </c>
      <c r="X47">
        <v>17665</v>
      </c>
      <c r="AN47" s="11">
        <v>0</v>
      </c>
      <c r="AO47" s="11">
        <v>0</v>
      </c>
      <c r="AP47" s="11">
        <v>0</v>
      </c>
      <c r="AQ47" s="11">
        <v>0</v>
      </c>
      <c r="AR47" s="11">
        <v>0</v>
      </c>
      <c r="AS47" s="11"/>
      <c r="AT47" s="11">
        <v>0</v>
      </c>
      <c r="AU47" s="11">
        <v>0</v>
      </c>
      <c r="AV47" s="11"/>
      <c r="AW47" s="11">
        <v>0</v>
      </c>
      <c r="AX47" s="11">
        <v>0</v>
      </c>
      <c r="AY47" s="11"/>
      <c r="AZ47" s="11">
        <v>0</v>
      </c>
      <c r="BA47" s="11">
        <v>0</v>
      </c>
      <c r="BB47" s="11">
        <v>0</v>
      </c>
      <c r="BD47" s="63">
        <v>0</v>
      </c>
      <c r="BE47" s="63">
        <v>0</v>
      </c>
      <c r="BF47" s="63">
        <v>0</v>
      </c>
      <c r="BH47" s="381">
        <v>2834</v>
      </c>
      <c r="BI47" s="381">
        <v>8363</v>
      </c>
      <c r="BJ47" s="381">
        <v>6376</v>
      </c>
      <c r="BK47" s="381">
        <v>14739</v>
      </c>
      <c r="BL47" s="381">
        <v>17573</v>
      </c>
      <c r="BM47" s="381"/>
      <c r="BN47" s="381">
        <v>55</v>
      </c>
      <c r="BO47" s="381">
        <v>9</v>
      </c>
      <c r="BP47" s="381">
        <v>28</v>
      </c>
      <c r="BQ47" s="381">
        <v>37</v>
      </c>
      <c r="BR47" s="381">
        <v>92</v>
      </c>
      <c r="BS47" s="381"/>
      <c r="BT47" s="381">
        <v>2889</v>
      </c>
      <c r="BU47" s="381">
        <v>14776</v>
      </c>
      <c r="BV47" s="381">
        <v>17665</v>
      </c>
      <c r="BX47">
        <v>0.84499999999999997</v>
      </c>
      <c r="BY47">
        <v>1</v>
      </c>
      <c r="CA47" s="144">
        <v>3.1411728735700757E-2</v>
      </c>
      <c r="CB47" s="144">
        <v>0.10503296390306016</v>
      </c>
      <c r="CC47" s="144">
        <v>5.9483190066495974E-2</v>
      </c>
      <c r="CD47" s="144">
        <v>0.15918653576437589</v>
      </c>
      <c r="CE47" s="144">
        <v>0.22500963941449481</v>
      </c>
      <c r="CF47" s="144">
        <v>0.18665043737727752</v>
      </c>
      <c r="CG47" s="144">
        <v>3.4205850280925189E-2</v>
      </c>
      <c r="CH47" s="144">
        <v>6.5170300266852055E-2</v>
      </c>
      <c r="CI47" s="144">
        <v>6.0242582974017113E-2</v>
      </c>
      <c r="CK47" s="63">
        <v>3.1171834529712131E-2</v>
      </c>
      <c r="CL47" s="63">
        <v>3.1171834529712131E-2</v>
      </c>
      <c r="CM47" s="63">
        <v>0.10161852428191663</v>
      </c>
      <c r="CN47" s="63">
        <v>6.3463617939259753E-2</v>
      </c>
      <c r="CO47" s="63">
        <v>5.8455931428359795E-2</v>
      </c>
      <c r="CP47" s="63">
        <v>0.15715384615384614</v>
      </c>
      <c r="CQ47" s="63">
        <v>0.15715384615384614</v>
      </c>
      <c r="CR47" s="63">
        <v>0.15715384615384617</v>
      </c>
      <c r="CS47" s="63">
        <v>0.22094325325987882</v>
      </c>
      <c r="CT47" s="63">
        <v>0.18385278671207805</v>
      </c>
      <c r="CU47" s="63">
        <v>6.3929794459981412E-2</v>
      </c>
      <c r="CV47" s="63">
        <v>3.3940758768005903E-2</v>
      </c>
      <c r="CW47" s="63">
        <v>6.0242582974017113E-2</v>
      </c>
      <c r="CY47" s="11">
        <v>108.7666542445069</v>
      </c>
      <c r="CZ47" s="11">
        <v>320.96525386267155</v>
      </c>
      <c r="DA47" s="11">
        <v>885.54407356003253</v>
      </c>
      <c r="DB47" s="11">
        <v>1206.509327422704</v>
      </c>
      <c r="DC47" s="11">
        <v>1315.275981667211</v>
      </c>
      <c r="DE47" s="11">
        <v>12.322892351121006</v>
      </c>
      <c r="DF47" s="11">
        <v>2.0164732938198009</v>
      </c>
      <c r="DG47" s="11">
        <v>9.6206883253276754</v>
      </c>
      <c r="DH47" s="11">
        <v>12.470966626521104</v>
      </c>
      <c r="DI47" s="11">
        <v>24.79385897764211</v>
      </c>
      <c r="DK47" s="11">
        <v>121.08954659562789</v>
      </c>
      <c r="DL47" s="11">
        <v>1218.9802940492252</v>
      </c>
      <c r="DM47" s="11">
        <v>1340.069840644853</v>
      </c>
      <c r="DO47" s="381">
        <v>3462.6128080906606</v>
      </c>
      <c r="DP47" s="381">
        <v>10218.006673981014</v>
      </c>
      <c r="DQ47" s="381">
        <v>8431.1062037375486</v>
      </c>
      <c r="DR47" s="381">
        <v>18649.112877718562</v>
      </c>
      <c r="DS47" s="381">
        <v>22111.725685809222</v>
      </c>
      <c r="DU47" s="381">
        <v>77.411649747570721</v>
      </c>
      <c r="DV47" s="381">
        <v>12.6673608677843</v>
      </c>
      <c r="DW47" s="381">
        <v>42.756782999883889</v>
      </c>
      <c r="DX47" s="381">
        <v>55.424143867668192</v>
      </c>
      <c r="DY47" s="381">
        <v>132.83579361523891</v>
      </c>
      <c r="EA47" s="381">
        <v>3540.0244578382312</v>
      </c>
      <c r="EB47" s="381">
        <v>18704.537021586231</v>
      </c>
      <c r="EC47" s="381">
        <v>22244.561479424461</v>
      </c>
      <c r="EE47" s="63">
        <v>2.5192396605467644E-2</v>
      </c>
      <c r="EF47" s="63">
        <v>2.5840014073534218E-2</v>
      </c>
      <c r="EG47" s="63">
        <v>2.5439330369491728E-2</v>
      </c>
      <c r="EH47" s="63">
        <v>0.15092722455976312</v>
      </c>
      <c r="EI47" s="63">
        <v>0.15198377202947</v>
      </c>
      <c r="EJ47" s="63">
        <v>0.15126730285991002</v>
      </c>
      <c r="EK47" s="63">
        <v>2.7941908813248487E-2</v>
      </c>
      <c r="EL47" s="63">
        <v>2.5859296374378025E-2</v>
      </c>
      <c r="EM47" s="63">
        <v>2.6190725653243287E-2</v>
      </c>
      <c r="EO47" s="11">
        <v>87.231515152591939</v>
      </c>
      <c r="EP47" s="11">
        <v>257.416076648245</v>
      </c>
      <c r="EQ47" s="11">
        <v>217.8599029600399</v>
      </c>
      <c r="ER47" s="11">
        <v>475.2759796082849</v>
      </c>
      <c r="ES47" s="11">
        <v>562.50749476087685</v>
      </c>
      <c r="EU47" s="11">
        <v>11.683525444993336</v>
      </c>
      <c r="EV47" s="11">
        <v>1.9118496182716369</v>
      </c>
      <c r="EW47" s="11">
        <v>6.4983371601678712</v>
      </c>
      <c r="EX47" s="11">
        <v>8.4101867784395079</v>
      </c>
      <c r="EY47" s="11">
        <v>20.093712223432846</v>
      </c>
      <c r="FA47" s="11">
        <v>98.915040597585275</v>
      </c>
      <c r="FB47" s="11">
        <v>483.68616638672438</v>
      </c>
      <c r="FC47" s="11">
        <v>582.60120698430967</v>
      </c>
      <c r="FE47" s="63">
        <v>6.2193321302331135E-3</v>
      </c>
      <c r="FF47" s="63">
        <v>7.9192949829525947E-2</v>
      </c>
      <c r="FG47" s="63">
        <v>3.4043859697004249E-2</v>
      </c>
      <c r="FH47" s="63">
        <v>8.259311204612747E-3</v>
      </c>
      <c r="FI47" s="63">
        <v>7.3025867385024826E-2</v>
      </c>
      <c r="FJ47" s="63">
        <v>2.910617418400465E-2</v>
      </c>
      <c r="FK47" s="63">
        <v>6.2639414676766989E-3</v>
      </c>
      <c r="FL47" s="63">
        <v>3.9266426204910228E-2</v>
      </c>
      <c r="FM47" s="63">
        <v>3.401437377639626E-2</v>
      </c>
      <c r="FO47" s="11">
        <v>21.535139091914949</v>
      </c>
      <c r="FP47" s="11">
        <v>63.549177214426507</v>
      </c>
      <c r="FQ47" s="11">
        <v>667.68417059999263</v>
      </c>
      <c r="FR47" s="11">
        <v>731.23334781441918</v>
      </c>
      <c r="FS47" s="11">
        <v>752.76848690633415</v>
      </c>
      <c r="FU47" s="11">
        <v>0.63936690612766833</v>
      </c>
      <c r="FV47" s="11">
        <v>0.10462367554816392</v>
      </c>
      <c r="FW47" s="11">
        <v>3.1223511651598046</v>
      </c>
      <c r="FX47" s="11">
        <v>3.2269748407079684</v>
      </c>
      <c r="FY47" s="11">
        <v>3.8663417468356367</v>
      </c>
      <c r="GA47" s="11">
        <v>22.174505998042619</v>
      </c>
      <c r="GB47" s="11">
        <v>734.46032265512713</v>
      </c>
      <c r="GC47" s="11">
        <v>756.63482865316973</v>
      </c>
      <c r="GE47" s="63">
        <v>7.6370902094279585E-3</v>
      </c>
      <c r="GF47" s="63">
        <v>3.2508266874148997E-2</v>
      </c>
      <c r="GG47" s="63">
        <v>1.7269730103375541E-2</v>
      </c>
      <c r="GH47" s="63">
        <v>1.2769230769230769E-2</v>
      </c>
      <c r="GI47" s="63">
        <v>1.9632175130456918E-2</v>
      </c>
      <c r="GJ47" s="63">
        <v>1.498871743624452E-2</v>
      </c>
      <c r="GK47" s="63">
        <v>7.7498881256317861E-3</v>
      </c>
      <c r="GL47" s="63">
        <v>1.903483337948661E-2</v>
      </c>
      <c r="GM47" s="63">
        <v>1.7256140145919807E-2</v>
      </c>
      <c r="GO47" s="11">
        <v>26.647798013017063</v>
      </c>
      <c r="GP47" s="11">
        <v>78.636391948786752</v>
      </c>
      <c r="GQ47" s="11">
        <v>283.28991466404716</v>
      </c>
      <c r="GR47" s="11">
        <v>361.92630661283391</v>
      </c>
      <c r="GS47" s="11">
        <v>388.57410462585096</v>
      </c>
      <c r="GU47" s="11">
        <v>1.0012727020489902</v>
      </c>
      <c r="GV47" s="11">
        <v>0.16384462397165292</v>
      </c>
      <c r="GW47" s="11">
        <v>0.85621807506826642</v>
      </c>
      <c r="GX47" s="11">
        <v>1.0200626990399193</v>
      </c>
      <c r="GY47" s="11">
        <v>2.0213354010889093</v>
      </c>
      <c r="GZ47" s="11">
        <v>27.649070715066053</v>
      </c>
      <c r="HA47" s="11">
        <v>362.94636931187381</v>
      </c>
      <c r="HB47" s="11">
        <v>390.59544002693985</v>
      </c>
      <c r="HD47" s="11">
        <v>48.182937104932009</v>
      </c>
      <c r="HE47" s="11">
        <v>142.18556916321324</v>
      </c>
      <c r="HF47" s="11">
        <v>950.97408526403979</v>
      </c>
      <c r="HG47" s="11">
        <v>1093.1596544272529</v>
      </c>
      <c r="HH47" s="11">
        <v>1141.342591532185</v>
      </c>
      <c r="HI47" s="11">
        <v>0</v>
      </c>
      <c r="HJ47" s="11">
        <v>1.6406396081766585</v>
      </c>
      <c r="HK47" s="11">
        <v>0.26846829951981682</v>
      </c>
      <c r="HL47" s="11">
        <v>1.9091079076964754</v>
      </c>
      <c r="HM47" s="11">
        <v>1.9091079076964754</v>
      </c>
      <c r="HN47" s="11">
        <v>48.182937104932009</v>
      </c>
      <c r="HO47" s="11">
        <v>1095.0687623349495</v>
      </c>
      <c r="HP47" s="11">
        <v>1143.2516994398816</v>
      </c>
      <c r="HR47" s="381">
        <v>3489.2606061036777</v>
      </c>
      <c r="HS47" s="381">
        <v>10296.6430659298</v>
      </c>
      <c r="HT47" s="381">
        <v>8714.3961184015952</v>
      </c>
      <c r="HU47" s="381">
        <v>19011.039184331396</v>
      </c>
      <c r="HV47" s="381">
        <v>22500.299790435074</v>
      </c>
      <c r="HX47" s="381">
        <v>78.412922449619714</v>
      </c>
      <c r="HY47" s="381">
        <v>12.831205491755952</v>
      </c>
      <c r="HZ47" s="381">
        <v>43.613001074952152</v>
      </c>
      <c r="IA47" s="381">
        <v>56.444206566708104</v>
      </c>
      <c r="IB47" s="381">
        <v>134.8571290163278</v>
      </c>
      <c r="ID47" s="381">
        <v>3567.6735285532973</v>
      </c>
      <c r="IE47" s="381">
        <v>19067.483390898105</v>
      </c>
      <c r="IF47" s="381">
        <v>22635.156919451401</v>
      </c>
      <c r="IH47" s="144">
        <v>2.4999999999999998E-2</v>
      </c>
      <c r="II47" s="144">
        <v>2.5000000000000001E-2</v>
      </c>
      <c r="IJ47" s="144">
        <v>2.5000000000000001E-2</v>
      </c>
      <c r="IK47" s="144">
        <v>0.14899999999999999</v>
      </c>
      <c r="IL47" s="144">
        <v>0.14900000000000002</v>
      </c>
      <c r="IM47" s="144">
        <v>0.14900000000000002</v>
      </c>
      <c r="IN47" s="144">
        <v>2.7725362145929206E-2</v>
      </c>
      <c r="IO47" s="144">
        <v>2.5367068976580975E-2</v>
      </c>
      <c r="IP47" s="144">
        <v>2.5738774820847583E-2</v>
      </c>
      <c r="IR47" s="144">
        <v>1.3808924739140086E-2</v>
      </c>
      <c r="IS47" s="144">
        <v>5.7501309835193984E-2</v>
      </c>
      <c r="IT47" s="144">
        <v>5.0725661531735335E-2</v>
      </c>
      <c r="IU47" s="144">
        <v>2.0923076923076923E-2</v>
      </c>
      <c r="IV47" s="144">
        <v>7.5243108160773994E-2</v>
      </c>
      <c r="IW47" s="144">
        <v>4.3658627399755012E-2</v>
      </c>
      <c r="IX47" s="144">
        <v>1.3965284747708483E-2</v>
      </c>
      <c r="IY47" s="144">
        <v>5.7553829704178459E-2</v>
      </c>
      <c r="IZ47" s="144">
        <v>5.0683557121454864E-2</v>
      </c>
    </row>
    <row r="48" spans="2:260" x14ac:dyDescent="0.3">
      <c r="B48">
        <v>2004</v>
      </c>
      <c r="C48">
        <v>18727</v>
      </c>
      <c r="F48">
        <v>652</v>
      </c>
      <c r="G48">
        <v>189</v>
      </c>
      <c r="H48">
        <v>371</v>
      </c>
      <c r="J48">
        <v>3060</v>
      </c>
      <c r="K48">
        <v>8206</v>
      </c>
      <c r="L48">
        <v>6328</v>
      </c>
      <c r="M48">
        <v>14534</v>
      </c>
      <c r="N48">
        <v>17594</v>
      </c>
      <c r="P48">
        <v>189</v>
      </c>
      <c r="Q48">
        <v>338</v>
      </c>
      <c r="R48">
        <v>169</v>
      </c>
      <c r="S48">
        <v>507</v>
      </c>
      <c r="T48">
        <v>696</v>
      </c>
      <c r="V48">
        <v>3249</v>
      </c>
      <c r="W48">
        <v>15041</v>
      </c>
      <c r="X48">
        <v>18290</v>
      </c>
      <c r="AN48" s="11">
        <v>0</v>
      </c>
      <c r="AO48" s="11">
        <v>0</v>
      </c>
      <c r="AP48" s="11">
        <v>0</v>
      </c>
      <c r="AQ48" s="11">
        <v>0</v>
      </c>
      <c r="AR48" s="11">
        <v>0</v>
      </c>
      <c r="AS48" s="11"/>
      <c r="AT48" s="11">
        <v>0</v>
      </c>
      <c r="AU48" s="11">
        <v>0</v>
      </c>
      <c r="AV48" s="11"/>
      <c r="AW48" s="11">
        <v>0</v>
      </c>
      <c r="AX48" s="11">
        <v>0</v>
      </c>
      <c r="AY48" s="11"/>
      <c r="AZ48" s="11">
        <v>0</v>
      </c>
      <c r="BA48" s="11">
        <v>0</v>
      </c>
      <c r="BB48" s="11">
        <v>0</v>
      </c>
      <c r="BD48" s="63">
        <v>0</v>
      </c>
      <c r="BE48" s="63">
        <v>0</v>
      </c>
      <c r="BF48" s="63">
        <v>0</v>
      </c>
      <c r="BH48" s="381">
        <v>3060</v>
      </c>
      <c r="BI48" s="381">
        <v>8206</v>
      </c>
      <c r="BJ48" s="381">
        <v>6328</v>
      </c>
      <c r="BK48" s="381">
        <v>14534</v>
      </c>
      <c r="BL48" s="381">
        <v>17594</v>
      </c>
      <c r="BM48" s="381"/>
      <c r="BN48" s="381">
        <v>189</v>
      </c>
      <c r="BO48" s="381">
        <v>338</v>
      </c>
      <c r="BP48" s="381">
        <v>169</v>
      </c>
      <c r="BQ48" s="381">
        <v>507</v>
      </c>
      <c r="BR48" s="381">
        <v>696</v>
      </c>
      <c r="BS48" s="381"/>
      <c r="BT48" s="381">
        <v>3249</v>
      </c>
      <c r="BU48" s="381">
        <v>15041</v>
      </c>
      <c r="BV48" s="381">
        <v>18290</v>
      </c>
      <c r="BX48">
        <v>0.84499999999999997</v>
      </c>
      <c r="BY48">
        <v>1</v>
      </c>
      <c r="CA48" s="144">
        <v>3.8661922179374725E-2</v>
      </c>
      <c r="CB48" s="144">
        <v>9.8725385658853609E-2</v>
      </c>
      <c r="CC48" s="144">
        <v>6.1165124759746343E-2</v>
      </c>
      <c r="CD48" s="144">
        <v>0.11733829602260379</v>
      </c>
      <c r="CE48" s="144">
        <v>0.16545453255780962</v>
      </c>
      <c r="CF48" s="144">
        <v>0.15256888098355748</v>
      </c>
      <c r="CG48" s="144">
        <v>4.3620900621971638E-2</v>
      </c>
      <c r="CH48" s="144">
        <v>6.9384613068330006E-2</v>
      </c>
      <c r="CI48" s="144">
        <v>6.4905338572803409E-2</v>
      </c>
      <c r="CK48" s="63">
        <v>3.8354053787804161E-2</v>
      </c>
      <c r="CL48" s="63">
        <v>3.8354053787804161E-2</v>
      </c>
      <c r="CM48" s="63">
        <v>9.5451234762451848E-2</v>
      </c>
      <c r="CN48" s="63">
        <v>6.4487034574394905E-2</v>
      </c>
      <c r="CO48" s="63">
        <v>6.0091231151889746E-2</v>
      </c>
      <c r="CP48" s="63">
        <v>0.11638967338579283</v>
      </c>
      <c r="CQ48" s="63">
        <v>0.11638967338579283</v>
      </c>
      <c r="CR48" s="63">
        <v>0.11638967338579283</v>
      </c>
      <c r="CS48" s="63">
        <v>0.16377773000866014</v>
      </c>
      <c r="CT48" s="63">
        <v>0.15110630159669614</v>
      </c>
      <c r="CU48" s="63">
        <v>6.805513396088364E-2</v>
      </c>
      <c r="CV48" s="63">
        <v>4.3273209563109913E-2</v>
      </c>
      <c r="CW48" s="63">
        <v>6.4905338572803409E-2</v>
      </c>
      <c r="CY48" s="11">
        <v>145.63709755073739</v>
      </c>
      <c r="CZ48" s="11">
        <v>390.55490931416699</v>
      </c>
      <c r="DA48" s="11">
        <v>820.31652762189242</v>
      </c>
      <c r="DB48" s="11">
        <v>1210.8714369360594</v>
      </c>
      <c r="DC48" s="11">
        <v>1356.5085344867966</v>
      </c>
      <c r="DE48" s="11">
        <v>29.733811789885682</v>
      </c>
      <c r="DF48" s="11">
        <v>53.174753359689738</v>
      </c>
      <c r="DG48" s="11">
        <v>39.651412418526085</v>
      </c>
      <c r="DH48" s="11">
        <v>114.63122940265423</v>
      </c>
      <c r="DI48" s="11">
        <v>144.36504119253991</v>
      </c>
      <c r="DK48" s="11">
        <v>175.37090934062309</v>
      </c>
      <c r="DL48" s="11">
        <v>1325.5026663387137</v>
      </c>
      <c r="DM48" s="11">
        <v>1500.8735756793365</v>
      </c>
      <c r="DO48" s="381">
        <v>3766.9388726986667</v>
      </c>
      <c r="DP48" s="381">
        <v>10101.797512864463</v>
      </c>
      <c r="DQ48" s="381">
        <v>8309.0739240715957</v>
      </c>
      <c r="DR48" s="381">
        <v>18410.87143693606</v>
      </c>
      <c r="DS48" s="381">
        <v>22177.810309634726</v>
      </c>
      <c r="DU48" s="381">
        <v>253.40245084314014</v>
      </c>
      <c r="DV48" s="381">
        <v>453.17475335968976</v>
      </c>
      <c r="DW48" s="381">
        <v>239.65141241852609</v>
      </c>
      <c r="DX48" s="381">
        <v>692.82616577821591</v>
      </c>
      <c r="DY48" s="381">
        <v>946.22861662135608</v>
      </c>
      <c r="EA48" s="381">
        <v>4020.341323541807</v>
      </c>
      <c r="EB48" s="381">
        <v>19103.697602714277</v>
      </c>
      <c r="EC48" s="381">
        <v>23124.038926256082</v>
      </c>
      <c r="EE48" s="63">
        <v>3.225686433524768E-2</v>
      </c>
      <c r="EF48" s="63">
        <v>3.3097658180594555E-2</v>
      </c>
      <c r="EG48" s="63">
        <v>3.2571873712564633E-2</v>
      </c>
      <c r="EH48" s="63">
        <v>0.11190469463160184</v>
      </c>
      <c r="EI48" s="63">
        <v>0.11257469144559512</v>
      </c>
      <c r="EJ48" s="63">
        <v>0.11207438478889459</v>
      </c>
      <c r="EK48" s="63">
        <v>3.7277073759569401E-2</v>
      </c>
      <c r="EL48" s="63">
        <v>3.5519525107610514E-2</v>
      </c>
      <c r="EM48" s="63">
        <v>3.5825092205821141E-2</v>
      </c>
      <c r="EO48" s="11">
        <v>121.50963617581172</v>
      </c>
      <c r="EP48" s="11">
        <v>325.85231191461139</v>
      </c>
      <c r="EQ48" s="11">
        <v>275.01088853621314</v>
      </c>
      <c r="ER48" s="11">
        <v>600.86320045082448</v>
      </c>
      <c r="ES48" s="11">
        <v>722.37283662663617</v>
      </c>
      <c r="EU48" s="11">
        <v>28.356923880501093</v>
      </c>
      <c r="EV48" s="11">
        <v>50.712382389467564</v>
      </c>
      <c r="EW48" s="11">
        <v>26.978683807516639</v>
      </c>
      <c r="EX48" s="11">
        <v>77.691066196984195</v>
      </c>
      <c r="EY48" s="11">
        <v>106.04799007748528</v>
      </c>
      <c r="FA48" s="11">
        <v>149.86656005631281</v>
      </c>
      <c r="FB48" s="11">
        <v>678.55426664780862</v>
      </c>
      <c r="FC48" s="11">
        <v>828.4208267041214</v>
      </c>
      <c r="FE48" s="63">
        <v>6.4050578441270422E-3</v>
      </c>
      <c r="FF48" s="63">
        <v>6.562772747825904E-2</v>
      </c>
      <c r="FG48" s="63">
        <v>2.8593251047181707E-2</v>
      </c>
      <c r="FH48" s="63">
        <v>5.4336013910019562E-3</v>
      </c>
      <c r="FI48" s="63">
        <v>5.2879841112214498E-2</v>
      </c>
      <c r="FJ48" s="63">
        <v>1.7450315072455341E-2</v>
      </c>
      <c r="FK48" s="63">
        <v>6.3438268624022342E-3</v>
      </c>
      <c r="FL48" s="63">
        <v>3.2723682559634169E-2</v>
      </c>
      <c r="FM48" s="63">
        <v>2.8137285507334173E-2</v>
      </c>
      <c r="FO48" s="11">
        <v>24.127461374925673</v>
      </c>
      <c r="FP48" s="11">
        <v>64.702597399555572</v>
      </c>
      <c r="FQ48" s="11">
        <v>545.3056390856791</v>
      </c>
      <c r="FR48" s="11">
        <v>610.00823648523465</v>
      </c>
      <c r="FS48" s="11">
        <v>634.13569786016035</v>
      </c>
      <c r="FU48" s="11">
        <v>1.3768879093845912</v>
      </c>
      <c r="FV48" s="11">
        <v>2.4623709702221785</v>
      </c>
      <c r="FW48" s="11">
        <v>12.672728611009449</v>
      </c>
      <c r="FX48" s="11">
        <v>15.135099581231627</v>
      </c>
      <c r="FY48" s="11">
        <v>16.511987490616217</v>
      </c>
      <c r="GA48" s="11">
        <v>25.504349284310265</v>
      </c>
      <c r="GB48" s="11">
        <v>625.1433360664663</v>
      </c>
      <c r="GC48" s="11">
        <v>650.64768535077656</v>
      </c>
      <c r="GE48" s="63">
        <v>7.9630906643023674E-3</v>
      </c>
      <c r="GF48" s="63">
        <v>3.3164224931119674E-2</v>
      </c>
      <c r="GG48" s="63">
        <v>1.7557286314297382E-2</v>
      </c>
      <c r="GH48" s="63">
        <v>8.0845100786892318E-3</v>
      </c>
      <c r="GI48" s="63">
        <v>1.3987970345502868E-2</v>
      </c>
      <c r="GJ48" s="63">
        <v>9.5863545529902734E-3</v>
      </c>
      <c r="GK48" s="63">
        <v>7.9707446179275495E-3</v>
      </c>
      <c r="GL48" s="63">
        <v>1.916100773145615E-2</v>
      </c>
      <c r="GM48" s="63">
        <v>1.7233636661053001E-2</v>
      </c>
      <c r="GO48" s="11">
        <v>30.237257795449484</v>
      </c>
      <c r="GP48" s="11">
        <v>81.087234467143276</v>
      </c>
      <c r="GQ48" s="11">
        <v>285.01634268506416</v>
      </c>
      <c r="GR48" s="11">
        <v>366.10357715220744</v>
      </c>
      <c r="GS48" s="11">
        <v>396.3408349476569</v>
      </c>
      <c r="GU48" s="11">
        <v>2.0653318640768865</v>
      </c>
      <c r="GV48" s="11">
        <v>3.6935564553332685</v>
      </c>
      <c r="GW48" s="11">
        <v>3.3997930545967674</v>
      </c>
      <c r="GX48" s="11">
        <v>7.0933495099300359</v>
      </c>
      <c r="GY48" s="11">
        <v>9.1586813740069228</v>
      </c>
      <c r="GZ48" s="11">
        <v>32.302589659526369</v>
      </c>
      <c r="HA48" s="11">
        <v>373.19692666213746</v>
      </c>
      <c r="HB48" s="11">
        <v>405.4995163216638</v>
      </c>
      <c r="HD48" s="11">
        <v>54.364719170375153</v>
      </c>
      <c r="HE48" s="11">
        <v>145.78983186669885</v>
      </c>
      <c r="HF48" s="11">
        <v>830.32198177074326</v>
      </c>
      <c r="HG48" s="11">
        <v>976.11181363744208</v>
      </c>
      <c r="HH48" s="11">
        <v>1030.4765328078172</v>
      </c>
      <c r="HI48" s="11">
        <v>0</v>
      </c>
      <c r="HJ48" s="11">
        <v>3.4422197734614777</v>
      </c>
      <c r="HK48" s="11">
        <v>6.155927425555447</v>
      </c>
      <c r="HL48" s="11">
        <v>9.5981471990169247</v>
      </c>
      <c r="HM48" s="11">
        <v>9.5981471990169247</v>
      </c>
      <c r="HN48" s="11">
        <v>54.364719170375153</v>
      </c>
      <c r="HO48" s="11">
        <v>985.709960836459</v>
      </c>
      <c r="HP48" s="11">
        <v>1040.0746800068341</v>
      </c>
      <c r="HR48" s="381">
        <v>3797.176130494116</v>
      </c>
      <c r="HS48" s="381">
        <v>10182.884747331605</v>
      </c>
      <c r="HT48" s="381">
        <v>8594.0902667566606</v>
      </c>
      <c r="HU48" s="381">
        <v>18776.975014088268</v>
      </c>
      <c r="HV48" s="381">
        <v>22574.151144582385</v>
      </c>
      <c r="HX48" s="381">
        <v>255.46778270721703</v>
      </c>
      <c r="HY48" s="381">
        <v>456.86830981502305</v>
      </c>
      <c r="HZ48" s="381">
        <v>243.05120547312288</v>
      </c>
      <c r="IA48" s="381">
        <v>699.91951528814593</v>
      </c>
      <c r="IB48" s="381">
        <v>955.38729799536293</v>
      </c>
      <c r="ID48" s="381">
        <v>4052.6439132013329</v>
      </c>
      <c r="IE48" s="381">
        <v>19476.894529376415</v>
      </c>
      <c r="IF48" s="381">
        <v>23529.538442577748</v>
      </c>
      <c r="IH48" s="144">
        <v>3.2000000000000001E-2</v>
      </c>
      <c r="II48" s="144">
        <v>3.1999999999999994E-2</v>
      </c>
      <c r="IJ48" s="144">
        <v>3.1999999999999994E-2</v>
      </c>
      <c r="IK48" s="144">
        <v>0.11100000000000002</v>
      </c>
      <c r="IL48" s="144">
        <v>0.111</v>
      </c>
      <c r="IM48" s="144">
        <v>0.111</v>
      </c>
      <c r="IN48" s="144">
        <v>3.6979947724528228E-2</v>
      </c>
      <c r="IO48" s="144">
        <v>3.4838935212405941E-2</v>
      </c>
      <c r="IP48" s="144">
        <v>3.5207695583397293E-2</v>
      </c>
      <c r="IR48" s="144">
        <v>1.4317144452106524E-2</v>
      </c>
      <c r="IS48" s="144">
        <v>5.1984508308983234E-2</v>
      </c>
      <c r="IT48" s="144">
        <v>4.564851746618713E-2</v>
      </c>
      <c r="IU48" s="144">
        <v>1.3474183464482052E-2</v>
      </c>
      <c r="IV48" s="144">
        <v>3.1758578816037955E-2</v>
      </c>
      <c r="IW48" s="144">
        <v>2.686938471809967E-2</v>
      </c>
      <c r="IX48" s="144">
        <v>1.4264006456509227E-2</v>
      </c>
      <c r="IY48" s="144">
        <v>5.1257671556563453E-2</v>
      </c>
      <c r="IZ48" s="144">
        <v>4.4886014413325459E-2</v>
      </c>
    </row>
    <row r="49" spans="2:260" x14ac:dyDescent="0.3">
      <c r="B49">
        <v>2005</v>
      </c>
      <c r="C49">
        <v>12472</v>
      </c>
      <c r="F49">
        <v>496</v>
      </c>
      <c r="G49">
        <v>142</v>
      </c>
      <c r="H49">
        <v>690</v>
      </c>
      <c r="J49">
        <v>2693</v>
      </c>
      <c r="K49">
        <v>2374</v>
      </c>
      <c r="L49">
        <v>6733</v>
      </c>
      <c r="M49">
        <v>9107</v>
      </c>
      <c r="N49">
        <v>11800</v>
      </c>
      <c r="P49">
        <v>236</v>
      </c>
      <c r="Q49">
        <v>83</v>
      </c>
      <c r="R49">
        <v>319</v>
      </c>
      <c r="S49">
        <v>402</v>
      </c>
      <c r="T49">
        <v>638</v>
      </c>
      <c r="V49">
        <v>2929</v>
      </c>
      <c r="W49">
        <v>9509</v>
      </c>
      <c r="X49">
        <v>12438</v>
      </c>
      <c r="AN49" s="11">
        <v>0</v>
      </c>
      <c r="AO49" s="11">
        <v>0</v>
      </c>
      <c r="AP49" s="11">
        <v>0</v>
      </c>
      <c r="AQ49" s="11">
        <v>0</v>
      </c>
      <c r="AR49" s="11">
        <v>0</v>
      </c>
      <c r="AS49" s="11"/>
      <c r="AT49" s="11">
        <v>0</v>
      </c>
      <c r="AU49" s="11">
        <v>0</v>
      </c>
      <c r="AV49" s="11"/>
      <c r="AW49" s="11">
        <v>0</v>
      </c>
      <c r="AX49" s="11">
        <v>0</v>
      </c>
      <c r="AY49" s="11"/>
      <c r="AZ49" s="11">
        <v>0</v>
      </c>
      <c r="BA49" s="11">
        <v>0</v>
      </c>
      <c r="BB49" s="11">
        <v>0</v>
      </c>
      <c r="BD49" s="63">
        <v>0</v>
      </c>
      <c r="BE49" s="63">
        <v>0</v>
      </c>
      <c r="BF49" s="63">
        <v>0</v>
      </c>
      <c r="BH49" s="381">
        <v>2693</v>
      </c>
      <c r="BI49" s="381">
        <v>2374</v>
      </c>
      <c r="BJ49" s="381">
        <v>6733</v>
      </c>
      <c r="BK49" s="381">
        <v>9107</v>
      </c>
      <c r="BL49" s="381">
        <v>11800</v>
      </c>
      <c r="BM49" s="381"/>
      <c r="BN49" s="381">
        <v>236</v>
      </c>
      <c r="BO49" s="381">
        <v>83</v>
      </c>
      <c r="BP49" s="381">
        <v>319</v>
      </c>
      <c r="BQ49" s="381">
        <v>402</v>
      </c>
      <c r="BR49" s="381">
        <v>638</v>
      </c>
      <c r="BS49" s="381"/>
      <c r="BT49" s="381">
        <v>2929</v>
      </c>
      <c r="BU49" s="381">
        <v>9509</v>
      </c>
      <c r="BV49" s="381">
        <v>12438</v>
      </c>
      <c r="BX49">
        <v>0.84499999999999997</v>
      </c>
      <c r="BY49">
        <v>1</v>
      </c>
      <c r="CA49" s="144">
        <v>4.4669280513264416E-2</v>
      </c>
      <c r="CB49" s="144">
        <v>0.12290744834314062</v>
      </c>
      <c r="CC49" s="144">
        <v>9.093859606418124E-2</v>
      </c>
      <c r="CD49" s="144">
        <v>0.13525408046574489</v>
      </c>
      <c r="CE49" s="144">
        <v>0.21399911052377443</v>
      </c>
      <c r="CF49" s="144">
        <v>0.186260350453165</v>
      </c>
      <c r="CG49" s="144">
        <v>5.2665099919932505E-2</v>
      </c>
      <c r="CH49" s="144">
        <v>0.10896160441262188</v>
      </c>
      <c r="CI49" s="144">
        <v>9.6307501157246705E-2</v>
      </c>
      <c r="CK49" s="63">
        <v>4.4373292867981785E-2</v>
      </c>
      <c r="CL49" s="63">
        <v>4.4373292867981785E-2</v>
      </c>
      <c r="CM49" s="63">
        <v>0.11935673504764498</v>
      </c>
      <c r="CN49" s="63">
        <v>0.10133165192694477</v>
      </c>
      <c r="CO49" s="63">
        <v>8.9127636812035671E-2</v>
      </c>
      <c r="CP49" s="63">
        <v>0.13436011566663222</v>
      </c>
      <c r="CQ49" s="63">
        <v>0.13436011566663222</v>
      </c>
      <c r="CR49" s="63">
        <v>0.13436011566663225</v>
      </c>
      <c r="CS49" s="63">
        <v>0.21203836957054978</v>
      </c>
      <c r="CT49" s="63">
        <v>0.1847209819239734</v>
      </c>
      <c r="CU49" s="63">
        <v>0.10646961011020641</v>
      </c>
      <c r="CV49" s="63">
        <v>5.2316207902088241E-2</v>
      </c>
      <c r="CW49" s="63">
        <v>9.6307501157246705E-2</v>
      </c>
      <c r="CY49" s="11">
        <v>149.01667155270661</v>
      </c>
      <c r="CZ49" s="11">
        <v>131.36486381957872</v>
      </c>
      <c r="DA49" s="11">
        <v>1116.5667347786891</v>
      </c>
      <c r="DB49" s="11">
        <v>1247.9315985982678</v>
      </c>
      <c r="DC49" s="11">
        <v>1396.9482701509744</v>
      </c>
      <c r="DE49" s="11">
        <v>43.683471961825759</v>
      </c>
      <c r="DF49" s="11">
        <v>15.363254969625162</v>
      </c>
      <c r="DG49" s="11">
        <v>102.78338227311116</v>
      </c>
      <c r="DH49" s="11">
        <v>127.09113614588551</v>
      </c>
      <c r="DI49" s="11">
        <v>170.77460810771129</v>
      </c>
      <c r="DK49" s="11">
        <v>192.70014351453239</v>
      </c>
      <c r="DL49" s="11">
        <v>1375.0227347441532</v>
      </c>
      <c r="DM49" s="11">
        <v>1567.7228782586858</v>
      </c>
      <c r="DO49" s="381">
        <v>3335.9989200734167</v>
      </c>
      <c r="DP49" s="381">
        <v>2940.8323194408804</v>
      </c>
      <c r="DQ49" s="381">
        <v>9084.6140720567964</v>
      </c>
      <c r="DR49" s="381">
        <v>12025.446391497677</v>
      </c>
      <c r="DS49" s="381">
        <v>15361.445311571093</v>
      </c>
      <c r="DU49" s="381">
        <v>322.97341279022817</v>
      </c>
      <c r="DV49" s="381">
        <v>113.5881070406311</v>
      </c>
      <c r="DW49" s="381">
        <v>480.29817517251945</v>
      </c>
      <c r="DX49" s="381">
        <v>593.88628221315059</v>
      </c>
      <c r="DY49" s="381">
        <v>916.85969500337876</v>
      </c>
      <c r="EA49" s="381">
        <v>3658.9723328636446</v>
      </c>
      <c r="EB49" s="381">
        <v>12619.332673710827</v>
      </c>
      <c r="EC49" s="381">
        <v>16278.305006574472</v>
      </c>
      <c r="EE49" s="63">
        <v>3.8253475227862918E-2</v>
      </c>
      <c r="EF49" s="63">
        <v>3.9130452380211088E-2</v>
      </c>
      <c r="EG49" s="63">
        <v>3.8772111255756289E-2</v>
      </c>
      <c r="EH49" s="63">
        <v>0.12381838028901133</v>
      </c>
      <c r="EI49" s="63">
        <v>0.12421283895397596</v>
      </c>
      <c r="EJ49" s="63">
        <v>0.1240250179872284</v>
      </c>
      <c r="EK49" s="63">
        <v>4.5806194103176927E-2</v>
      </c>
      <c r="EL49" s="63">
        <v>4.2926644692172104E-2</v>
      </c>
      <c r="EM49" s="63">
        <v>4.3573898298842152E-2</v>
      </c>
      <c r="EO49" s="11">
        <v>127.61355204920589</v>
      </c>
      <c r="EP49" s="11">
        <v>112.49705628103037</v>
      </c>
      <c r="EQ49" s="11">
        <v>355.48505833921399</v>
      </c>
      <c r="ER49" s="11">
        <v>467.98211462024437</v>
      </c>
      <c r="ES49" s="11">
        <v>595.59566666945022</v>
      </c>
      <c r="EU49" s="11">
        <v>39.990044848100311</v>
      </c>
      <c r="EV49" s="11">
        <v>14.064295433865787</v>
      </c>
      <c r="EW49" s="11">
        <v>59.659199882592695</v>
      </c>
      <c r="EX49" s="11">
        <v>73.723495316458482</v>
      </c>
      <c r="EY49" s="11">
        <v>113.71354016455879</v>
      </c>
      <c r="FA49" s="11">
        <v>167.6035968973062</v>
      </c>
      <c r="FB49" s="11">
        <v>541.7056099367029</v>
      </c>
      <c r="FC49" s="11">
        <v>709.30920683400905</v>
      </c>
      <c r="FE49" s="63">
        <v>6.4158052854014968E-3</v>
      </c>
      <c r="FF49" s="63">
        <v>8.3776995962929521E-2</v>
      </c>
      <c r="FG49" s="63">
        <v>5.2166484808424944E-2</v>
      </c>
      <c r="FH49" s="63">
        <v>1.1435700176733548E-2</v>
      </c>
      <c r="FI49" s="63">
        <v>8.9786271569798473E-2</v>
      </c>
      <c r="FJ49" s="63">
        <v>5.2479751593645936E-2</v>
      </c>
      <c r="FK49" s="63">
        <v>6.8589058167555731E-3</v>
      </c>
      <c r="FL49" s="63">
        <v>6.5326166384508749E-2</v>
      </c>
      <c r="FM49" s="63">
        <v>5.218412925537666E-2</v>
      </c>
      <c r="FO49" s="11">
        <v>21.403119503500712</v>
      </c>
      <c r="FP49" s="11">
        <v>18.867807538548345</v>
      </c>
      <c r="FQ49" s="11">
        <v>761.0816764394749</v>
      </c>
      <c r="FR49" s="11">
        <v>779.9494839780233</v>
      </c>
      <c r="FS49" s="11">
        <v>801.35260348152406</v>
      </c>
      <c r="FU49" s="11">
        <v>3.6934271137254493</v>
      </c>
      <c r="FV49" s="11">
        <v>1.2989595357593742</v>
      </c>
      <c r="FW49" s="11">
        <v>43.12418239051847</v>
      </c>
      <c r="FX49" s="11">
        <v>44.423141926277843</v>
      </c>
      <c r="FY49" s="11">
        <v>48.116569040003291</v>
      </c>
      <c r="GA49" s="11">
        <v>25.09654661722616</v>
      </c>
      <c r="GB49" s="11">
        <v>824.37262590430112</v>
      </c>
      <c r="GC49" s="11">
        <v>849.4691725215273</v>
      </c>
      <c r="GE49" s="63">
        <v>6.6262013151239252E-3</v>
      </c>
      <c r="GF49" s="63">
        <v>2.8889325613387959E-2</v>
      </c>
      <c r="GG49" s="63">
        <v>1.9914088522627518E-2</v>
      </c>
      <c r="GH49" s="63">
        <v>6.6095218424042134E-3</v>
      </c>
      <c r="GI49" s="63">
        <v>9.7641996124518717E-3</v>
      </c>
      <c r="GJ49" s="63">
        <v>8.2646066403630689E-3</v>
      </c>
      <c r="GK49" s="63">
        <v>6.6247290591812651E-3</v>
      </c>
      <c r="GL49" s="63">
        <v>2.2870389215073058E-2</v>
      </c>
      <c r="GM49" s="63">
        <v>1.9265220944745119E-2</v>
      </c>
      <c r="GO49" s="11">
        <v>22.252449642528518</v>
      </c>
      <c r="GP49" s="11">
        <v>19.61653005991931</v>
      </c>
      <c r="GQ49" s="11">
        <v>270.2558842383097</v>
      </c>
      <c r="GR49" s="11">
        <v>289.87241429822899</v>
      </c>
      <c r="GS49" s="11">
        <v>312.12486394075751</v>
      </c>
      <c r="GU49" s="11">
        <v>2.1489030479857161</v>
      </c>
      <c r="GV49" s="11">
        <v>0.75575827535090867</v>
      </c>
      <c r="GW49" s="11">
        <v>4.7359702144130109</v>
      </c>
      <c r="GX49" s="11">
        <v>5.4917284897639194</v>
      </c>
      <c r="GY49" s="11">
        <v>7.6406315377496359</v>
      </c>
      <c r="GZ49" s="11">
        <v>24.401352690514234</v>
      </c>
      <c r="HA49" s="11">
        <v>295.36414278799293</v>
      </c>
      <c r="HB49" s="11">
        <v>319.76549547850715</v>
      </c>
      <c r="HD49" s="11">
        <v>43.655569146029229</v>
      </c>
      <c r="HE49" s="11">
        <v>38.484337598467654</v>
      </c>
      <c r="HF49" s="11">
        <v>1031.3375606777845</v>
      </c>
      <c r="HG49" s="11">
        <v>1069.8218982762521</v>
      </c>
      <c r="HH49" s="11">
        <v>1113.4774674222813</v>
      </c>
      <c r="HI49" s="11">
        <v>0</v>
      </c>
      <c r="HJ49" s="11">
        <v>5.8423301617111658</v>
      </c>
      <c r="HK49" s="11">
        <v>2.0547178111102831</v>
      </c>
      <c r="HL49" s="11">
        <v>7.8970479728214489</v>
      </c>
      <c r="HM49" s="11">
        <v>7.8970479728214489</v>
      </c>
      <c r="HN49" s="11">
        <v>43.655569146029229</v>
      </c>
      <c r="HO49" s="11">
        <v>1077.7189462490735</v>
      </c>
      <c r="HP49" s="11">
        <v>1121.3745153951027</v>
      </c>
      <c r="HR49" s="381">
        <v>3358.2513697159452</v>
      </c>
      <c r="HS49" s="381">
        <v>2960.4488495007995</v>
      </c>
      <c r="HT49" s="381">
        <v>9354.869956295106</v>
      </c>
      <c r="HU49" s="381">
        <v>12315.318805795905</v>
      </c>
      <c r="HV49" s="381">
        <v>15673.57017551185</v>
      </c>
      <c r="HX49" s="381">
        <v>325.12231583821392</v>
      </c>
      <c r="HY49" s="381">
        <v>114.34386531598201</v>
      </c>
      <c r="HZ49" s="381">
        <v>485.03414538693249</v>
      </c>
      <c r="IA49" s="381">
        <v>599.37801070291448</v>
      </c>
      <c r="IB49" s="381">
        <v>924.5003265411284</v>
      </c>
      <c r="ID49" s="381">
        <v>3683.3736855541592</v>
      </c>
      <c r="IE49" s="381">
        <v>12914.696816498819</v>
      </c>
      <c r="IF49" s="381">
        <v>16598.070502052979</v>
      </c>
      <c r="IH49" s="144">
        <v>3.7999999999999992E-2</v>
      </c>
      <c r="II49" s="144">
        <v>3.7999999999999999E-2</v>
      </c>
      <c r="IJ49" s="144">
        <v>3.7999999999999999E-2</v>
      </c>
      <c r="IK49" s="144">
        <v>0.123</v>
      </c>
      <c r="IL49" s="144">
        <v>0.123</v>
      </c>
      <c r="IM49" s="144">
        <v>0.123</v>
      </c>
      <c r="IN49" s="144">
        <v>4.550274047801111E-2</v>
      </c>
      <c r="IO49" s="144">
        <v>4.1944895620364984E-2</v>
      </c>
      <c r="IP49" s="144">
        <v>4.2734437520691101E-2</v>
      </c>
      <c r="IR49" s="144">
        <v>1.2999494183105715E-2</v>
      </c>
      <c r="IS49" s="144">
        <v>8.6869200476788852E-2</v>
      </c>
      <c r="IT49" s="144">
        <v>7.1041725334663186E-2</v>
      </c>
      <c r="IU49" s="144">
        <v>1.7969637509036455E-2</v>
      </c>
      <c r="IV49" s="144">
        <v>8.3277780507003601E-2</v>
      </c>
      <c r="IW49" s="144">
        <v>6.0310633730503549E-2</v>
      </c>
      <c r="IX49" s="144">
        <v>1.3438196483258389E-2</v>
      </c>
      <c r="IY49" s="144">
        <v>8.6702520748439454E-2</v>
      </c>
      <c r="IZ49" s="144">
        <v>7.0444011420207814E-2</v>
      </c>
    </row>
    <row r="50" spans="2:260" x14ac:dyDescent="0.3">
      <c r="B50">
        <v>2006</v>
      </c>
      <c r="C50">
        <v>10408</v>
      </c>
      <c r="E50">
        <v>128</v>
      </c>
      <c r="F50">
        <v>422</v>
      </c>
      <c r="G50">
        <v>119</v>
      </c>
      <c r="H50">
        <v>253</v>
      </c>
      <c r="J50">
        <v>1496</v>
      </c>
      <c r="K50">
        <v>2244</v>
      </c>
      <c r="L50">
        <v>6340</v>
      </c>
      <c r="M50">
        <v>8584</v>
      </c>
      <c r="N50">
        <v>10080</v>
      </c>
      <c r="P50">
        <v>184</v>
      </c>
      <c r="Q50">
        <v>46</v>
      </c>
      <c r="R50">
        <v>69</v>
      </c>
      <c r="S50">
        <v>115</v>
      </c>
      <c r="T50">
        <v>299</v>
      </c>
      <c r="V50">
        <v>1680</v>
      </c>
      <c r="W50">
        <v>8699</v>
      </c>
      <c r="X50">
        <v>10379</v>
      </c>
      <c r="AJ50" s="63">
        <v>1.196559733818821E-2</v>
      </c>
      <c r="AK50" s="63">
        <v>0.132157902948978</v>
      </c>
      <c r="AL50" s="405">
        <v>847</v>
      </c>
      <c r="AN50" s="11">
        <v>10.780437821480033</v>
      </c>
      <c r="AO50" s="11">
        <v>16.170656732220049</v>
      </c>
      <c r="AP50" s="11">
        <v>914.66171771944539</v>
      </c>
      <c r="AQ50" s="11">
        <v>930.83237445166549</v>
      </c>
      <c r="AR50" s="11">
        <v>941.61281227314555</v>
      </c>
      <c r="AS50" s="11"/>
      <c r="AT50" s="11">
        <v>1.325936202641929</v>
      </c>
      <c r="AU50" s="11">
        <v>0.33148405066048225</v>
      </c>
      <c r="AV50" s="11">
        <v>9.6693127810361386</v>
      </c>
      <c r="AW50" s="11">
        <v>10.00079683169662</v>
      </c>
      <c r="AX50" s="11">
        <v>11.326733034338549</v>
      </c>
      <c r="AY50" s="11"/>
      <c r="AZ50" s="11">
        <v>12.106374024121962</v>
      </c>
      <c r="BA50" s="11">
        <v>940.83317128336216</v>
      </c>
      <c r="BB50" s="11">
        <v>952.93954530748408</v>
      </c>
      <c r="BD50" s="63">
        <v>5.5994831109475174E-3</v>
      </c>
      <c r="BE50" s="63">
        <v>7.6992138621827549E-2</v>
      </c>
      <c r="BF50" s="63">
        <v>6.625958544485494E-2</v>
      </c>
      <c r="BH50" s="381">
        <v>1496.8955624778966</v>
      </c>
      <c r="BI50" s="381">
        <v>2245.3433437168446</v>
      </c>
      <c r="BJ50" s="381">
        <v>6416.7806130229246</v>
      </c>
      <c r="BK50" s="381">
        <v>8662.1239567397697</v>
      </c>
      <c r="BL50" s="381">
        <v>10159.019519217667</v>
      </c>
      <c r="BM50" s="381"/>
      <c r="BN50" s="381">
        <v>184.11014939567713</v>
      </c>
      <c r="BO50" s="381">
        <v>46.027537348919282</v>
      </c>
      <c r="BP50" s="381">
        <v>69.835624968230576</v>
      </c>
      <c r="BQ50" s="381">
        <v>115.86316231714986</v>
      </c>
      <c r="BR50" s="381">
        <v>299.97331171282701</v>
      </c>
      <c r="BS50" s="381"/>
      <c r="BT50" s="381">
        <v>1681.0057118735738</v>
      </c>
      <c r="BU50" s="381">
        <v>8777.9871190569193</v>
      </c>
      <c r="BV50" s="381">
        <v>10458.992830930492</v>
      </c>
      <c r="BX50">
        <v>0.84499999999999997</v>
      </c>
      <c r="BY50">
        <v>1</v>
      </c>
      <c r="CA50" s="144">
        <v>6.0439319055464027E-2</v>
      </c>
      <c r="CB50" s="144">
        <v>0.14296208517744843</v>
      </c>
      <c r="CC50" s="144">
        <v>0.11409196074436105</v>
      </c>
      <c r="CD50" s="144">
        <v>0.17283723127805339</v>
      </c>
      <c r="CE50" s="144">
        <v>0.25995248393286835</v>
      </c>
      <c r="CF50" s="144">
        <v>0.20776089139755158</v>
      </c>
      <c r="CG50" s="144">
        <v>7.4217277759518183E-2</v>
      </c>
      <c r="CH50" s="144">
        <v>0.12487617771558862</v>
      </c>
      <c r="CI50" s="144">
        <v>0.11705200657204762</v>
      </c>
      <c r="CK50" s="63">
        <v>6.0024931827035444E-2</v>
      </c>
      <c r="CL50" s="63">
        <v>6.0024931827035444E-2</v>
      </c>
      <c r="CM50" s="63">
        <v>0.13777043607584852</v>
      </c>
      <c r="CN50" s="63">
        <v>0.11922444723949784</v>
      </c>
      <c r="CO50" s="63">
        <v>0.11110163672659482</v>
      </c>
      <c r="CP50" s="63">
        <v>0.17186281418839561</v>
      </c>
      <c r="CQ50" s="63">
        <v>0.17186281418839561</v>
      </c>
      <c r="CR50" s="63">
        <v>0.17186281418839561</v>
      </c>
      <c r="CS50" s="63">
        <v>0.25710723001404068</v>
      </c>
      <c r="CT50" s="63">
        <v>0.20614610541907627</v>
      </c>
      <c r="CU50" s="63">
        <v>0.12125254623789801</v>
      </c>
      <c r="CV50" s="63">
        <v>7.3719498808395262E-2</v>
      </c>
      <c r="CW50" s="63">
        <v>0.11705200657204762</v>
      </c>
      <c r="CY50" s="11">
        <v>113.95398592013629</v>
      </c>
      <c r="CZ50" s="11">
        <v>170.93097888020444</v>
      </c>
      <c r="DA50" s="11">
        <v>1266.7220223182467</v>
      </c>
      <c r="DB50" s="11">
        <v>1437.6530011984512</v>
      </c>
      <c r="DC50" s="11">
        <v>1551.6069871185875</v>
      </c>
      <c r="DE50" s="11">
        <v>45.526822881725423</v>
      </c>
      <c r="DF50" s="11">
        <v>11.381705720431356</v>
      </c>
      <c r="DG50" s="11">
        <v>29.030511068636592</v>
      </c>
      <c r="DH50" s="11">
        <v>46.148944704380433</v>
      </c>
      <c r="DI50" s="11">
        <v>91.675767586105849</v>
      </c>
      <c r="DK50" s="11">
        <v>159.48080880186171</v>
      </c>
      <c r="DL50" s="11">
        <v>1483.8019459028317</v>
      </c>
      <c r="DM50" s="11">
        <v>1643.2827547046934</v>
      </c>
      <c r="DO50" s="381">
        <v>1885.428024355517</v>
      </c>
      <c r="DP50" s="381">
        <v>2828.1420365332756</v>
      </c>
      <c r="DQ50" s="381">
        <v>8860.5452329962645</v>
      </c>
      <c r="DR50" s="381">
        <v>11688.687269529541</v>
      </c>
      <c r="DS50" s="381">
        <v>13574.115293885057</v>
      </c>
      <c r="DU50" s="381">
        <v>263.40865648607706</v>
      </c>
      <c r="DV50" s="381">
        <v>65.852164121519266</v>
      </c>
      <c r="DW50" s="381">
        <v>111.67622109021124</v>
      </c>
      <c r="DX50" s="381">
        <v>177.52838521173049</v>
      </c>
      <c r="DY50" s="381">
        <v>440.93704169780756</v>
      </c>
      <c r="EA50" s="381">
        <v>2148.836680841594</v>
      </c>
      <c r="EB50" s="381">
        <v>11866.215654741271</v>
      </c>
      <c r="EC50" s="381">
        <v>14015.052335582865</v>
      </c>
      <c r="EE50" s="63">
        <v>5.2358986428179176E-2</v>
      </c>
      <c r="EF50" s="63">
        <v>5.3959533271235108E-2</v>
      </c>
      <c r="EG50" s="63">
        <v>5.33995909826828E-2</v>
      </c>
      <c r="EH50" s="63">
        <v>0.16090715804394046</v>
      </c>
      <c r="EI50" s="63">
        <v>0.16228564466510309</v>
      </c>
      <c r="EJ50" s="63">
        <v>0.16125331378941563</v>
      </c>
      <c r="EK50" s="63">
        <v>6.5665036303560825E-2</v>
      </c>
      <c r="EL50" s="63">
        <v>5.5190050882480246E-2</v>
      </c>
      <c r="EM50" s="63">
        <v>5.6807892539754733E-2</v>
      </c>
      <c r="EO50" s="11">
        <v>98.719100338539192</v>
      </c>
      <c r="EP50" s="11">
        <v>148.07865050780879</v>
      </c>
      <c r="EQ50" s="11">
        <v>478.11088530114557</v>
      </c>
      <c r="ER50" s="11">
        <v>626.18953580895436</v>
      </c>
      <c r="ES50" s="11">
        <v>724.90863614749355</v>
      </c>
      <c r="EU50" s="11">
        <v>42.384338319347222</v>
      </c>
      <c r="EV50" s="11">
        <v>10.596084579836806</v>
      </c>
      <c r="EW50" s="11">
        <v>18.123447533387512</v>
      </c>
      <c r="EX50" s="11">
        <v>28.719532113224318</v>
      </c>
      <c r="EY50" s="11">
        <v>71.10387043257154</v>
      </c>
      <c r="FA50" s="11">
        <v>141.10343865788641</v>
      </c>
      <c r="FB50" s="11">
        <v>654.90906792217868</v>
      </c>
      <c r="FC50" s="11">
        <v>796.01250658006506</v>
      </c>
      <c r="FE50" s="63">
        <v>8.0803326272848516E-3</v>
      </c>
      <c r="FF50" s="63">
        <v>8.9002551906213312E-2</v>
      </c>
      <c r="FG50" s="63">
        <v>6.0692369761678237E-2</v>
      </c>
      <c r="FH50" s="63">
        <v>1.1930073234112923E-2</v>
      </c>
      <c r="FI50" s="63">
        <v>9.7666839267765218E-2</v>
      </c>
      <c r="FJ50" s="63">
        <v>3.345967947430676E-2</v>
      </c>
      <c r="FK50" s="63">
        <v>8.552241455957359E-3</v>
      </c>
      <c r="FL50" s="63">
        <v>6.9198482520545182E-2</v>
      </c>
      <c r="FM50" s="63">
        <v>5.983178546014209E-2</v>
      </c>
      <c r="FO50" s="11">
        <v>15.234885581597101</v>
      </c>
      <c r="FP50" s="11">
        <v>22.852328372395654</v>
      </c>
      <c r="FQ50" s="11">
        <v>788.61113701710099</v>
      </c>
      <c r="FR50" s="11">
        <v>811.4634653894966</v>
      </c>
      <c r="FS50" s="11">
        <v>826.69835097109376</v>
      </c>
      <c r="FU50" s="11">
        <v>3.1424845623781934</v>
      </c>
      <c r="FV50" s="11">
        <v>0.78562114059454835</v>
      </c>
      <c r="FW50" s="11">
        <v>10.907063535249074</v>
      </c>
      <c r="FX50" s="11">
        <v>11.692684675843623</v>
      </c>
      <c r="FY50" s="11">
        <v>14.835169238221816</v>
      </c>
      <c r="GA50" s="11">
        <v>18.377370143975295</v>
      </c>
      <c r="GB50" s="11">
        <v>823.15615006534017</v>
      </c>
      <c r="GC50" s="11">
        <v>841.53352020931561</v>
      </c>
      <c r="GE50" s="63">
        <v>6.8562524347487337E-3</v>
      </c>
      <c r="GF50" s="63">
        <v>3.631486694640676E-2</v>
      </c>
      <c r="GG50" s="63">
        <v>2.6209769717837231E-2</v>
      </c>
      <c r="GH50" s="63">
        <v>5.637773079633545E-3</v>
      </c>
      <c r="GI50" s="63">
        <v>1.4084084084084084E-2</v>
      </c>
      <c r="GJ50" s="63">
        <v>7.7723288902598409E-3</v>
      </c>
      <c r="GK50" s="63">
        <v>6.7070494384856866E-3</v>
      </c>
      <c r="GL50" s="63">
        <v>2.9017796220057214E-2</v>
      </c>
      <c r="GM50" s="63">
        <v>2.5637616049069407E-2</v>
      </c>
      <c r="GO50" s="11">
        <v>13.016212924082961</v>
      </c>
      <c r="GP50" s="11">
        <v>19.524319386124439</v>
      </c>
      <c r="GQ50" s="11">
        <v>333.89486894884317</v>
      </c>
      <c r="GR50" s="11">
        <v>353.4191883349676</v>
      </c>
      <c r="GS50" s="11">
        <v>366.43540125905054</v>
      </c>
      <c r="GU50" s="11">
        <v>1.4934580098431018</v>
      </c>
      <c r="GV50" s="11">
        <v>0.37336450246077546</v>
      </c>
      <c r="GW50" s="11">
        <v>1.5953259934607253</v>
      </c>
      <c r="GX50" s="11">
        <v>1.9686904959215008</v>
      </c>
      <c r="GY50" s="11">
        <v>3.4621485057646026</v>
      </c>
      <c r="GZ50" s="11">
        <v>14.509670933926063</v>
      </c>
      <c r="HA50" s="11">
        <v>355.38787883088912</v>
      </c>
      <c r="HB50" s="11">
        <v>369.89754976481515</v>
      </c>
      <c r="HD50" s="11">
        <v>28.251098505680062</v>
      </c>
      <c r="HE50" s="11">
        <v>42.376647758520093</v>
      </c>
      <c r="HF50" s="11">
        <v>1122.506005965944</v>
      </c>
      <c r="HG50" s="11">
        <v>1164.882653724464</v>
      </c>
      <c r="HH50" s="11">
        <v>1193.1337522301442</v>
      </c>
      <c r="HI50" s="11">
        <v>0</v>
      </c>
      <c r="HJ50" s="11">
        <v>4.6359425722212952</v>
      </c>
      <c r="HK50" s="11">
        <v>1.1589856430553238</v>
      </c>
      <c r="HL50" s="11">
        <v>5.7949282152766193</v>
      </c>
      <c r="HM50" s="11">
        <v>5.7949282152766193</v>
      </c>
      <c r="HN50" s="11">
        <v>28.251098505680062</v>
      </c>
      <c r="HO50" s="11">
        <v>1170.6775819397405</v>
      </c>
      <c r="HP50" s="11">
        <v>1198.9286804454207</v>
      </c>
      <c r="HR50" s="381">
        <v>1898.4442372796</v>
      </c>
      <c r="HS50" s="381">
        <v>2847.6663559193998</v>
      </c>
      <c r="HT50" s="381">
        <v>9194.440101945107</v>
      </c>
      <c r="HU50" s="381">
        <v>12042.106457864507</v>
      </c>
      <c r="HV50" s="381">
        <v>13940.550695144108</v>
      </c>
      <c r="HX50" s="381">
        <v>264.90211449592016</v>
      </c>
      <c r="HY50" s="381">
        <v>66.22552862398004</v>
      </c>
      <c r="HZ50" s="381">
        <v>113.27154708367198</v>
      </c>
      <c r="IA50" s="381">
        <v>179.49707570765202</v>
      </c>
      <c r="IB50" s="381">
        <v>444.39919020357218</v>
      </c>
      <c r="ID50" s="381">
        <v>2163.3463517755199</v>
      </c>
      <c r="IE50" s="381">
        <v>12221.603533572159</v>
      </c>
      <c r="IF50" s="381">
        <v>14384.94988534768</v>
      </c>
      <c r="IH50" s="144">
        <v>5.1999999999999991E-2</v>
      </c>
      <c r="II50" s="144">
        <v>5.1999999999999991E-2</v>
      </c>
      <c r="IJ50" s="144">
        <v>5.1999999999999984E-2</v>
      </c>
      <c r="IK50" s="144">
        <v>0.16</v>
      </c>
      <c r="IL50" s="144">
        <v>0.16</v>
      </c>
      <c r="IM50" s="144">
        <v>0.16</v>
      </c>
      <c r="IN50" s="144">
        <v>6.5224617658692877E-2</v>
      </c>
      <c r="IO50" s="144">
        <v>5.3588557232597846E-2</v>
      </c>
      <c r="IP50" s="144">
        <v>5.5351473602263702E-2</v>
      </c>
      <c r="IR50" s="144">
        <v>1.4881184261784183E-2</v>
      </c>
      <c r="IS50" s="144">
        <v>9.6734126857323868E-2</v>
      </c>
      <c r="IT50" s="144">
        <v>8.5587275447141897E-2</v>
      </c>
      <c r="IU50" s="144">
        <v>1.7500587268029132E-2</v>
      </c>
      <c r="IV50" s="144">
        <v>7.6109179594744419E-2</v>
      </c>
      <c r="IW50" s="144">
        <v>4.1173157258915592E-2</v>
      </c>
      <c r="IX50" s="144">
        <v>1.5201930588188077E-2</v>
      </c>
      <c r="IY50" s="144">
        <v>9.6431210982979881E-2</v>
      </c>
      <c r="IZ50" s="144">
        <v>8.4215174861893588E-2</v>
      </c>
    </row>
    <row r="51" spans="2:260" x14ac:dyDescent="0.3">
      <c r="B51">
        <v>2007</v>
      </c>
      <c r="C51">
        <v>15183</v>
      </c>
      <c r="E51">
        <v>59</v>
      </c>
      <c r="F51">
        <v>369</v>
      </c>
      <c r="G51">
        <v>103</v>
      </c>
      <c r="H51">
        <v>145</v>
      </c>
      <c r="J51">
        <v>3009</v>
      </c>
      <c r="K51">
        <v>2316</v>
      </c>
      <c r="L51">
        <v>10076</v>
      </c>
      <c r="M51">
        <v>12392</v>
      </c>
      <c r="N51">
        <v>15401</v>
      </c>
      <c r="P51">
        <v>168</v>
      </c>
      <c r="Q51">
        <v>30</v>
      </c>
      <c r="R51">
        <v>59</v>
      </c>
      <c r="S51">
        <v>89</v>
      </c>
      <c r="T51">
        <v>257</v>
      </c>
      <c r="V51">
        <v>3177</v>
      </c>
      <c r="W51">
        <v>12481</v>
      </c>
      <c r="X51">
        <v>15658</v>
      </c>
      <c r="AJ51" s="63">
        <v>1.0474143078944226E-2</v>
      </c>
      <c r="AK51" s="63">
        <v>0.40414405525407004</v>
      </c>
      <c r="AL51" s="405">
        <v>4096</v>
      </c>
      <c r="AN51" s="11">
        <v>62.379307939202</v>
      </c>
      <c r="AO51" s="11">
        <v>48.012787366963053</v>
      </c>
      <c r="AP51" s="11">
        <v>4178.8100817449222</v>
      </c>
      <c r="AQ51" s="11">
        <v>4226.8228691118857</v>
      </c>
      <c r="AR51" s="11">
        <v>4289.2021770510873</v>
      </c>
      <c r="AS51" s="11"/>
      <c r="AT51" s="11">
        <v>3.48279286599732</v>
      </c>
      <c r="AU51" s="11">
        <v>0.62192729749952136</v>
      </c>
      <c r="AV51" s="11">
        <v>24.15872355235846</v>
      </c>
      <c r="AW51" s="11">
        <v>24.780650849857981</v>
      </c>
      <c r="AX51" s="11">
        <v>28.263443715855303</v>
      </c>
      <c r="AY51" s="11"/>
      <c r="AZ51" s="11">
        <v>65.862100805199319</v>
      </c>
      <c r="BA51" s="11">
        <v>4251.6035199617436</v>
      </c>
      <c r="BB51" s="11">
        <v>4317.4656207669432</v>
      </c>
      <c r="BD51" s="63">
        <v>1.6520276065109255E-2</v>
      </c>
      <c r="BE51" s="63">
        <v>0.23702124805596145</v>
      </c>
      <c r="BF51" s="63">
        <v>0.19692522880554095</v>
      </c>
      <c r="BH51" s="381">
        <v>3010.5766605346284</v>
      </c>
      <c r="BI51" s="381">
        <v>2317.2135413088067</v>
      </c>
      <c r="BJ51" s="381">
        <v>10182.654581004912</v>
      </c>
      <c r="BK51" s="381">
        <v>12499.868122313719</v>
      </c>
      <c r="BL51" s="381">
        <v>15510.444782848348</v>
      </c>
      <c r="BM51" s="381"/>
      <c r="BN51" s="381">
        <v>168.08802890322951</v>
      </c>
      <c r="BO51" s="381">
        <v>30.015719447005271</v>
      </c>
      <c r="BP51" s="381">
        <v>59.624515708544045</v>
      </c>
      <c r="BQ51" s="381">
        <v>89.64023515554932</v>
      </c>
      <c r="BR51" s="381">
        <v>257.72826405877885</v>
      </c>
      <c r="BS51" s="381"/>
      <c r="BT51" s="381">
        <v>3178.6646894378578</v>
      </c>
      <c r="BU51" s="381">
        <v>12589.508357469269</v>
      </c>
      <c r="BV51" s="381">
        <v>15768.173046907126</v>
      </c>
      <c r="BX51">
        <v>0.84499999999999997</v>
      </c>
      <c r="BY51">
        <v>1</v>
      </c>
      <c r="CA51" s="144">
        <v>4.6166951389967383E-2</v>
      </c>
      <c r="CB51" s="144">
        <v>0.15710470316114108</v>
      </c>
      <c r="CC51" s="144">
        <v>0.12178826284894989</v>
      </c>
      <c r="CD51" s="144">
        <v>0.14593588463671658</v>
      </c>
      <c r="CE51" s="144">
        <v>0.32933805696894763</v>
      </c>
      <c r="CF51" s="144">
        <v>0.21653071767867085</v>
      </c>
      <c r="CG51" s="144">
        <v>5.2022866635235671E-2</v>
      </c>
      <c r="CH51" s="144">
        <v>0.13999598169636041</v>
      </c>
      <c r="CI51" s="144">
        <v>0.12348506930982227</v>
      </c>
      <c r="CK51" s="63">
        <v>4.5926229191610983E-2</v>
      </c>
      <c r="CL51" s="63">
        <v>4.5926229191610976E-2</v>
      </c>
      <c r="CM51" s="63">
        <v>0.15073590767865067</v>
      </c>
      <c r="CN51" s="63">
        <v>0.13356656607546069</v>
      </c>
      <c r="CO51" s="63">
        <v>0.11818716371402099</v>
      </c>
      <c r="CP51" s="63">
        <v>0.14525913657944128</v>
      </c>
      <c r="CQ51" s="63">
        <v>0.14525913657944128</v>
      </c>
      <c r="CR51" s="63">
        <v>0.14525913657944134</v>
      </c>
      <c r="CS51" s="63">
        <v>0.32549284783910404</v>
      </c>
      <c r="CT51" s="63">
        <v>0.21493742179967551</v>
      </c>
      <c r="CU51" s="63">
        <v>0.13515763732187236</v>
      </c>
      <c r="CV51" s="63">
        <v>5.1753371210821693E-2</v>
      </c>
      <c r="CW51" s="63">
        <v>0.12348506930982227</v>
      </c>
      <c r="CY51" s="11">
        <v>172.44547889688596</v>
      </c>
      <c r="CZ51" s="11">
        <v>132.72972054675569</v>
      </c>
      <c r="DA51" s="11">
        <v>2246.0522688820447</v>
      </c>
      <c r="DB51" s="11">
        <v>2378.7819894288004</v>
      </c>
      <c r="DC51" s="11">
        <v>2551.2274683256865</v>
      </c>
      <c r="DE51" s="11">
        <v>33.990041572509703</v>
      </c>
      <c r="DF51" s="11">
        <v>6.0696502808053046</v>
      </c>
      <c r="DG51" s="11">
        <v>34.650253138008956</v>
      </c>
      <c r="DH51" s="11">
        <v>48.347822004895576</v>
      </c>
      <c r="DI51" s="11">
        <v>82.337863577405273</v>
      </c>
      <c r="DK51" s="11">
        <v>206.43552046939567</v>
      </c>
      <c r="DL51" s="11">
        <v>2427.129811433696</v>
      </c>
      <c r="DM51" s="11">
        <v>2633.5653319030916</v>
      </c>
      <c r="DO51" s="381">
        <v>3735.258094914198</v>
      </c>
      <c r="DP51" s="381">
        <v>2874.9942664743376</v>
      </c>
      <c r="DQ51" s="381">
        <v>14296.5310629707</v>
      </c>
      <c r="DR51" s="381">
        <v>17171.525329445038</v>
      </c>
      <c r="DS51" s="381">
        <v>20906.783424359237</v>
      </c>
      <c r="DU51" s="381">
        <v>232.91078583668664</v>
      </c>
      <c r="DV51" s="381">
        <v>41.591211756551189</v>
      </c>
      <c r="DW51" s="381">
        <v>105.21181018954039</v>
      </c>
      <c r="DX51" s="381">
        <v>146.80302194609158</v>
      </c>
      <c r="DY51" s="381">
        <v>379.71380778277819</v>
      </c>
      <c r="EA51" s="381">
        <v>3968.1688807508845</v>
      </c>
      <c r="EB51" s="381">
        <v>17318.32835139113</v>
      </c>
      <c r="EC51" s="381">
        <v>21286.497232142014</v>
      </c>
      <c r="EE51" s="63">
        <v>3.6188693896567786E-2</v>
      </c>
      <c r="EF51" s="63">
        <v>3.7521048573631456E-2</v>
      </c>
      <c r="EG51" s="63">
        <v>3.709690058364655E-2</v>
      </c>
      <c r="EH51" s="63">
        <v>0.11654043261231282</v>
      </c>
      <c r="EI51" s="63">
        <v>0.11770174520899711</v>
      </c>
      <c r="EJ51" s="63">
        <v>0.11685988898729659</v>
      </c>
      <c r="EK51" s="63">
        <v>4.0904921247276446E-2</v>
      </c>
      <c r="EL51" s="63">
        <v>3.7975662464713747E-2</v>
      </c>
      <c r="EM51" s="63">
        <v>3.8525429687151939E-2</v>
      </c>
      <c r="EO51" s="11">
        <v>135.17411182152685</v>
      </c>
      <c r="EP51" s="11">
        <v>104.04228746382724</v>
      </c>
      <c r="EQ51" s="11">
        <v>536.42083644815455</v>
      </c>
      <c r="ER51" s="11">
        <v>640.46312391198182</v>
      </c>
      <c r="ES51" s="11">
        <v>775.63723573350865</v>
      </c>
      <c r="EU51" s="11">
        <v>27.143523741481204</v>
      </c>
      <c r="EV51" s="11">
        <v>4.8470578109787867</v>
      </c>
      <c r="EW51" s="11">
        <v>12.383613675906648</v>
      </c>
      <c r="EX51" s="11">
        <v>17.230671486885434</v>
      </c>
      <c r="EY51" s="11">
        <v>44.374195228366638</v>
      </c>
      <c r="FA51" s="11">
        <v>162.31763556300805</v>
      </c>
      <c r="FB51" s="11">
        <v>657.69379539886722</v>
      </c>
      <c r="FC51" s="11">
        <v>820.01143096187525</v>
      </c>
      <c r="FE51" s="63">
        <v>9.9782574933995963E-3</v>
      </c>
      <c r="FF51" s="63">
        <v>0.11958365458750964</v>
      </c>
      <c r="FG51" s="63">
        <v>8.4691362265303341E-2</v>
      </c>
      <c r="FH51" s="63">
        <v>2.9395452024403773E-2</v>
      </c>
      <c r="FI51" s="63">
        <v>0.21163631175995054</v>
      </c>
      <c r="FJ51" s="63">
        <v>7.9526660960967735E-2</v>
      </c>
      <c r="FK51" s="63">
        <v>1.1117945387959219E-2</v>
      </c>
      <c r="FL51" s="63">
        <v>0.10157618875414792</v>
      </c>
      <c r="FM51" s="63">
        <v>8.4598864149675837E-2</v>
      </c>
      <c r="FO51" s="11">
        <v>37.271367075359095</v>
      </c>
      <c r="FP51" s="11">
        <v>28.687433082928436</v>
      </c>
      <c r="FQ51" s="11">
        <v>1709.6314324338903</v>
      </c>
      <c r="FR51" s="11">
        <v>1738.3188655168187</v>
      </c>
      <c r="FS51" s="11">
        <v>1775.5902325921779</v>
      </c>
      <c r="FU51" s="11">
        <v>6.8465178310285042</v>
      </c>
      <c r="FV51" s="11">
        <v>1.2225924698265187</v>
      </c>
      <c r="FW51" s="11">
        <v>22.266639462102312</v>
      </c>
      <c r="FX51" s="11">
        <v>23.489231931928831</v>
      </c>
      <c r="FY51" s="11">
        <v>30.335749762957334</v>
      </c>
      <c r="GA51" s="11">
        <v>44.117884906387602</v>
      </c>
      <c r="GB51" s="11">
        <v>1761.8080974487475</v>
      </c>
      <c r="GC51" s="11">
        <v>1805.9259823551351</v>
      </c>
      <c r="GE51" s="63">
        <v>5.2141670850874818E-3</v>
      </c>
      <c r="GF51" s="63">
        <v>4.0538541204320162E-2</v>
      </c>
      <c r="GG51" s="63">
        <v>2.9568523687666194E-2</v>
      </c>
      <c r="GH51" s="63">
        <v>4.6372971182510768E-3</v>
      </c>
      <c r="GI51" s="63">
        <v>1.4458113649677798E-2</v>
      </c>
      <c r="GJ51" s="63">
        <v>7.3582902974523492E-3</v>
      </c>
      <c r="GK51" s="63">
        <v>5.1803263034998796E-3</v>
      </c>
      <c r="GL51" s="63">
        <v>3.4560594638937452E-2</v>
      </c>
      <c r="GM51" s="63">
        <v>2.9179489989965793E-2</v>
      </c>
      <c r="GO51" s="11">
        <v>19.578344572659446</v>
      </c>
      <c r="GP51" s="11">
        <v>15.0692741875305</v>
      </c>
      <c r="GQ51" s="11">
        <v>604.04772725581677</v>
      </c>
      <c r="GR51" s="11">
        <v>619.11700144334725</v>
      </c>
      <c r="GS51" s="11">
        <v>638.69534601600674</v>
      </c>
      <c r="GU51" s="11">
        <v>1.0851084864271592</v>
      </c>
      <c r="GV51" s="11">
        <v>0.19376937257627841</v>
      </c>
      <c r="GW51" s="11">
        <v>1.543480119999677</v>
      </c>
      <c r="GX51" s="11">
        <v>1.7372494925759554</v>
      </c>
      <c r="GY51" s="11">
        <v>2.8223579790031144</v>
      </c>
      <c r="GZ51" s="11">
        <v>20.663453059086606</v>
      </c>
      <c r="HA51" s="11">
        <v>620.85425093592323</v>
      </c>
      <c r="HB51" s="11">
        <v>641.51770399500981</v>
      </c>
      <c r="HD51" s="11">
        <v>56.849711648018541</v>
      </c>
      <c r="HE51" s="11">
        <v>43.756707270458932</v>
      </c>
      <c r="HF51" s="11">
        <v>2313.6791596897069</v>
      </c>
      <c r="HG51" s="11">
        <v>2357.4358669601656</v>
      </c>
      <c r="HH51" s="11">
        <v>2414.2855786081841</v>
      </c>
      <c r="HI51" s="11">
        <v>0</v>
      </c>
      <c r="HJ51" s="11">
        <v>7.9316263174556632</v>
      </c>
      <c r="HK51" s="11">
        <v>1.4163618424027971</v>
      </c>
      <c r="HL51" s="11">
        <v>9.3479881598584598</v>
      </c>
      <c r="HM51" s="11">
        <v>9.3479881598584598</v>
      </c>
      <c r="HN51" s="11">
        <v>56.849711648018541</v>
      </c>
      <c r="HO51" s="11">
        <v>2366.7838551200239</v>
      </c>
      <c r="HP51" s="11">
        <v>2423.6335667680423</v>
      </c>
      <c r="HR51" s="381">
        <v>3754.8364394868572</v>
      </c>
      <c r="HS51" s="381">
        <v>2890.063540661868</v>
      </c>
      <c r="HT51" s="381">
        <v>14900.578790226518</v>
      </c>
      <c r="HU51" s="381">
        <v>17790.642330888386</v>
      </c>
      <c r="HV51" s="381">
        <v>21545.478770375244</v>
      </c>
      <c r="HX51" s="381">
        <v>233.99589432311382</v>
      </c>
      <c r="HY51" s="381">
        <v>41.784981129127466</v>
      </c>
      <c r="HZ51" s="381">
        <v>106.75529030954006</v>
      </c>
      <c r="IA51" s="381">
        <v>148.54027143866753</v>
      </c>
      <c r="IB51" s="381">
        <v>382.53616576178138</v>
      </c>
      <c r="ID51" s="381">
        <v>3988.8323338099708</v>
      </c>
      <c r="IE51" s="381">
        <v>17939.182602327055</v>
      </c>
      <c r="IF51" s="381">
        <v>21928.014936137028</v>
      </c>
      <c r="IH51" s="144">
        <v>3.599999999999999E-2</v>
      </c>
      <c r="II51" s="144">
        <v>3.5999999999999997E-2</v>
      </c>
      <c r="IJ51" s="144">
        <v>3.6000000000000004E-2</v>
      </c>
      <c r="IK51" s="144">
        <v>0.11600000000000002</v>
      </c>
      <c r="IL51" s="144">
        <v>0.11600000000000002</v>
      </c>
      <c r="IM51" s="144">
        <v>0.11600000000000001</v>
      </c>
      <c r="IN51" s="144">
        <v>4.0693020407796592E-2</v>
      </c>
      <c r="IO51" s="144">
        <v>3.6663200988125658E-2</v>
      </c>
      <c r="IP51" s="144">
        <v>3.7401277297236558E-2</v>
      </c>
      <c r="IR51" s="144">
        <v>1.5140396276698467E-2</v>
      </c>
      <c r="IS51" s="144">
        <v>0.13250987924517765</v>
      </c>
      <c r="IT51" s="144">
        <v>0.11205532280525583</v>
      </c>
      <c r="IU51" s="144">
        <v>3.3896433697692394E-2</v>
      </c>
      <c r="IV51" s="144">
        <v>0.16982924011230741</v>
      </c>
      <c r="IW51" s="144">
        <v>8.6679667727440859E-2</v>
      </c>
      <c r="IX51" s="144">
        <v>1.6240677106524982E-2</v>
      </c>
      <c r="IY51" s="144">
        <v>0.13281889154055401</v>
      </c>
      <c r="IZ51" s="144">
        <v>0.11161264225138756</v>
      </c>
    </row>
    <row r="52" spans="2:260" x14ac:dyDescent="0.3">
      <c r="B52">
        <v>2008</v>
      </c>
      <c r="C52">
        <v>16625</v>
      </c>
      <c r="E52">
        <v>123</v>
      </c>
      <c r="F52">
        <v>729</v>
      </c>
      <c r="G52">
        <v>213</v>
      </c>
      <c r="H52">
        <v>168</v>
      </c>
      <c r="J52">
        <v>2794</v>
      </c>
      <c r="K52">
        <v>2349</v>
      </c>
      <c r="L52">
        <v>9973</v>
      </c>
      <c r="M52">
        <v>12322</v>
      </c>
      <c r="N52">
        <v>15116</v>
      </c>
      <c r="P52">
        <v>234</v>
      </c>
      <c r="Q52">
        <v>211</v>
      </c>
      <c r="R52">
        <v>623</v>
      </c>
      <c r="S52">
        <v>834</v>
      </c>
      <c r="T52">
        <v>1068</v>
      </c>
      <c r="V52">
        <v>3028</v>
      </c>
      <c r="W52">
        <v>13156</v>
      </c>
      <c r="X52">
        <v>16184</v>
      </c>
      <c r="AJ52" s="63">
        <v>1.84237398654052E-2</v>
      </c>
      <c r="AK52" s="63">
        <v>0.42063042657606642</v>
      </c>
      <c r="AL52" s="405">
        <v>4457</v>
      </c>
      <c r="AN52" s="11">
        <v>61.335867051873585</v>
      </c>
      <c r="AO52" s="11">
        <v>51.566911848550845</v>
      </c>
      <c r="AP52" s="11">
        <v>4382.1359173396786</v>
      </c>
      <c r="AQ52" s="11">
        <v>4433.7028291882298</v>
      </c>
      <c r="AR52" s="11">
        <v>4495.0386962401035</v>
      </c>
      <c r="AS52" s="11"/>
      <c r="AT52" s="11">
        <v>5.1369337473652186</v>
      </c>
      <c r="AU52" s="11">
        <v>4.6320214559575259</v>
      </c>
      <c r="AV52" s="11">
        <v>265.94016486848989</v>
      </c>
      <c r="AW52" s="11">
        <v>270.57218632444739</v>
      </c>
      <c r="AX52" s="11">
        <v>275.70912007181261</v>
      </c>
      <c r="AY52" s="11"/>
      <c r="AZ52" s="11">
        <v>66.472800799238797</v>
      </c>
      <c r="BA52" s="11">
        <v>4704.2750155126769</v>
      </c>
      <c r="BB52" s="11">
        <v>4770.7478163119158</v>
      </c>
      <c r="BD52" s="63">
        <v>1.73362539086011E-2</v>
      </c>
      <c r="BE52" s="63">
        <v>0.25796987247105707</v>
      </c>
      <c r="BF52" s="63">
        <v>0.21616362594675192</v>
      </c>
      <c r="BH52" s="381">
        <v>2796.5761695931187</v>
      </c>
      <c r="BI52" s="381">
        <v>2351.1658634123964</v>
      </c>
      <c r="BJ52" s="381">
        <v>10160.188673096569</v>
      </c>
      <c r="BK52" s="381">
        <v>12511.354536508965</v>
      </c>
      <c r="BL52" s="381">
        <v>15307.930706102085</v>
      </c>
      <c r="BM52" s="381"/>
      <c r="BN52" s="381">
        <v>234.2157565085146</v>
      </c>
      <c r="BO52" s="381">
        <v>211.19454967220761</v>
      </c>
      <c r="BP52" s="381">
        <v>634.69342658569758</v>
      </c>
      <c r="BQ52" s="381">
        <v>845.88797625790517</v>
      </c>
      <c r="BR52" s="381">
        <v>1080.1037327664199</v>
      </c>
      <c r="BS52" s="381"/>
      <c r="BT52" s="381">
        <v>3030.7919261016332</v>
      </c>
      <c r="BU52" s="381">
        <v>13357.24251276687</v>
      </c>
      <c r="BV52" s="381">
        <v>16388.034438868504</v>
      </c>
      <c r="BX52">
        <v>0.84499999999999997</v>
      </c>
      <c r="BY52">
        <v>1</v>
      </c>
      <c r="CA52" s="144">
        <v>4.9898650303742895E-2</v>
      </c>
      <c r="CB52" s="144">
        <v>0.10662951119232528</v>
      </c>
      <c r="CC52" s="144">
        <v>8.8103817560872724E-2</v>
      </c>
      <c r="CD52" s="144">
        <v>0.15578563333153433</v>
      </c>
      <c r="CE52" s="144">
        <v>0.21744102803738316</v>
      </c>
      <c r="CF52" s="144">
        <v>0.20452583160976551</v>
      </c>
      <c r="CG52" s="144">
        <v>5.9019399058207064E-2</v>
      </c>
      <c r="CH52" s="144">
        <v>0.10497126351812314</v>
      </c>
      <c r="CI52" s="144">
        <v>9.6710251209484566E-2</v>
      </c>
      <c r="CK52" s="63">
        <v>4.954849498327759E-2</v>
      </c>
      <c r="CL52" s="63">
        <v>4.954849498327759E-2</v>
      </c>
      <c r="CM52" s="63">
        <v>0.10236171208045844</v>
      </c>
      <c r="CN52" s="63">
        <v>9.3048020742484014E-2</v>
      </c>
      <c r="CO52" s="63">
        <v>8.5505649295679179E-2</v>
      </c>
      <c r="CP52" s="63">
        <v>0.15505758487322732</v>
      </c>
      <c r="CQ52" s="63">
        <v>0.15505758487322732</v>
      </c>
      <c r="CR52" s="63">
        <v>0.15505758487322732</v>
      </c>
      <c r="CS52" s="63">
        <v>0.21514688778340144</v>
      </c>
      <c r="CT52" s="63">
        <v>0.20261857526708507</v>
      </c>
      <c r="CU52" s="63">
        <v>0.10155382590062825</v>
      </c>
      <c r="CV52" s="63">
        <v>5.8617130699893279E-2</v>
      </c>
      <c r="CW52" s="63">
        <v>9.6710251209484566E-2</v>
      </c>
      <c r="CY52" s="11">
        <v>173.81562214721569</v>
      </c>
      <c r="CZ52" s="11">
        <v>146.13203164774865</v>
      </c>
      <c r="DA52" s="11">
        <v>1435.1288006591631</v>
      </c>
      <c r="DB52" s="11">
        <v>1581.2608323069117</v>
      </c>
      <c r="DC52" s="11">
        <v>1755.0764544541273</v>
      </c>
      <c r="DE52" s="11">
        <v>51.148636961568165</v>
      </c>
      <c r="DF52" s="11">
        <v>46.121206832867024</v>
      </c>
      <c r="DG52" s="11">
        <v>208.70445000593367</v>
      </c>
      <c r="DH52" s="11">
        <v>273.07908079567403</v>
      </c>
      <c r="DI52" s="11">
        <v>324.2277177572422</v>
      </c>
      <c r="DK52" s="11">
        <v>224.96425910878386</v>
      </c>
      <c r="DL52" s="11">
        <v>1854.3399131025858</v>
      </c>
      <c r="DM52" s="11">
        <v>2079.3041722113694</v>
      </c>
      <c r="DO52" s="381">
        <v>3483.3732192988355</v>
      </c>
      <c r="DP52" s="381">
        <v>2928.5768404198157</v>
      </c>
      <c r="DQ52" s="381">
        <v>13459.020721483505</v>
      </c>
      <c r="DR52" s="381">
        <v>16387.59756190332</v>
      </c>
      <c r="DS52" s="381">
        <v>19870.970781202155</v>
      </c>
      <c r="DU52" s="381">
        <v>328.32704703081623</v>
      </c>
      <c r="DV52" s="381">
        <v>296.05558514317192</v>
      </c>
      <c r="DW52" s="381">
        <v>959.82093117243971</v>
      </c>
      <c r="DX52" s="381">
        <v>1255.8765163156118</v>
      </c>
      <c r="DY52" s="381">
        <v>1584.2035633464279</v>
      </c>
      <c r="EA52" s="381">
        <v>3811.7002663296516</v>
      </c>
      <c r="EB52" s="381">
        <v>17643.474078218933</v>
      </c>
      <c r="EC52" s="381">
        <v>21455.174344548584</v>
      </c>
      <c r="EE52" s="63">
        <v>4.5318011463844794E-2</v>
      </c>
      <c r="EF52" s="63">
        <v>4.6876199177706711E-2</v>
      </c>
      <c r="EG52" s="63">
        <v>4.6367366634798679E-2</v>
      </c>
      <c r="EH52" s="63">
        <v>0.1476902153381186</v>
      </c>
      <c r="EI52" s="63">
        <v>0.14884289719626168</v>
      </c>
      <c r="EJ52" s="63">
        <v>0.14838371658178157</v>
      </c>
      <c r="EK52" s="63">
        <v>5.4136008957766872E-2</v>
      </c>
      <c r="EL52" s="63">
        <v>5.3859085428496191E-2</v>
      </c>
      <c r="EM52" s="63">
        <v>5.3908869451641798E-2</v>
      </c>
      <c r="EO52" s="11">
        <v>157.85954748503457</v>
      </c>
      <c r="EP52" s="11">
        <v>132.71727882689558</v>
      </c>
      <c r="EQ52" s="11">
        <v>630.90773607714266</v>
      </c>
      <c r="ER52" s="11">
        <v>763.62501490403827</v>
      </c>
      <c r="ES52" s="11">
        <v>921.48456238907283</v>
      </c>
      <c r="EU52" s="11">
        <v>48.49069227730984</v>
      </c>
      <c r="EV52" s="11">
        <v>43.724513121847771</v>
      </c>
      <c r="EW52" s="11">
        <v>142.8625281853196</v>
      </c>
      <c r="EX52" s="11">
        <v>186.58704130716737</v>
      </c>
      <c r="EY52" s="11">
        <v>235.07773358447722</v>
      </c>
      <c r="FA52" s="11">
        <v>206.35023976234442</v>
      </c>
      <c r="FB52" s="11">
        <v>950.21205621120566</v>
      </c>
      <c r="FC52" s="11">
        <v>1156.5622959735501</v>
      </c>
      <c r="FE52" s="63">
        <v>4.5806388398980996E-3</v>
      </c>
      <c r="FF52" s="63">
        <v>5.9753312014618545E-2</v>
      </c>
      <c r="FG52" s="63">
        <v>4.1736450926074038E-2</v>
      </c>
      <c r="FH52" s="63">
        <v>8.095417993415727E-3</v>
      </c>
      <c r="FI52" s="63">
        <v>6.8598130841121499E-2</v>
      </c>
      <c r="FJ52" s="63">
        <v>4.4496360984277464E-2</v>
      </c>
      <c r="FK52" s="63">
        <v>4.883390100440187E-3</v>
      </c>
      <c r="FL52" s="63">
        <v>5.0062580291030653E-2</v>
      </c>
      <c r="FM52" s="63">
        <v>4.1940475766102048E-2</v>
      </c>
      <c r="FO52" s="11">
        <v>15.956074662181127</v>
      </c>
      <c r="FP52" s="11">
        <v>13.414752820853066</v>
      </c>
      <c r="FQ52" s="11">
        <v>804.22106458202029</v>
      </c>
      <c r="FR52" s="11">
        <v>817.63581740287339</v>
      </c>
      <c r="FS52" s="11">
        <v>833.59189206505448</v>
      </c>
      <c r="FU52" s="11">
        <v>2.6579446842583212</v>
      </c>
      <c r="FV52" s="11">
        <v>2.3966937110192559</v>
      </c>
      <c r="FW52" s="11">
        <v>65.84192182061409</v>
      </c>
      <c r="FX52" s="11">
        <v>68.238615531633343</v>
      </c>
      <c r="FY52" s="11">
        <v>70.896560215891668</v>
      </c>
      <c r="GA52" s="11">
        <v>18.614019346439449</v>
      </c>
      <c r="GB52" s="11">
        <v>885.87443293450679</v>
      </c>
      <c r="GC52" s="11">
        <v>904.48845228094615</v>
      </c>
      <c r="GE52" s="63">
        <v>7.0173304955913653E-3</v>
      </c>
      <c r="GF52" s="63">
        <v>4.0024558531165946E-2</v>
      </c>
      <c r="GG52" s="63">
        <v>2.9489848875145584E-2</v>
      </c>
      <c r="GH52" s="63">
        <v>4.6733992264718525E-3</v>
      </c>
      <c r="GI52" s="63">
        <v>1.2381492371998575E-2</v>
      </c>
      <c r="GJ52" s="63">
        <v>9.3252589546706458E-3</v>
      </c>
      <c r="GK52" s="63">
        <v>6.8158667274307201E-3</v>
      </c>
      <c r="GL52" s="63">
        <v>3.2555934862162003E-2</v>
      </c>
      <c r="GM52" s="63">
        <v>2.8027333389818491E-2</v>
      </c>
      <c r="GO52" s="11">
        <v>24.61672481304414</v>
      </c>
      <c r="GP52" s="11">
        <v>20.696022400086147</v>
      </c>
      <c r="GQ52" s="11">
        <v>561.15119134188876</v>
      </c>
      <c r="GR52" s="11">
        <v>581.84721374197488</v>
      </c>
      <c r="GS52" s="11">
        <v>606.46393855501901</v>
      </c>
      <c r="GU52" s="11">
        <v>1.5416079168698262</v>
      </c>
      <c r="GV52" s="11">
        <v>1.3900823523911685</v>
      </c>
      <c r="GW52" s="11">
        <v>12.033002061026981</v>
      </c>
      <c r="GX52" s="11">
        <v>13.423084413418149</v>
      </c>
      <c r="GY52" s="11">
        <v>14.964692330287974</v>
      </c>
      <c r="GZ52" s="11">
        <v>26.158332729913965</v>
      </c>
      <c r="HA52" s="11">
        <v>595.27029815539299</v>
      </c>
      <c r="HB52" s="11">
        <v>621.42863088530703</v>
      </c>
      <c r="HD52" s="11">
        <v>40.572799475225267</v>
      </c>
      <c r="HE52" s="11">
        <v>34.11077522093921</v>
      </c>
      <c r="HF52" s="11">
        <v>1365.3722559239091</v>
      </c>
      <c r="HG52" s="11">
        <v>1399.4830311448482</v>
      </c>
      <c r="HH52" s="11">
        <v>1440.0558306200735</v>
      </c>
      <c r="HI52" s="11">
        <v>0</v>
      </c>
      <c r="HJ52" s="11">
        <v>4.199552601128147</v>
      </c>
      <c r="HK52" s="11">
        <v>3.7867760634104242</v>
      </c>
      <c r="HL52" s="11">
        <v>7.9863286645385712</v>
      </c>
      <c r="HM52" s="11">
        <v>7.9863286645385712</v>
      </c>
      <c r="HN52" s="11">
        <v>40.572799475225267</v>
      </c>
      <c r="HO52" s="11">
        <v>1407.4693598093868</v>
      </c>
      <c r="HP52" s="11">
        <v>1448.0421592846121</v>
      </c>
      <c r="HR52" s="381">
        <v>3507.9899441118796</v>
      </c>
      <c r="HS52" s="381">
        <v>2949.272862819902</v>
      </c>
      <c r="HT52" s="381">
        <v>14020.171912825394</v>
      </c>
      <c r="HU52" s="381">
        <v>16969.444775645294</v>
      </c>
      <c r="HV52" s="381">
        <v>20477.434719757173</v>
      </c>
      <c r="HX52" s="381">
        <v>329.86865494768603</v>
      </c>
      <c r="HY52" s="381">
        <v>297.4456674955631</v>
      </c>
      <c r="HZ52" s="381">
        <v>971.85393323346671</v>
      </c>
      <c r="IA52" s="381">
        <v>1269.2996007290299</v>
      </c>
      <c r="IB52" s="381">
        <v>1599.1682556767159</v>
      </c>
      <c r="ID52" s="381">
        <v>3837.8585990595657</v>
      </c>
      <c r="IE52" s="381">
        <v>18238.744376374325</v>
      </c>
      <c r="IF52" s="381">
        <v>22076.602975433889</v>
      </c>
      <c r="IH52" s="144">
        <v>4.4999999999999991E-2</v>
      </c>
      <c r="II52" s="144">
        <v>4.4999999999999991E-2</v>
      </c>
      <c r="IJ52" s="144">
        <v>4.4999999999999991E-2</v>
      </c>
      <c r="IK52" s="144">
        <v>0.14699999999999996</v>
      </c>
      <c r="IL52" s="144">
        <v>0.14699999999999999</v>
      </c>
      <c r="IM52" s="144">
        <v>0.14699999999999999</v>
      </c>
      <c r="IN52" s="144">
        <v>5.3767025135555736E-2</v>
      </c>
      <c r="IO52" s="144">
        <v>5.2105652551550433E-2</v>
      </c>
      <c r="IP52" s="144">
        <v>5.2397947594852431E-2</v>
      </c>
      <c r="IR52" s="144">
        <v>1.1565825478868957E-2</v>
      </c>
      <c r="IS52" s="144">
        <v>8.2470761397768266E-2</v>
      </c>
      <c r="IT52" s="144">
        <v>7.0324034740087304E-2</v>
      </c>
      <c r="IU52" s="144">
        <v>1.2730984099699184E-2</v>
      </c>
      <c r="IV52" s="144">
        <v>6.4336032169354351E-2</v>
      </c>
      <c r="IW52" s="144">
        <v>5.3691193682334541E-2</v>
      </c>
      <c r="IX52" s="144">
        <v>1.1665972291768252E-2</v>
      </c>
      <c r="IY52" s="144">
        <v>8.1208700584044044E-2</v>
      </c>
      <c r="IZ52" s="144">
        <v>6.9119197589603942E-2</v>
      </c>
    </row>
    <row r="53" spans="2:260" x14ac:dyDescent="0.3">
      <c r="B53">
        <v>2009</v>
      </c>
      <c r="C53">
        <v>39968</v>
      </c>
      <c r="E53">
        <v>102</v>
      </c>
      <c r="F53">
        <v>656</v>
      </c>
      <c r="G53">
        <v>184</v>
      </c>
      <c r="H53">
        <v>171</v>
      </c>
      <c r="J53">
        <v>7225</v>
      </c>
      <c r="K53">
        <v>5753</v>
      </c>
      <c r="L53">
        <v>26360</v>
      </c>
      <c r="M53">
        <v>32113</v>
      </c>
      <c r="N53">
        <v>39338</v>
      </c>
      <c r="P53">
        <v>294</v>
      </c>
      <c r="Q53">
        <v>245</v>
      </c>
      <c r="R53">
        <v>270</v>
      </c>
      <c r="S53">
        <v>515</v>
      </c>
      <c r="T53">
        <v>809</v>
      </c>
      <c r="V53">
        <v>7519</v>
      </c>
      <c r="W53">
        <v>32628</v>
      </c>
      <c r="X53">
        <v>40147</v>
      </c>
      <c r="AJ53" s="63">
        <v>1.8583552824114721E-2</v>
      </c>
      <c r="AK53" s="63">
        <v>0.6643259481787458</v>
      </c>
      <c r="AL53" s="405">
        <v>17691</v>
      </c>
      <c r="AN53" s="11">
        <v>246.70105723728338</v>
      </c>
      <c r="AO53" s="11">
        <v>196.43891796347282</v>
      </c>
      <c r="AP53" s="11">
        <v>18010.770207798207</v>
      </c>
      <c r="AQ53" s="11">
        <v>18207.209125761681</v>
      </c>
      <c r="AR53" s="11">
        <v>18453.910182998963</v>
      </c>
      <c r="AS53" s="11"/>
      <c r="AT53" s="11">
        <v>10.03876966474205</v>
      </c>
      <c r="AU53" s="11">
        <v>8.3656413872850415</v>
      </c>
      <c r="AV53" s="11">
        <v>183.92097645016949</v>
      </c>
      <c r="AW53" s="11">
        <v>192.28661783745454</v>
      </c>
      <c r="AX53" s="11">
        <v>202.32538750219661</v>
      </c>
      <c r="AY53" s="11"/>
      <c r="AZ53" s="11">
        <v>256.73982690202541</v>
      </c>
      <c r="BA53" s="11">
        <v>18399.495743599135</v>
      </c>
      <c r="BB53" s="11">
        <v>18656.235570501161</v>
      </c>
      <c r="BD53" s="63">
        <v>2.6747392401255853E-2</v>
      </c>
      <c r="BE53" s="63">
        <v>0.39645619856315972</v>
      </c>
      <c r="BF53" s="63">
        <v>0.33309594347667432</v>
      </c>
      <c r="BH53" s="381">
        <v>7231.7195521152953</v>
      </c>
      <c r="BI53" s="381">
        <v>5758.3505305632243</v>
      </c>
      <c r="BJ53" s="381">
        <v>26859.138213806469</v>
      </c>
      <c r="BK53" s="381">
        <v>32617.488744369693</v>
      </c>
      <c r="BL53" s="381">
        <v>39849.208296484991</v>
      </c>
      <c r="BM53" s="381"/>
      <c r="BN53" s="381">
        <v>294.27343229368813</v>
      </c>
      <c r="BO53" s="381">
        <v>245.22786024474013</v>
      </c>
      <c r="BP53" s="381">
        <v>275.11256895780525</v>
      </c>
      <c r="BQ53" s="381">
        <v>520.34042920254535</v>
      </c>
      <c r="BR53" s="381">
        <v>814.61386149623354</v>
      </c>
      <c r="BS53" s="381"/>
      <c r="BT53" s="381">
        <v>7525.9929844089838</v>
      </c>
      <c r="BU53" s="381">
        <v>33137.829173572238</v>
      </c>
      <c r="BV53" s="381">
        <v>40663.822157981223</v>
      </c>
      <c r="BX53">
        <v>0.84499999999999997</v>
      </c>
      <c r="BY53">
        <v>1</v>
      </c>
      <c r="CA53" s="144">
        <v>5.9108000908825342E-2</v>
      </c>
      <c r="CB53" s="144">
        <v>0.13416913786457663</v>
      </c>
      <c r="CC53" s="144">
        <v>0.11076529017651758</v>
      </c>
      <c r="CD53" s="144">
        <v>0.19259663437021929</v>
      </c>
      <c r="CE53" s="144">
        <v>0.37126641352675821</v>
      </c>
      <c r="CF53" s="144">
        <v>0.31196042509564859</v>
      </c>
      <c r="CG53" s="144">
        <v>6.5151413610152864E-2</v>
      </c>
      <c r="CH53" s="144">
        <v>0.12652161753237864</v>
      </c>
      <c r="CI53" s="144">
        <v>0.11563376289295244</v>
      </c>
      <c r="CK53" s="63">
        <v>5.8603548924831529E-2</v>
      </c>
      <c r="CL53" s="63">
        <v>5.8603548924831529E-2</v>
      </c>
      <c r="CM53" s="63">
        <v>0.12885150909404997</v>
      </c>
      <c r="CN53" s="63">
        <v>0.11741125372453368</v>
      </c>
      <c r="CO53" s="63">
        <v>0.10742588637740089</v>
      </c>
      <c r="CP53" s="63">
        <v>0.19166115702479339</v>
      </c>
      <c r="CQ53" s="63">
        <v>0.19166115702479339</v>
      </c>
      <c r="CR53" s="63">
        <v>0.19166115702479339</v>
      </c>
      <c r="CS53" s="63">
        <v>0.36787162890621145</v>
      </c>
      <c r="CT53" s="63">
        <v>0.30955051869322064</v>
      </c>
      <c r="CU53" s="63">
        <v>0.12220950997746231</v>
      </c>
      <c r="CV53" s="63">
        <v>6.4606192701878867E-2</v>
      </c>
      <c r="CW53" s="63">
        <v>0.11563376289295244</v>
      </c>
      <c r="CY53" s="11">
        <v>537.63974026672133</v>
      </c>
      <c r="CZ53" s="11">
        <v>428.10261948158444</v>
      </c>
      <c r="DA53" s="11">
        <v>4925.5522708350454</v>
      </c>
      <c r="DB53" s="11">
        <v>5353.6548903166295</v>
      </c>
      <c r="DC53" s="11">
        <v>5891.2946305833511</v>
      </c>
      <c r="DE53" s="11">
        <v>83.071582524832621</v>
      </c>
      <c r="DF53" s="11">
        <v>69.226318770693851</v>
      </c>
      <c r="DG53" s="11">
        <v>192.25282290670313</v>
      </c>
      <c r="DH53" s="11">
        <v>325.6996361165904</v>
      </c>
      <c r="DI53" s="11">
        <v>408.77121864142305</v>
      </c>
      <c r="DK53" s="11">
        <v>620.71132279155393</v>
      </c>
      <c r="DL53" s="11">
        <v>5679.3545264332197</v>
      </c>
      <c r="DM53" s="11">
        <v>6300.065849224774</v>
      </c>
      <c r="DO53" s="381">
        <v>9095.8877309357122</v>
      </c>
      <c r="DP53" s="381">
        <v>7242.7186319824423</v>
      </c>
      <c r="DQ53" s="381">
        <v>36711.514654037972</v>
      </c>
      <c r="DR53" s="381">
        <v>43954.233286020411</v>
      </c>
      <c r="DS53" s="381">
        <v>53050.121016956124</v>
      </c>
      <c r="DU53" s="381">
        <v>431.32416512091322</v>
      </c>
      <c r="DV53" s="381">
        <v>359.4368042674277</v>
      </c>
      <c r="DW53" s="381">
        <v>517.82982759049639</v>
      </c>
      <c r="DX53" s="381">
        <v>877.26663185792404</v>
      </c>
      <c r="DY53" s="381">
        <v>1308.5907969788373</v>
      </c>
      <c r="EA53" s="381">
        <v>9527.2118960566258</v>
      </c>
      <c r="EB53" s="381">
        <v>44831.499917878333</v>
      </c>
      <c r="EC53" s="381">
        <v>54358.711813934962</v>
      </c>
      <c r="EE53" s="63">
        <v>5.2447609464766787E-2</v>
      </c>
      <c r="EF53" s="63">
        <v>5.4146010535783114E-2</v>
      </c>
      <c r="EG53" s="63">
        <v>5.3616453942432619E-2</v>
      </c>
      <c r="EH53" s="63">
        <v>0.17183463247614195</v>
      </c>
      <c r="EI53" s="63">
        <v>0.17310330055496059</v>
      </c>
      <c r="EJ53" s="63">
        <v>0.17233126572216664</v>
      </c>
      <c r="EK53" s="63">
        <v>5.7852601878965806E-2</v>
      </c>
      <c r="EL53" s="63">
        <v>5.6195009091596707E-2</v>
      </c>
      <c r="EM53" s="63">
        <v>5.6489087132189628E-2</v>
      </c>
      <c r="EO53" s="11">
        <v>477.05756744747993</v>
      </c>
      <c r="EP53" s="11">
        <v>379.86327827340511</v>
      </c>
      <c r="EQ53" s="11">
        <v>1987.7820592420962</v>
      </c>
      <c r="ER53" s="11">
        <v>2367.6453375155015</v>
      </c>
      <c r="ES53" s="11">
        <v>2844.7029049629814</v>
      </c>
      <c r="EU53" s="11">
        <v>74.116429391630888</v>
      </c>
      <c r="EV53" s="11">
        <v>61.763691159692407</v>
      </c>
      <c r="EW53" s="11">
        <v>89.638052281721116</v>
      </c>
      <c r="EX53" s="11">
        <v>151.40174344141352</v>
      </c>
      <c r="EY53" s="11">
        <v>225.51817283304439</v>
      </c>
      <c r="FA53" s="11">
        <v>551.17399683911083</v>
      </c>
      <c r="FB53" s="11">
        <v>2519.0470809569151</v>
      </c>
      <c r="FC53" s="11">
        <v>3070.2210777960258</v>
      </c>
      <c r="FE53" s="63">
        <v>6.6603914440585546E-3</v>
      </c>
      <c r="FF53" s="63">
        <v>8.002312732879352E-2</v>
      </c>
      <c r="FG53" s="63">
        <v>5.7148836234084989E-2</v>
      </c>
      <c r="FH53" s="63">
        <v>2.0762001894077366E-2</v>
      </c>
      <c r="FI53" s="63">
        <v>0.19816311297179762</v>
      </c>
      <c r="FJ53" s="63">
        <v>9.0207502347557256E-2</v>
      </c>
      <c r="FK53" s="63">
        <v>7.2988117311870741E-3</v>
      </c>
      <c r="FL53" s="63">
        <v>6.8872788648185759E-2</v>
      </c>
      <c r="FM53" s="63">
        <v>5.7948782088043438E-2</v>
      </c>
      <c r="FO53" s="11">
        <v>60.5821728192414</v>
      </c>
      <c r="FP53" s="11">
        <v>48.23934120817934</v>
      </c>
      <c r="FQ53" s="11">
        <v>2937.7702115929496</v>
      </c>
      <c r="FR53" s="11">
        <v>2986.0095528011288</v>
      </c>
      <c r="FS53" s="11">
        <v>3046.5917256203702</v>
      </c>
      <c r="FU53" s="11">
        <v>8.9551531332017387</v>
      </c>
      <c r="FV53" s="11">
        <v>7.4626276110014498</v>
      </c>
      <c r="FW53" s="11">
        <v>102.61477062498201</v>
      </c>
      <c r="FX53" s="11">
        <v>110.07739823598347</v>
      </c>
      <c r="FY53" s="11">
        <v>119.0325513691852</v>
      </c>
      <c r="GA53" s="11">
        <v>69.53732595244314</v>
      </c>
      <c r="GB53" s="11">
        <v>3096.0869510371122</v>
      </c>
      <c r="GC53" s="11">
        <v>3165.6242769895553</v>
      </c>
      <c r="GE53" s="63">
        <v>8.5344111835542018E-3</v>
      </c>
      <c r="GF53" s="63">
        <v>3.9633770143876014E-2</v>
      </c>
      <c r="GG53" s="63">
        <v>3.0148467934268685E-2</v>
      </c>
      <c r="GH53" s="63">
        <v>4.8571842830216032E-3</v>
      </c>
      <c r="GI53" s="63">
        <v>1.2150551423441909E-2</v>
      </c>
      <c r="GJ53" s="63">
        <v>7.725038846478874E-3</v>
      </c>
      <c r="GK53" s="63">
        <v>8.3685200068941631E-3</v>
      </c>
      <c r="GL53" s="63">
        <v>3.4081982502419533E-2</v>
      </c>
      <c r="GM53" s="63">
        <v>2.9617842499928951E-2</v>
      </c>
      <c r="GO53" s="11">
        <v>78.296258438902612</v>
      </c>
      <c r="GP53" s="11">
        <v>62.344411736886741</v>
      </c>
      <c r="GQ53" s="11">
        <v>1515.0634083100344</v>
      </c>
      <c r="GR53" s="11">
        <v>1577.4078200469212</v>
      </c>
      <c r="GS53" s="11">
        <v>1655.7040784858239</v>
      </c>
      <c r="GU53" s="11">
        <v>2.105246526050935</v>
      </c>
      <c r="GV53" s="11">
        <v>1.7543721050424459</v>
      </c>
      <c r="GW53" s="11">
        <v>6.3693085599194541</v>
      </c>
      <c r="GX53" s="11">
        <v>8.1236806649618991</v>
      </c>
      <c r="GY53" s="11">
        <v>10.228927191012835</v>
      </c>
      <c r="GZ53" s="11">
        <v>80.401504964953546</v>
      </c>
      <c r="HA53" s="11">
        <v>1585.5315007118832</v>
      </c>
      <c r="HB53" s="11">
        <v>1665.9330056768367</v>
      </c>
      <c r="HD53" s="11">
        <v>138.87843125814402</v>
      </c>
      <c r="HE53" s="11">
        <v>110.58375294506608</v>
      </c>
      <c r="HF53" s="11">
        <v>4452.8336199029836</v>
      </c>
      <c r="HG53" s="11">
        <v>4563.41737284805</v>
      </c>
      <c r="HH53" s="11">
        <v>4702.2958041061938</v>
      </c>
      <c r="HI53" s="11">
        <v>0</v>
      </c>
      <c r="HJ53" s="11">
        <v>11.060399659252674</v>
      </c>
      <c r="HK53" s="11">
        <v>9.2169997160438957</v>
      </c>
      <c r="HL53" s="11">
        <v>20.277399375296568</v>
      </c>
      <c r="HM53" s="11">
        <v>20.277399375296568</v>
      </c>
      <c r="HN53" s="11">
        <v>138.87843125814402</v>
      </c>
      <c r="HO53" s="11">
        <v>4583.6947722233463</v>
      </c>
      <c r="HP53" s="11">
        <v>4722.5732034814901</v>
      </c>
      <c r="HR53" s="381">
        <v>9174.1839893746146</v>
      </c>
      <c r="HS53" s="381">
        <v>7305.0630437193295</v>
      </c>
      <c r="HT53" s="381">
        <v>38226.57806234801</v>
      </c>
      <c r="HU53" s="381">
        <v>45531.641106067342</v>
      </c>
      <c r="HV53" s="381">
        <v>54705.825095441956</v>
      </c>
      <c r="HX53" s="381">
        <v>433.42941164696418</v>
      </c>
      <c r="HY53" s="381">
        <v>361.19117637247018</v>
      </c>
      <c r="HZ53" s="381">
        <v>524.19913615041582</v>
      </c>
      <c r="IA53" s="381">
        <v>885.39031252288601</v>
      </c>
      <c r="IB53" s="381">
        <v>1318.8197241698501</v>
      </c>
      <c r="ID53" s="381">
        <v>9607.6134010215792</v>
      </c>
      <c r="IE53" s="381">
        <v>46417.031418590224</v>
      </c>
      <c r="IF53" s="381">
        <v>56024.644819611807</v>
      </c>
      <c r="IH53" s="144">
        <v>5.1999999999999998E-2</v>
      </c>
      <c r="II53" s="144">
        <v>5.1999999999999998E-2</v>
      </c>
      <c r="IJ53" s="144">
        <v>5.2000000000000005E-2</v>
      </c>
      <c r="IK53" s="144">
        <v>0.17100000000000004</v>
      </c>
      <c r="IL53" s="144">
        <v>0.17100000000000004</v>
      </c>
      <c r="IM53" s="144">
        <v>0.17100000000000001</v>
      </c>
      <c r="IN53" s="144">
        <v>5.7368461222690799E-2</v>
      </c>
      <c r="IO53" s="144">
        <v>5.4279771775013606E-2</v>
      </c>
      <c r="IP53" s="144">
        <v>5.4816002246543677E-2</v>
      </c>
      <c r="IR53" s="144">
        <v>1.5137960108385735E-2</v>
      </c>
      <c r="IS53" s="144">
        <v>0.10022518982387282</v>
      </c>
      <c r="IT53" s="144">
        <v>8.5956034771477841E-2</v>
      </c>
      <c r="IU53" s="144">
        <v>2.5518341307814992E-2</v>
      </c>
      <c r="IV53" s="144">
        <v>0.13350166274593167</v>
      </c>
      <c r="IW53" s="144">
        <v>9.801300070907229E-2</v>
      </c>
      <c r="IX53" s="144">
        <v>1.560625148608224E-2</v>
      </c>
      <c r="IY53" s="144">
        <v>0.10085992810548386</v>
      </c>
      <c r="IZ53" s="144">
        <v>8.6239855660362394E-2</v>
      </c>
    </row>
    <row r="54" spans="2:260" x14ac:dyDescent="0.3">
      <c r="B54">
        <v>2010</v>
      </c>
      <c r="C54">
        <v>26476</v>
      </c>
      <c r="E54">
        <v>297</v>
      </c>
      <c r="F54">
        <v>1102</v>
      </c>
      <c r="G54">
        <v>314</v>
      </c>
      <c r="H54">
        <v>524</v>
      </c>
      <c r="J54">
        <v>7080</v>
      </c>
      <c r="K54">
        <v>4755</v>
      </c>
      <c r="L54">
        <v>12451</v>
      </c>
      <c r="M54">
        <v>17206</v>
      </c>
      <c r="N54">
        <v>24286</v>
      </c>
      <c r="P54">
        <v>795</v>
      </c>
      <c r="Q54">
        <v>581</v>
      </c>
      <c r="R54">
        <v>569</v>
      </c>
      <c r="S54">
        <v>1150</v>
      </c>
      <c r="T54">
        <v>1945</v>
      </c>
      <c r="V54">
        <v>7875</v>
      </c>
      <c r="W54">
        <v>18356</v>
      </c>
      <c r="X54">
        <v>26231</v>
      </c>
      <c r="AJ54" s="63">
        <v>1.5692825228745325E-2</v>
      </c>
      <c r="AK54" s="63">
        <v>0.600030719606789</v>
      </c>
      <c r="AL54" s="405">
        <v>7813</v>
      </c>
      <c r="AN54" s="11">
        <v>217.96613487177919</v>
      </c>
      <c r="AO54" s="11">
        <v>146.38827278464828</v>
      </c>
      <c r="AP54" s="11">
        <v>7669.4889844745576</v>
      </c>
      <c r="AQ54" s="11">
        <v>7815.8772572592061</v>
      </c>
      <c r="AR54" s="11">
        <v>8033.8433921309852</v>
      </c>
      <c r="AS54" s="11"/>
      <c r="AT54" s="11">
        <v>24.475010907212489</v>
      </c>
      <c r="AU54" s="11">
        <v>17.886768977472272</v>
      </c>
      <c r="AV54" s="11">
        <v>350.53501091416393</v>
      </c>
      <c r="AW54" s="11">
        <v>368.42177989163622</v>
      </c>
      <c r="AX54" s="11">
        <v>392.89679079884871</v>
      </c>
      <c r="AY54" s="11"/>
      <c r="AZ54" s="11">
        <v>242.44114577899168</v>
      </c>
      <c r="BA54" s="11">
        <v>8184.2990371508422</v>
      </c>
      <c r="BB54" s="11">
        <v>8426.7401829298342</v>
      </c>
      <c r="BD54" s="63">
        <v>2.4246301267378607E-2</v>
      </c>
      <c r="BE54" s="63">
        <v>0.31571517324001291</v>
      </c>
      <c r="BF54" s="63">
        <v>0.23458343948193591</v>
      </c>
      <c r="BH54" s="381">
        <v>7085.5596224401406</v>
      </c>
      <c r="BI54" s="381">
        <v>4758.7338989693317</v>
      </c>
      <c r="BJ54" s="381">
        <v>12649.506494650428</v>
      </c>
      <c r="BK54" s="381">
        <v>17408.240393619759</v>
      </c>
      <c r="BL54" s="381">
        <v>24493.8000160599</v>
      </c>
      <c r="BM54" s="381"/>
      <c r="BN54" s="381">
        <v>795.6242796384056</v>
      </c>
      <c r="BO54" s="381">
        <v>581.45623455335055</v>
      </c>
      <c r="BP54" s="381">
        <v>578.0715762152513</v>
      </c>
      <c r="BQ54" s="381">
        <v>1159.5278107686017</v>
      </c>
      <c r="BR54" s="381">
        <v>1955.1520904070073</v>
      </c>
      <c r="BS54" s="381"/>
      <c r="BT54" s="381">
        <v>7881.1839020785465</v>
      </c>
      <c r="BU54" s="381">
        <v>18567.768204388361</v>
      </c>
      <c r="BV54" s="381">
        <v>26448.95210646691</v>
      </c>
      <c r="BX54">
        <v>0.84499999999999997</v>
      </c>
      <c r="BY54">
        <v>1</v>
      </c>
      <c r="CA54" s="144">
        <v>4.5669578780562679E-2</v>
      </c>
      <c r="CB54" s="144">
        <v>0.11632639490709704</v>
      </c>
      <c r="CC54" s="144">
        <v>8.3249974916027036E-2</v>
      </c>
      <c r="CD54" s="144">
        <v>0.16789974959756751</v>
      </c>
      <c r="CE54" s="144">
        <v>0.25918203059399075</v>
      </c>
      <c r="CF54" s="144">
        <v>0.22316942031602496</v>
      </c>
      <c r="CG54" s="144">
        <v>5.9614790811281231E-2</v>
      </c>
      <c r="CH54" s="144">
        <v>0.10938437064273164</v>
      </c>
      <c r="CI54" s="144">
        <v>9.4969402109204931E-2</v>
      </c>
      <c r="CK54" s="63">
        <v>4.5253206182176917E-2</v>
      </c>
      <c r="CL54" s="63">
        <v>4.5253206182176917E-2</v>
      </c>
      <c r="CM54" s="63">
        <v>0.10830302999548368</v>
      </c>
      <c r="CN54" s="63">
        <v>9.2578634837728171E-2</v>
      </c>
      <c r="CO54" s="63">
        <v>7.9763536900907428E-2</v>
      </c>
      <c r="CP54" s="63">
        <v>0.16672187194742916</v>
      </c>
      <c r="CQ54" s="63">
        <v>0.16672187194742916</v>
      </c>
      <c r="CR54" s="63">
        <v>0.16672187194742918</v>
      </c>
      <c r="CS54" s="63">
        <v>0.25524812787097811</v>
      </c>
      <c r="CT54" s="63">
        <v>0.22049722258544308</v>
      </c>
      <c r="CU54" s="63">
        <v>0.10376504829500789</v>
      </c>
      <c r="CV54" s="63">
        <v>5.9085546582875861E-2</v>
      </c>
      <c r="CW54" s="63">
        <v>9.4969402109204931E-2</v>
      </c>
      <c r="CY54" s="11">
        <v>401.27831007093323</v>
      </c>
      <c r="CZ54" s="11">
        <v>269.50259384001237</v>
      </c>
      <c r="DA54" s="11">
        <v>1970.6216935179846</v>
      </c>
      <c r="DB54" s="11">
        <v>2240.1242873579968</v>
      </c>
      <c r="DC54" s="11">
        <v>2641.4025974289298</v>
      </c>
      <c r="DE54" s="11">
        <v>189.98780034759722</v>
      </c>
      <c r="DF54" s="11">
        <v>138.84643019113707</v>
      </c>
      <c r="DG54" s="11">
        <v>239.34165327909241</v>
      </c>
      <c r="DH54" s="11">
        <v>453.67490752110501</v>
      </c>
      <c r="DI54" s="11">
        <v>643.66270786870223</v>
      </c>
      <c r="DK54" s="11">
        <v>591.26611041853039</v>
      </c>
      <c r="DL54" s="11">
        <v>2693.7991948791018</v>
      </c>
      <c r="DM54" s="11">
        <v>3285.0653052976322</v>
      </c>
      <c r="DO54" s="381">
        <v>8786.5559697634071</v>
      </c>
      <c r="DP54" s="381">
        <v>5901.1403440995764</v>
      </c>
      <c r="DQ54" s="381">
        <v>16940.451864701925</v>
      </c>
      <c r="DR54" s="381">
        <v>22841.5922088015</v>
      </c>
      <c r="DS54" s="381">
        <v>31628.148178564908</v>
      </c>
      <c r="DU54" s="381">
        <v>1131.5549951859471</v>
      </c>
      <c r="DV54" s="381">
        <v>826.96031723652231</v>
      </c>
      <c r="DW54" s="381">
        <v>923.45002749832474</v>
      </c>
      <c r="DX54" s="381">
        <v>1750.4103447348471</v>
      </c>
      <c r="DY54" s="381">
        <v>2881.9653399207941</v>
      </c>
      <c r="EA54" s="381">
        <v>9918.1109649493537</v>
      </c>
      <c r="EB54" s="381">
        <v>24592.002553536346</v>
      </c>
      <c r="EC54" s="381">
        <v>34510.113518485705</v>
      </c>
      <c r="EE54" s="63">
        <v>4.0368038098082655E-2</v>
      </c>
      <c r="EF54" s="63">
        <v>4.2963302102239594E-2</v>
      </c>
      <c r="EG54" s="63">
        <v>4.1748386869780323E-2</v>
      </c>
      <c r="EH54" s="63">
        <v>0.15609506349490251</v>
      </c>
      <c r="EI54" s="63">
        <v>0.15856503961155125</v>
      </c>
      <c r="EJ54" s="63">
        <v>0.15687843929906958</v>
      </c>
      <c r="EK54" s="63">
        <v>5.3571307765922185E-2</v>
      </c>
      <c r="EL54" s="63">
        <v>5.0502729497786579E-2</v>
      </c>
      <c r="EM54" s="63">
        <v>5.1391494468831948E-2</v>
      </c>
      <c r="EO54" s="11">
        <v>354.69602613834479</v>
      </c>
      <c r="EP54" s="11">
        <v>238.21745823274429</v>
      </c>
      <c r="EQ54" s="11">
        <v>727.81775121163685</v>
      </c>
      <c r="ER54" s="11">
        <v>966.03520944438117</v>
      </c>
      <c r="ES54" s="11">
        <v>1320.731235582726</v>
      </c>
      <c r="EU54" s="11">
        <v>176.63014882152453</v>
      </c>
      <c r="EV54" s="11">
        <v>129.08442322679969</v>
      </c>
      <c r="EW54" s="11">
        <v>146.42689018955994</v>
      </c>
      <c r="EX54" s="11">
        <v>275.5113134163596</v>
      </c>
      <c r="EY54" s="11">
        <v>452.14146223788413</v>
      </c>
      <c r="FA54" s="11">
        <v>531.32617495986938</v>
      </c>
      <c r="FB54" s="11">
        <v>1241.5465228607409</v>
      </c>
      <c r="FC54" s="11">
        <v>1772.8726978206103</v>
      </c>
      <c r="FE54" s="63">
        <v>5.301540682480026E-3</v>
      </c>
      <c r="FF54" s="63">
        <v>7.3363092804857449E-2</v>
      </c>
      <c r="FG54" s="63">
        <v>4.1501588046246728E-2</v>
      </c>
      <c r="FH54" s="63">
        <v>1.1804686102664998E-2</v>
      </c>
      <c r="FI54" s="63">
        <v>0.10061699098243949</v>
      </c>
      <c r="FJ54" s="63">
        <v>3.9972331241486046E-2</v>
      </c>
      <c r="FK54" s="63">
        <v>6.0434830453590547E-3</v>
      </c>
      <c r="FL54" s="63">
        <v>5.5778440743977122E-2</v>
      </c>
      <c r="FM54" s="63">
        <v>4.1373499961478884E-2</v>
      </c>
      <c r="FO54" s="11">
        <v>46.582283932588439</v>
      </c>
      <c r="FP54" s="11">
        <v>31.285135607268085</v>
      </c>
      <c r="FQ54" s="11">
        <v>1242.8039423063478</v>
      </c>
      <c r="FR54" s="11">
        <v>1274.0890779136159</v>
      </c>
      <c r="FS54" s="11">
        <v>1320.6713618462045</v>
      </c>
      <c r="FU54" s="11">
        <v>13.357651526072708</v>
      </c>
      <c r="FV54" s="11">
        <v>9.762006964337413</v>
      </c>
      <c r="FW54" s="11">
        <v>92.914763089532443</v>
      </c>
      <c r="FX54" s="11">
        <v>102.67677005386986</v>
      </c>
      <c r="FY54" s="11">
        <v>116.03442157994257</v>
      </c>
      <c r="GA54" s="11">
        <v>59.939935458661147</v>
      </c>
      <c r="GB54" s="11">
        <v>1376.7658479674858</v>
      </c>
      <c r="GC54" s="11">
        <v>1436.705783426147</v>
      </c>
      <c r="GE54" s="63">
        <v>9.1170667543571202E-3</v>
      </c>
      <c r="GF54" s="63">
        <v>6.8972866545216505E-2</v>
      </c>
      <c r="GG54" s="63">
        <v>4.1879147935315476E-2</v>
      </c>
      <c r="GH54" s="63">
        <v>7.0153627564159488E-3</v>
      </c>
      <c r="GI54" s="63">
        <v>2.2483137646764927E-2</v>
      </c>
      <c r="GJ54" s="63">
        <v>1.1973852541256968E-2</v>
      </c>
      <c r="GK54" s="63">
        <v>8.8777335490577789E-3</v>
      </c>
      <c r="GL54" s="63">
        <v>5.1372260174878365E-2</v>
      </c>
      <c r="GM54" s="63">
        <v>3.9443970160656164E-2</v>
      </c>
      <c r="GO54" s="11">
        <v>80.844683695212183</v>
      </c>
      <c r="GP54" s="11">
        <v>54.296111719030215</v>
      </c>
      <c r="GQ54" s="11">
        <v>1254.9919155889952</v>
      </c>
      <c r="GR54" s="11">
        <v>1309.2880273080254</v>
      </c>
      <c r="GS54" s="11">
        <v>1390.1327110032375</v>
      </c>
      <c r="GU54" s="11">
        <v>7.9943520496950287</v>
      </c>
      <c r="GV54" s="11">
        <v>5.8424132589595121</v>
      </c>
      <c r="GW54" s="11">
        <v>21.239586627868444</v>
      </c>
      <c r="GX54" s="11">
        <v>27.081999886827958</v>
      </c>
      <c r="GY54" s="11">
        <v>35.07635193652299</v>
      </c>
      <c r="GZ54" s="11">
        <v>88.839035744907207</v>
      </c>
      <c r="HA54" s="11">
        <v>1336.3700271948535</v>
      </c>
      <c r="HB54" s="11">
        <v>1425.2090629397605</v>
      </c>
      <c r="HD54" s="11">
        <v>127.42696762780062</v>
      </c>
      <c r="HE54" s="11">
        <v>85.581247326298296</v>
      </c>
      <c r="HF54" s="11">
        <v>2497.795857895343</v>
      </c>
      <c r="HG54" s="11">
        <v>2583.3771052216412</v>
      </c>
      <c r="HH54" s="11">
        <v>2710.8040728494416</v>
      </c>
      <c r="HI54" s="11">
        <v>0</v>
      </c>
      <c r="HJ54" s="11">
        <v>21.352003575767736</v>
      </c>
      <c r="HK54" s="11">
        <v>15.604420223296925</v>
      </c>
      <c r="HL54" s="11">
        <v>36.956423799064659</v>
      </c>
      <c r="HM54" s="11">
        <v>36.956423799064659</v>
      </c>
      <c r="HN54" s="11">
        <v>127.42696762780062</v>
      </c>
      <c r="HO54" s="11">
        <v>2620.333529020706</v>
      </c>
      <c r="HP54" s="11">
        <v>2747.7604966485064</v>
      </c>
      <c r="HR54" s="381">
        <v>8867.4006534586188</v>
      </c>
      <c r="HS54" s="381">
        <v>5955.4364558186062</v>
      </c>
      <c r="HT54" s="381">
        <v>18195.44378029092</v>
      </c>
      <c r="HU54" s="381">
        <v>24150.880236109526</v>
      </c>
      <c r="HV54" s="381">
        <v>33018.280889568145</v>
      </c>
      <c r="HX54" s="381">
        <v>1139.549347235642</v>
      </c>
      <c r="HY54" s="381">
        <v>832.8027304954818</v>
      </c>
      <c r="HZ54" s="381">
        <v>944.68961412619319</v>
      </c>
      <c r="IA54" s="381">
        <v>1777.4923446216749</v>
      </c>
      <c r="IB54" s="381">
        <v>2917.0416918573169</v>
      </c>
      <c r="ID54" s="381">
        <v>10006.950000694262</v>
      </c>
      <c r="IE54" s="381">
        <v>25928.3725807312</v>
      </c>
      <c r="IF54" s="381">
        <v>35935.322581425462</v>
      </c>
      <c r="IH54" s="144">
        <v>4.0000000000000008E-2</v>
      </c>
      <c r="II54" s="144">
        <v>4.0000000000000008E-2</v>
      </c>
      <c r="IJ54" s="144">
        <v>4.0000000000000008E-2</v>
      </c>
      <c r="IK54" s="144">
        <v>0.15499999999999997</v>
      </c>
      <c r="IL54" s="144">
        <v>0.155</v>
      </c>
      <c r="IM54" s="144">
        <v>0.155</v>
      </c>
      <c r="IN54" s="144">
        <v>5.3095715969701758E-2</v>
      </c>
      <c r="IO54" s="144">
        <v>4.7908290138484778E-2</v>
      </c>
      <c r="IP54" s="144">
        <v>4.9364409894491805E-2</v>
      </c>
      <c r="IR54" s="144">
        <v>1.4370272936534036E-2</v>
      </c>
      <c r="IS54" s="144">
        <v>0.10696823800894302</v>
      </c>
      <c r="IT54" s="144">
        <v>8.2100097273868022E-2</v>
      </c>
      <c r="IU54" s="144">
        <v>1.873723470384513E-2</v>
      </c>
      <c r="IV54" s="144">
        <v>7.3001028855804131E-2</v>
      </c>
      <c r="IW54" s="144">
        <v>5.1802747262159103E-2</v>
      </c>
      <c r="IX54" s="144">
        <v>1.4867564162231886E-2</v>
      </c>
      <c r="IY54" s="144">
        <v>0.10463965166786518</v>
      </c>
      <c r="IZ54" s="144">
        <v>7.9640716731598143E-2</v>
      </c>
    </row>
    <row r="55" spans="2:260" x14ac:dyDescent="0.3">
      <c r="B55">
        <v>2011</v>
      </c>
      <c r="C55">
        <v>20757</v>
      </c>
      <c r="E55">
        <v>293</v>
      </c>
      <c r="F55">
        <v>987</v>
      </c>
      <c r="G55">
        <v>285</v>
      </c>
      <c r="H55">
        <v>351</v>
      </c>
      <c r="J55">
        <v>5084</v>
      </c>
      <c r="K55">
        <v>3315</v>
      </c>
      <c r="L55">
        <v>12013</v>
      </c>
      <c r="M55">
        <v>15328</v>
      </c>
      <c r="N55">
        <v>20412</v>
      </c>
      <c r="P55">
        <v>276</v>
      </c>
      <c r="Q55">
        <v>100</v>
      </c>
      <c r="R55">
        <v>138</v>
      </c>
      <c r="S55">
        <v>238</v>
      </c>
      <c r="T55">
        <v>514</v>
      </c>
      <c r="V55">
        <v>5360</v>
      </c>
      <c r="W55">
        <v>15566</v>
      </c>
      <c r="X55">
        <v>20926</v>
      </c>
      <c r="AJ55" s="63">
        <v>1.5295769330596258E-2</v>
      </c>
      <c r="AK55" s="63">
        <v>0.61492881244342035</v>
      </c>
      <c r="AL55" s="405">
        <v>7472</v>
      </c>
      <c r="AN55" s="11">
        <v>160.20308868695503</v>
      </c>
      <c r="AO55" s="11">
        <v>104.45972442904325</v>
      </c>
      <c r="AP55" s="11">
        <v>7573.742126630651</v>
      </c>
      <c r="AQ55" s="11">
        <v>7678.2018510596945</v>
      </c>
      <c r="AR55" s="11">
        <v>7838.4049397466497</v>
      </c>
      <c r="AS55" s="11"/>
      <c r="AT55" s="11">
        <v>8.6970992284814308</v>
      </c>
      <c r="AU55" s="11">
        <v>3.1511229088700832</v>
      </c>
      <c r="AV55" s="11">
        <v>86.389753050251642</v>
      </c>
      <c r="AW55" s="11">
        <v>89.54087595912172</v>
      </c>
      <c r="AX55" s="11">
        <v>98.237975187603155</v>
      </c>
      <c r="AY55" s="11"/>
      <c r="AZ55" s="11">
        <v>168.90018791543645</v>
      </c>
      <c r="BA55" s="11">
        <v>7767.7427270188164</v>
      </c>
      <c r="BB55" s="11">
        <v>7936.642914934253</v>
      </c>
      <c r="BD55" s="63">
        <v>2.3805622885102372E-2</v>
      </c>
      <c r="BE55" s="63">
        <v>0.33168773015659198</v>
      </c>
      <c r="BF55" s="63">
        <v>0.26010000614149875</v>
      </c>
      <c r="BH55" s="381">
        <v>5087.8911604784935</v>
      </c>
      <c r="BI55" s="381">
        <v>3317.5372141987027</v>
      </c>
      <c r="BJ55" s="381">
        <v>12199.602302747842</v>
      </c>
      <c r="BK55" s="381">
        <v>15517.139516946545</v>
      </c>
      <c r="BL55" s="381">
        <v>20605.030677425038</v>
      </c>
      <c r="BM55" s="381"/>
      <c r="BN55" s="381">
        <v>276.21124317310466</v>
      </c>
      <c r="BO55" s="381">
        <v>100.07653738155966</v>
      </c>
      <c r="BP55" s="381">
        <v>140.14360424366956</v>
      </c>
      <c r="BQ55" s="381">
        <v>240.22014162522922</v>
      </c>
      <c r="BR55" s="381">
        <v>516.43138479833385</v>
      </c>
      <c r="BS55" s="381"/>
      <c r="BT55" s="381">
        <v>5364.1024036515983</v>
      </c>
      <c r="BU55" s="381">
        <v>15757.359658571775</v>
      </c>
      <c r="BV55" s="381">
        <v>21121.462062223374</v>
      </c>
      <c r="BX55">
        <v>0.84499999999999997</v>
      </c>
      <c r="BY55">
        <v>1</v>
      </c>
      <c r="CA55" s="144">
        <v>7.9953230696305652E-2</v>
      </c>
      <c r="CB55" s="144">
        <v>0.15187605020704412</v>
      </c>
      <c r="CC55" s="144">
        <v>0.12368850003758236</v>
      </c>
      <c r="CD55" s="144">
        <v>0.26540985716124049</v>
      </c>
      <c r="CE55" s="144">
        <v>0.3628656971770744</v>
      </c>
      <c r="CF55" s="144">
        <v>0.31259960109194962</v>
      </c>
      <c r="CG55" s="144">
        <v>9.1760297864719204E-2</v>
      </c>
      <c r="CH55" s="144">
        <v>0.14168167458608447</v>
      </c>
      <c r="CI55" s="144">
        <v>0.12941716571509299</v>
      </c>
      <c r="CK55" s="63">
        <v>7.8675930694704924E-2</v>
      </c>
      <c r="CL55" s="63">
        <v>7.8675930694704937E-2</v>
      </c>
      <c r="CM55" s="63">
        <v>0.13860438418193219</v>
      </c>
      <c r="CN55" s="63">
        <v>0.12716490446621034</v>
      </c>
      <c r="CO55" s="63">
        <v>0.11618435580698915</v>
      </c>
      <c r="CP55" s="63">
        <v>0.26260504201680673</v>
      </c>
      <c r="CQ55" s="63">
        <v>0.26260504201680673</v>
      </c>
      <c r="CR55" s="63">
        <v>0.26260504201680673</v>
      </c>
      <c r="CS55" s="63">
        <v>0.35325960022168634</v>
      </c>
      <c r="CT55" s="63">
        <v>0.3068684869998744</v>
      </c>
      <c r="CU55" s="63">
        <v>0.13135629007385494</v>
      </c>
      <c r="CV55" s="63">
        <v>9.0325802699706109E-2</v>
      </c>
      <c r="CW55" s="63">
        <v>0.12941716571509299</v>
      </c>
      <c r="CY55" s="11">
        <v>523.24756487705679</v>
      </c>
      <c r="CZ55" s="11">
        <v>341.18128984410765</v>
      </c>
      <c r="DA55" s="11">
        <v>2585.3475337819</v>
      </c>
      <c r="DB55" s="11">
        <v>2926.5288236260076</v>
      </c>
      <c r="DC55" s="11">
        <v>3449.7763885030645</v>
      </c>
      <c r="DE55" s="11">
        <v>118.10182138740024</v>
      </c>
      <c r="DF55" s="11">
        <v>42.790514995434876</v>
      </c>
      <c r="DG55" s="11">
        <v>94.456424229430468</v>
      </c>
      <c r="DH55" s="11">
        <v>152.95918754975253</v>
      </c>
      <c r="DI55" s="11">
        <v>271.06100893715279</v>
      </c>
      <c r="DK55" s="11">
        <v>641.34938626445705</v>
      </c>
      <c r="DL55" s="11">
        <v>3079.4880111757602</v>
      </c>
      <c r="DM55" s="11">
        <v>3720.8373974402175</v>
      </c>
      <c r="DO55" s="381">
        <v>6544.4205358575227</v>
      </c>
      <c r="DP55" s="381">
        <v>4267.2608332745258</v>
      </c>
      <c r="DQ55" s="381">
        <v>17022.746708631417</v>
      </c>
      <c r="DR55" s="381">
        <v>21290.007541905943</v>
      </c>
      <c r="DS55" s="381">
        <v>27834.428077763467</v>
      </c>
      <c r="DU55" s="381">
        <v>444.97903224314535</v>
      </c>
      <c r="DV55" s="381">
        <v>161.22428704461791</v>
      </c>
      <c r="DW55" s="381">
        <v>260.30684345270805</v>
      </c>
      <c r="DX55" s="381">
        <v>421.53113049732599</v>
      </c>
      <c r="DY55" s="381">
        <v>866.51016274047129</v>
      </c>
      <c r="EA55" s="381">
        <v>6989.3995681006681</v>
      </c>
      <c r="EB55" s="381">
        <v>21711.538672403269</v>
      </c>
      <c r="EC55" s="381">
        <v>28700.93824050394</v>
      </c>
      <c r="EE55" s="63">
        <v>7.3168916583549765E-2</v>
      </c>
      <c r="EF55" s="63">
        <v>7.8894153885881349E-2</v>
      </c>
      <c r="EG55" s="63">
        <v>7.6650354007214871E-2</v>
      </c>
      <c r="EH55" s="63">
        <v>0.25267018401750097</v>
      </c>
      <c r="EI55" s="63">
        <v>0.25939264328485884</v>
      </c>
      <c r="EJ55" s="63">
        <v>0.25466903114433964</v>
      </c>
      <c r="EK55" s="63">
        <v>8.4596836749070231E-2</v>
      </c>
      <c r="EL55" s="63">
        <v>8.1218808430399664E-2</v>
      </c>
      <c r="EM55" s="63">
        <v>8.2048710588588022E-2</v>
      </c>
      <c r="EO55" s="11">
        <v>478.84816027582912</v>
      </c>
      <c r="EP55" s="11">
        <v>312.23085195011282</v>
      </c>
      <c r="EQ55" s="11">
        <v>1342.9951983911474</v>
      </c>
      <c r="ER55" s="11">
        <v>1655.2260503412601</v>
      </c>
      <c r="ES55" s="11">
        <v>2134.0742106170892</v>
      </c>
      <c r="EU55" s="11">
        <v>112.43293396080503</v>
      </c>
      <c r="EV55" s="11">
        <v>40.736570275654003</v>
      </c>
      <c r="EW55" s="11">
        <v>67.521680188335893</v>
      </c>
      <c r="EX55" s="11">
        <v>108.2582504639899</v>
      </c>
      <c r="EY55" s="11">
        <v>220.69118442479493</v>
      </c>
      <c r="FA55" s="11">
        <v>591.28109423663409</v>
      </c>
      <c r="FB55" s="11">
        <v>1763.4843008052501</v>
      </c>
      <c r="FC55" s="11">
        <v>2354.7653950418844</v>
      </c>
      <c r="FE55" s="63">
        <v>6.7843141127558928E-3</v>
      </c>
      <c r="FF55" s="63">
        <v>7.2981896321162767E-2</v>
      </c>
      <c r="FG55" s="63">
        <v>4.7038146030367489E-2</v>
      </c>
      <c r="FH55" s="63">
        <v>1.2739673143739545E-2</v>
      </c>
      <c r="FI55" s="63">
        <v>0.10347305389221557</v>
      </c>
      <c r="FJ55" s="63">
        <v>3.9718216293579231E-2</v>
      </c>
      <c r="FK55" s="63">
        <v>7.1634611156489759E-3</v>
      </c>
      <c r="FL55" s="63">
        <v>5.9730708794945901E-2</v>
      </c>
      <c r="FM55" s="63">
        <v>4.6816171620124331E-2</v>
      </c>
      <c r="FO55" s="11">
        <v>44.399404601227673</v>
      </c>
      <c r="FP55" s="11">
        <v>28.950437893994835</v>
      </c>
      <c r="FQ55" s="11">
        <v>1242.3523353907528</v>
      </c>
      <c r="FR55" s="11">
        <v>1271.3027732847477</v>
      </c>
      <c r="FS55" s="11">
        <v>1315.7021778859753</v>
      </c>
      <c r="FU55" s="11">
        <v>5.6688874265952114</v>
      </c>
      <c r="FV55" s="11">
        <v>2.053944719780874</v>
      </c>
      <c r="FW55" s="11">
        <v>26.934744041094582</v>
      </c>
      <c r="FX55" s="11">
        <v>28.988688760875455</v>
      </c>
      <c r="FY55" s="11">
        <v>34.657576187470667</v>
      </c>
      <c r="GA55" s="11">
        <v>50.068292027822885</v>
      </c>
      <c r="GB55" s="11">
        <v>1300.2914620456231</v>
      </c>
      <c r="GC55" s="11">
        <v>1350.3597540734459</v>
      </c>
      <c r="GE55" s="63">
        <v>1.5975589610036246E-2</v>
      </c>
      <c r="GF55" s="63">
        <v>8.738485104807113E-2</v>
      </c>
      <c r="GG55" s="63">
        <v>6.0669700322286205E-2</v>
      </c>
      <c r="GH55" s="63">
        <v>1.0567863509039979E-2</v>
      </c>
      <c r="GI55" s="63">
        <v>3.6210137519374734E-2</v>
      </c>
      <c r="GJ55" s="63">
        <v>1.8333721706795977E-2</v>
      </c>
      <c r="GK55" s="63">
        <v>1.5633070057465882E-2</v>
      </c>
      <c r="GL55" s="63">
        <v>7.2877346646237823E-2</v>
      </c>
      <c r="GM55" s="63">
        <v>5.9439634354511571E-2</v>
      </c>
      <c r="GO55" s="11">
        <v>106.24835686232649</v>
      </c>
      <c r="GP55" s="11">
        <v>69.278777143708169</v>
      </c>
      <c r="GQ55" s="11">
        <v>1629.9643801345157</v>
      </c>
      <c r="GR55" s="11">
        <v>1699.2431572782239</v>
      </c>
      <c r="GS55" s="11">
        <v>1805.4915141405504</v>
      </c>
      <c r="GU55" s="11">
        <v>4.7527036000747733</v>
      </c>
      <c r="GV55" s="11">
        <v>1.7219940579981063</v>
      </c>
      <c r="GW55" s="11">
        <v>9.7798773006355333</v>
      </c>
      <c r="GX55" s="11">
        <v>11.50187135863364</v>
      </c>
      <c r="GY55" s="11">
        <v>16.254574958708414</v>
      </c>
      <c r="GZ55" s="11">
        <v>111.00106046240126</v>
      </c>
      <c r="HA55" s="11">
        <v>1710.7450286368576</v>
      </c>
      <c r="HB55" s="11">
        <v>1821.7460890992588</v>
      </c>
      <c r="HD55" s="11">
        <v>150.64776146355416</v>
      </c>
      <c r="HE55" s="11">
        <v>98.229215037703</v>
      </c>
      <c r="HF55" s="11">
        <v>2872.3167155252686</v>
      </c>
      <c r="HG55" s="11">
        <v>2970.5459305629715</v>
      </c>
      <c r="HH55" s="11">
        <v>3121.1936920265257</v>
      </c>
      <c r="HI55" s="11">
        <v>0</v>
      </c>
      <c r="HJ55" s="11">
        <v>10.421591026669985</v>
      </c>
      <c r="HK55" s="11">
        <v>3.7759387777789803</v>
      </c>
      <c r="HL55" s="11">
        <v>14.197529804448966</v>
      </c>
      <c r="HM55" s="11">
        <v>14.197529804448966</v>
      </c>
      <c r="HN55" s="11">
        <v>150.64776146355416</v>
      </c>
      <c r="HO55" s="11">
        <v>2984.7434603674205</v>
      </c>
      <c r="HP55" s="11">
        <v>3135.3912218309747</v>
      </c>
      <c r="HR55" s="381">
        <v>6650.6688927198493</v>
      </c>
      <c r="HS55" s="381">
        <v>4336.5396104182337</v>
      </c>
      <c r="HT55" s="381">
        <v>18652.711088765933</v>
      </c>
      <c r="HU55" s="381">
        <v>22989.250699184166</v>
      </c>
      <c r="HV55" s="381">
        <v>29639.919591904014</v>
      </c>
      <c r="HX55" s="381">
        <v>449.73173584322012</v>
      </c>
      <c r="HY55" s="381">
        <v>162.94628110261601</v>
      </c>
      <c r="HZ55" s="381">
        <v>270.08672075334357</v>
      </c>
      <c r="IA55" s="381">
        <v>433.03300185595958</v>
      </c>
      <c r="IB55" s="381">
        <v>882.7647376991797</v>
      </c>
      <c r="ID55" s="381">
        <v>7100.4006285630694</v>
      </c>
      <c r="IE55" s="381">
        <v>23422.283701040124</v>
      </c>
      <c r="IF55" s="381">
        <v>30522.684329603195</v>
      </c>
      <c r="IH55" s="144">
        <v>7.1999999999999995E-2</v>
      </c>
      <c r="II55" s="144">
        <v>7.1999999999999995E-2</v>
      </c>
      <c r="IJ55" s="144">
        <v>7.1999999999999995E-2</v>
      </c>
      <c r="IK55" s="144">
        <v>0.25000000000000006</v>
      </c>
      <c r="IL55" s="144">
        <v>0.25</v>
      </c>
      <c r="IM55" s="144">
        <v>0.25</v>
      </c>
      <c r="IN55" s="144">
        <v>8.3274328473532E-2</v>
      </c>
      <c r="IO55" s="144">
        <v>7.529979717422304E-2</v>
      </c>
      <c r="IP55" s="144">
        <v>7.7171765231943218E-2</v>
      </c>
      <c r="IR55" s="144">
        <v>2.2651520304741175E-2</v>
      </c>
      <c r="IS55" s="144">
        <v>0.12921456072808798</v>
      </c>
      <c r="IT55" s="144">
        <v>0.10530371657550189</v>
      </c>
      <c r="IU55" s="144">
        <v>2.31729055258467E-2</v>
      </c>
      <c r="IV55" s="144">
        <v>9.3504559573908713E-2</v>
      </c>
      <c r="IW55" s="144">
        <v>5.7673521575947281E-2</v>
      </c>
      <c r="IX55" s="144">
        <v>2.2684544283639984E-2</v>
      </c>
      <c r="IY55" s="144">
        <v>0.12855435145074126</v>
      </c>
      <c r="IZ55" s="144">
        <v>0.10392617532974181</v>
      </c>
    </row>
    <row r="56" spans="2:260" x14ac:dyDescent="0.3">
      <c r="B56">
        <v>2012</v>
      </c>
      <c r="C56">
        <v>17230</v>
      </c>
      <c r="E56">
        <v>190</v>
      </c>
      <c r="F56">
        <v>770</v>
      </c>
      <c r="G56">
        <v>235</v>
      </c>
      <c r="H56">
        <v>381</v>
      </c>
      <c r="J56">
        <v>3214</v>
      </c>
      <c r="K56">
        <v>3599</v>
      </c>
      <c r="L56">
        <v>9539</v>
      </c>
      <c r="M56">
        <v>13138</v>
      </c>
      <c r="N56">
        <v>16352</v>
      </c>
      <c r="P56">
        <v>348</v>
      </c>
      <c r="Q56">
        <v>178</v>
      </c>
      <c r="R56">
        <v>289</v>
      </c>
      <c r="S56">
        <v>467</v>
      </c>
      <c r="T56">
        <v>815</v>
      </c>
      <c r="V56">
        <v>3562</v>
      </c>
      <c r="W56">
        <v>13605</v>
      </c>
      <c r="X56">
        <v>17167</v>
      </c>
      <c r="AJ56" s="63">
        <v>1.4558812216324333E-2</v>
      </c>
      <c r="AK56" s="63">
        <v>0.42531542531542532</v>
      </c>
      <c r="AL56" s="405">
        <v>4180</v>
      </c>
      <c r="AN56" s="11">
        <v>70.687789971352174</v>
      </c>
      <c r="AO56" s="11">
        <v>79.155369043838363</v>
      </c>
      <c r="AP56" s="11">
        <v>4198.0120998562425</v>
      </c>
      <c r="AQ56" s="11">
        <v>4277.1674689000811</v>
      </c>
      <c r="AR56" s="11">
        <v>4347.8552588714329</v>
      </c>
      <c r="AS56" s="11"/>
      <c r="AT56" s="11">
        <v>7.6538117330524447</v>
      </c>
      <c r="AU56" s="11">
        <v>3.9148807140325719</v>
      </c>
      <c r="AV56" s="11">
        <v>125.50762649066364</v>
      </c>
      <c r="AW56" s="11">
        <v>129.42250720469622</v>
      </c>
      <c r="AX56" s="11">
        <v>137.07631893774865</v>
      </c>
      <c r="AY56" s="11"/>
      <c r="AZ56" s="11">
        <v>78.341601704404624</v>
      </c>
      <c r="BA56" s="11">
        <v>4406.5899761047776</v>
      </c>
      <c r="BB56" s="11">
        <v>4484.9315778091823</v>
      </c>
      <c r="BD56" s="63">
        <v>1.6517063835849614E-2</v>
      </c>
      <c r="BE56" s="63">
        <v>0.21060486054775859</v>
      </c>
      <c r="BF56" s="63">
        <v>0.17473827383075974</v>
      </c>
      <c r="BH56" s="381">
        <v>3216.3413054544862</v>
      </c>
      <c r="BI56" s="381">
        <v>3601.6217667488163</v>
      </c>
      <c r="BJ56" s="381">
        <v>9679.9282577724007</v>
      </c>
      <c r="BK56" s="381">
        <v>13281.550024521217</v>
      </c>
      <c r="BL56" s="381">
        <v>16497.891329975704</v>
      </c>
      <c r="BM56" s="381"/>
      <c r="BN56" s="381">
        <v>348.2535078712387</v>
      </c>
      <c r="BO56" s="381">
        <v>178.12966781919681</v>
      </c>
      <c r="BP56" s="381">
        <v>293.2696578777884</v>
      </c>
      <c r="BQ56" s="381">
        <v>471.39932569698522</v>
      </c>
      <c r="BR56" s="381">
        <v>819.65283356822397</v>
      </c>
      <c r="BS56" s="381"/>
      <c r="BT56" s="381">
        <v>3564.5948133257248</v>
      </c>
      <c r="BU56" s="381">
        <v>13752.949350218201</v>
      </c>
      <c r="BV56" s="381">
        <v>17317.544163543927</v>
      </c>
      <c r="BX56">
        <v>0.84499999999999997</v>
      </c>
      <c r="BY56">
        <v>1</v>
      </c>
      <c r="CA56" s="144">
        <v>8.4850353382374163E-2</v>
      </c>
      <c r="CB56" s="144">
        <v>0.16877664447208604</v>
      </c>
      <c r="CC56" s="144">
        <v>0.13575408266084557</v>
      </c>
      <c r="CD56" s="144">
        <v>0.14942991340085132</v>
      </c>
      <c r="CE56" s="144">
        <v>0.30981071257771403</v>
      </c>
      <c r="CF56" s="144">
        <v>0.24654237263612316</v>
      </c>
      <c r="CG56" s="144">
        <v>9.1588692088631088E-2</v>
      </c>
      <c r="CH56" s="144">
        <v>0.15371809368663861</v>
      </c>
      <c r="CI56" s="144">
        <v>0.1415113842901991</v>
      </c>
      <c r="CK56" s="63">
        <v>8.2905663701224347E-2</v>
      </c>
      <c r="CL56" s="63">
        <v>8.2905663701224347E-2</v>
      </c>
      <c r="CM56" s="63">
        <v>0.15110448465156498</v>
      </c>
      <c r="CN56" s="63">
        <v>0.13480708456869697</v>
      </c>
      <c r="CO56" s="63">
        <v>0.12567901805359449</v>
      </c>
      <c r="CP56" s="63">
        <v>0.14784577403427246</v>
      </c>
      <c r="CQ56" s="63">
        <v>0.14784577403427246</v>
      </c>
      <c r="CR56" s="63">
        <v>0.14784577403427243</v>
      </c>
      <c r="CS56" s="63">
        <v>0.30319793321631899</v>
      </c>
      <c r="CT56" s="63">
        <v>0.24231800821443528</v>
      </c>
      <c r="CU56" s="63">
        <v>0.14098710571090953</v>
      </c>
      <c r="CV56" s="63">
        <v>8.9605967310706969E-2</v>
      </c>
      <c r="CW56" s="63">
        <v>0.1415113842901991</v>
      </c>
      <c r="CY56" s="11">
        <v>352.91243262885791</v>
      </c>
      <c r="CZ56" s="11">
        <v>395.18725732148715</v>
      </c>
      <c r="DA56" s="11">
        <v>2326.0017675350955</v>
      </c>
      <c r="DB56" s="11">
        <v>2721.1890248565828</v>
      </c>
      <c r="DC56" s="11">
        <v>3074.1014574854407</v>
      </c>
      <c r="DE56" s="11">
        <v>72.404611963925177</v>
      </c>
      <c r="DF56" s="11">
        <v>37.034542901088173</v>
      </c>
      <c r="DG56" s="11">
        <v>155.7896637670305</v>
      </c>
      <c r="DH56" s="11">
        <v>232.57280487343951</v>
      </c>
      <c r="DI56" s="11">
        <v>304.97741683736467</v>
      </c>
      <c r="DK56" s="11">
        <v>425.31704459278308</v>
      </c>
      <c r="DL56" s="11">
        <v>2953.7618297300223</v>
      </c>
      <c r="DM56" s="11">
        <v>3379.0788743228054</v>
      </c>
      <c r="DO56" s="381">
        <v>4159.2335041726283</v>
      </c>
      <c r="DP56" s="381">
        <v>4657.4615374976011</v>
      </c>
      <c r="DQ56" s="381">
        <v>13781.538167265748</v>
      </c>
      <c r="DR56" s="381">
        <v>18438.999704763348</v>
      </c>
      <c r="DS56" s="381">
        <v>22598.233208935977</v>
      </c>
      <c r="DU56" s="381">
        <v>484.53894080562776</v>
      </c>
      <c r="DV56" s="381">
        <v>247.83888351552227</v>
      </c>
      <c r="DW56" s="381">
        <v>502.85434764607004</v>
      </c>
      <c r="DX56" s="381">
        <v>750.69323116159228</v>
      </c>
      <c r="DY56" s="381">
        <v>1235.23217196722</v>
      </c>
      <c r="EA56" s="381">
        <v>4643.7724449782563</v>
      </c>
      <c r="EB56" s="381">
        <v>19189.692935924941</v>
      </c>
      <c r="EC56" s="381">
        <v>23833.465380903195</v>
      </c>
      <c r="EE56" s="63">
        <v>7.7782705899322083E-2</v>
      </c>
      <c r="EF56" s="63">
        <v>8.4888446623253094E-2</v>
      </c>
      <c r="EG56" s="63">
        <v>8.209254370387073E-2</v>
      </c>
      <c r="EH56" s="63">
        <v>0.13240364009980921</v>
      </c>
      <c r="EI56" s="63">
        <v>0.13458354854136778</v>
      </c>
      <c r="EJ56" s="63">
        <v>0.13328374169678464</v>
      </c>
      <c r="EK56" s="63">
        <v>8.3481945023740858E-2</v>
      </c>
      <c r="EL56" s="63">
        <v>8.506351625308535E-2</v>
      </c>
      <c r="EM56" s="63">
        <v>8.4752781240517688E-2</v>
      </c>
      <c r="EO56" s="11">
        <v>323.51643642166636</v>
      </c>
      <c r="EP56" s="11">
        <v>362.26996100858037</v>
      </c>
      <c r="EQ56" s="11">
        <v>1169.8933670982638</v>
      </c>
      <c r="ER56" s="11">
        <v>1532.1633281068441</v>
      </c>
      <c r="ES56" s="11">
        <v>1855.6797645285105</v>
      </c>
      <c r="EU56" s="11">
        <v>64.154719532771097</v>
      </c>
      <c r="EV56" s="11">
        <v>32.814770335727744</v>
      </c>
      <c r="EW56" s="11">
        <v>67.675922505662697</v>
      </c>
      <c r="EX56" s="11">
        <v>100.49069284139044</v>
      </c>
      <c r="EY56" s="11">
        <v>164.64541237416154</v>
      </c>
      <c r="FA56" s="11">
        <v>387.67115595443744</v>
      </c>
      <c r="FB56" s="11">
        <v>1632.6540209482346</v>
      </c>
      <c r="FC56" s="11">
        <v>2020.325176902672</v>
      </c>
      <c r="FE56" s="63">
        <v>7.0676474830520695E-3</v>
      </c>
      <c r="FF56" s="63">
        <v>8.388819784883296E-2</v>
      </c>
      <c r="FG56" s="63">
        <v>5.3661538956974862E-2</v>
      </c>
      <c r="FH56" s="63">
        <v>1.7026273301042127E-2</v>
      </c>
      <c r="FI56" s="63">
        <v>0.17522716403634625</v>
      </c>
      <c r="FJ56" s="63">
        <v>8.0897238670363844E-2</v>
      </c>
      <c r="FK56" s="63">
        <v>8.1067470648902313E-3</v>
      </c>
      <c r="FL56" s="63">
        <v>6.6561662895137721E-2</v>
      </c>
      <c r="FM56" s="63">
        <v>5.5076888344274447E-2</v>
      </c>
      <c r="FO56" s="11">
        <v>29.395996207191516</v>
      </c>
      <c r="FP56" s="11">
        <v>32.917296312906743</v>
      </c>
      <c r="FQ56" s="11">
        <v>1156.1084004368317</v>
      </c>
      <c r="FR56" s="11">
        <v>1189.0256967497385</v>
      </c>
      <c r="FS56" s="11">
        <v>1218.42169295693</v>
      </c>
      <c r="FU56" s="11">
        <v>8.2498924311540911</v>
      </c>
      <c r="FV56" s="11">
        <v>4.2197725653604268</v>
      </c>
      <c r="FW56" s="11">
        <v>88.113741261367792</v>
      </c>
      <c r="FX56" s="11">
        <v>92.333513826728222</v>
      </c>
      <c r="FY56" s="11">
        <v>100.58340625788232</v>
      </c>
      <c r="GA56" s="11">
        <v>37.64588863834561</v>
      </c>
      <c r="GB56" s="11">
        <v>1281.3592105764667</v>
      </c>
      <c r="GC56" s="11">
        <v>1319.0050992148124</v>
      </c>
      <c r="GE56" s="63">
        <v>2.2919052232889984E-2</v>
      </c>
      <c r="GF56" s="63">
        <v>0.10470737746799953</v>
      </c>
      <c r="GG56" s="63">
        <v>7.4215555140404926E-2</v>
      </c>
      <c r="GH56" s="63">
        <v>1.0601219866395586E-2</v>
      </c>
      <c r="GI56" s="63">
        <v>2.6626943487570991E-2</v>
      </c>
      <c r="GJ56" s="63">
        <v>1.7134435661178116E-2</v>
      </c>
      <c r="GK56" s="63">
        <v>2.1648139445046708E-2</v>
      </c>
      <c r="GL56" s="63">
        <v>8.282036076821106E-2</v>
      </c>
      <c r="GM56" s="63">
        <v>7.1413052299963767E-2</v>
      </c>
      <c r="GO56" s="11">
        <v>97.561711901928987</v>
      </c>
      <c r="GP56" s="11">
        <v>109.24847577319305</v>
      </c>
      <c r="GQ56" s="11">
        <v>1611.7956103429847</v>
      </c>
      <c r="GR56" s="11">
        <v>1721.0440861161778</v>
      </c>
      <c r="GS56" s="11">
        <v>1818.6057980181067</v>
      </c>
      <c r="GU56" s="11">
        <v>5.1917426506400748</v>
      </c>
      <c r="GV56" s="11">
        <v>2.6555465282009583</v>
      </c>
      <c r="GW56" s="11">
        <v>13.755747817003925</v>
      </c>
      <c r="GX56" s="11">
        <v>16.411294345204883</v>
      </c>
      <c r="GY56" s="11">
        <v>21.60303699584496</v>
      </c>
      <c r="GZ56" s="11">
        <v>102.75345455256907</v>
      </c>
      <c r="HA56" s="11">
        <v>1737.4553804613827</v>
      </c>
      <c r="HB56" s="11">
        <v>1840.2088350139518</v>
      </c>
      <c r="HD56" s="11">
        <v>126.9577081091205</v>
      </c>
      <c r="HE56" s="11">
        <v>142.16577208609979</v>
      </c>
      <c r="HF56" s="11">
        <v>2767.9040107798164</v>
      </c>
      <c r="HG56" s="11">
        <v>2910.0697828659163</v>
      </c>
      <c r="HH56" s="11">
        <v>3037.0274909750369</v>
      </c>
      <c r="HI56" s="11">
        <v>0</v>
      </c>
      <c r="HJ56" s="11">
        <v>13.441635081794166</v>
      </c>
      <c r="HK56" s="11">
        <v>6.8753190935613855</v>
      </c>
      <c r="HL56" s="11">
        <v>20.316954175355551</v>
      </c>
      <c r="HM56" s="11">
        <v>20.316954175355551</v>
      </c>
      <c r="HN56" s="11">
        <v>126.9577081091205</v>
      </c>
      <c r="HO56" s="11">
        <v>2930.3867370412718</v>
      </c>
      <c r="HP56" s="11">
        <v>3057.3444451503924</v>
      </c>
      <c r="HR56" s="381">
        <v>4256.7952160745572</v>
      </c>
      <c r="HS56" s="381">
        <v>4766.7100132707947</v>
      </c>
      <c r="HT56" s="381">
        <v>15393.333777608732</v>
      </c>
      <c r="HU56" s="381">
        <v>20160.043790879528</v>
      </c>
      <c r="HV56" s="381">
        <v>24416.839006954084</v>
      </c>
      <c r="HX56" s="381">
        <v>489.73068345626785</v>
      </c>
      <c r="HY56" s="381">
        <v>250.49443004372324</v>
      </c>
      <c r="HZ56" s="381">
        <v>516.610095463074</v>
      </c>
      <c r="IA56" s="381">
        <v>767.10452550679724</v>
      </c>
      <c r="IB56" s="381">
        <v>1256.835208963065</v>
      </c>
      <c r="ID56" s="381">
        <v>4746.525899530825</v>
      </c>
      <c r="IE56" s="381">
        <v>20927.148316386327</v>
      </c>
      <c r="IF56" s="381">
        <v>25673.674215917148</v>
      </c>
      <c r="IH56" s="144">
        <v>7.5999999999999998E-2</v>
      </c>
      <c r="II56" s="144">
        <v>7.6000000000000012E-2</v>
      </c>
      <c r="IJ56" s="144">
        <v>7.6000000000000012E-2</v>
      </c>
      <c r="IK56" s="144">
        <v>0.13100000000000001</v>
      </c>
      <c r="IL56" s="144">
        <v>0.13100000000000001</v>
      </c>
      <c r="IM56" s="144">
        <v>0.13099999999999998</v>
      </c>
      <c r="IN56" s="144">
        <v>8.1674716236723205E-2</v>
      </c>
      <c r="IO56" s="144">
        <v>7.8018525148792234E-2</v>
      </c>
      <c r="IP56" s="144">
        <v>7.8700326441221213E-2</v>
      </c>
      <c r="IR56" s="144">
        <v>2.9824715934114333E-2</v>
      </c>
      <c r="IS56" s="144">
        <v>0.14434838599817137</v>
      </c>
      <c r="IT56" s="144">
        <v>0.12438250054030625</v>
      </c>
      <c r="IU56" s="144">
        <v>2.7446993900668022E-2</v>
      </c>
      <c r="IV56" s="144">
        <v>0.14176009208144025</v>
      </c>
      <c r="IW56" s="144">
        <v>9.7217552772519436E-2</v>
      </c>
      <c r="IX56" s="144">
        <v>2.9579390519030479E-2</v>
      </c>
      <c r="IY56" s="144">
        <v>0.14425350962290759</v>
      </c>
      <c r="IZ56" s="144">
        <v>0.12305266116799585</v>
      </c>
    </row>
    <row r="57" spans="2:260" x14ac:dyDescent="0.3">
      <c r="B57">
        <v>2013</v>
      </c>
      <c r="C57">
        <v>15011</v>
      </c>
      <c r="E57">
        <v>129</v>
      </c>
      <c r="F57">
        <v>494</v>
      </c>
      <c r="G57">
        <v>152</v>
      </c>
      <c r="H57">
        <v>322</v>
      </c>
      <c r="J57">
        <v>5421</v>
      </c>
      <c r="K57">
        <v>2043</v>
      </c>
      <c r="L57">
        <v>7375</v>
      </c>
      <c r="M57">
        <v>9418</v>
      </c>
      <c r="N57">
        <v>14839</v>
      </c>
      <c r="P57">
        <v>131</v>
      </c>
      <c r="Q57">
        <v>34</v>
      </c>
      <c r="R57">
        <v>103</v>
      </c>
      <c r="S57">
        <v>137</v>
      </c>
      <c r="T57">
        <v>268</v>
      </c>
      <c r="V57">
        <v>5552</v>
      </c>
      <c r="W57">
        <v>9555</v>
      </c>
      <c r="X57">
        <v>15107</v>
      </c>
      <c r="AJ57" s="63">
        <v>2.6325279480706815E-2</v>
      </c>
      <c r="AK57" s="63">
        <v>0.47953998395292857</v>
      </c>
      <c r="AL57" s="405">
        <v>3586</v>
      </c>
      <c r="AN57" s="11">
        <v>137.1147796536869</v>
      </c>
      <c r="AO57" s="11">
        <v>51.674136659745855</v>
      </c>
      <c r="AP57" s="11">
        <v>3736.0055298009966</v>
      </c>
      <c r="AQ57" s="11">
        <v>3787.6796664607423</v>
      </c>
      <c r="AR57" s="11">
        <v>3924.7944461144293</v>
      </c>
      <c r="AS57" s="11"/>
      <c r="AT57" s="11">
        <v>3.3134174754903118</v>
      </c>
      <c r="AU57" s="11">
        <v>0.85997094783718009</v>
      </c>
      <c r="AV57" s="11">
        <v>50.287677849495672</v>
      </c>
      <c r="AW57" s="11">
        <v>51.147648797332856</v>
      </c>
      <c r="AX57" s="11">
        <v>54.461066272823167</v>
      </c>
      <c r="AY57" s="11"/>
      <c r="AZ57" s="11">
        <v>140.42819712917722</v>
      </c>
      <c r="BA57" s="11">
        <v>3838.827315258075</v>
      </c>
      <c r="BB57" s="11">
        <v>3979.2555123872521</v>
      </c>
      <c r="BD57" s="63">
        <v>1.9409814289270758E-2</v>
      </c>
      <c r="BE57" s="63">
        <v>0.26397288426090676</v>
      </c>
      <c r="BF57" s="63">
        <v>0.18272397682931071</v>
      </c>
      <c r="BH57" s="381">
        <v>5428.144871540253</v>
      </c>
      <c r="BI57" s="381">
        <v>2045.69267156553</v>
      </c>
      <c r="BJ57" s="381">
        <v>7574.3981481481487</v>
      </c>
      <c r="BK57" s="381">
        <v>9620.0908197136778</v>
      </c>
      <c r="BL57" s="381">
        <v>15048.235691253931</v>
      </c>
      <c r="BM57" s="381"/>
      <c r="BN57" s="381">
        <v>131.17265784389841</v>
      </c>
      <c r="BO57" s="381">
        <v>34.044811959485081</v>
      </c>
      <c r="BP57" s="381">
        <v>105.78481481481482</v>
      </c>
      <c r="BQ57" s="381">
        <v>139.8296267742999</v>
      </c>
      <c r="BR57" s="381">
        <v>271.0022846181983</v>
      </c>
      <c r="BS57" s="381"/>
      <c r="BT57" s="381">
        <v>5559.3175293841514</v>
      </c>
      <c r="BU57" s="381">
        <v>9759.9204464879786</v>
      </c>
      <c r="BV57" s="381">
        <v>15319.237975872129</v>
      </c>
      <c r="BX57">
        <v>0.84499999999999997</v>
      </c>
      <c r="BY57">
        <v>1</v>
      </c>
      <c r="CA57" s="144">
        <v>7.6080003536067906E-2</v>
      </c>
      <c r="CB57" s="144">
        <v>0.16469901844164461</v>
      </c>
      <c r="CC57" s="144">
        <v>0.12235639728704109</v>
      </c>
      <c r="CD57" s="144">
        <v>0.16731131750945993</v>
      </c>
      <c r="CE57" s="144">
        <v>0.29118572756857275</v>
      </c>
      <c r="CF57" s="144">
        <v>0.2344461642420797</v>
      </c>
      <c r="CG57" s="144">
        <v>7.8462302226165723E-2</v>
      </c>
      <c r="CH57" s="144">
        <v>0.14934144449969006</v>
      </c>
      <c r="CI57" s="144">
        <v>0.124588066767087</v>
      </c>
      <c r="CK57" s="63">
        <v>7.4956843617994165E-2</v>
      </c>
      <c r="CL57" s="63">
        <v>7.4956843617994179E-2</v>
      </c>
      <c r="CM57" s="63">
        <v>0.15160210048042902</v>
      </c>
      <c r="CN57" s="63">
        <v>0.13706881723854208</v>
      </c>
      <c r="CO57" s="63">
        <v>0.11627830572875356</v>
      </c>
      <c r="CP57" s="63">
        <v>0.16639548409168664</v>
      </c>
      <c r="CQ57" s="63">
        <v>0.16639548409168664</v>
      </c>
      <c r="CR57" s="63">
        <v>0.16639548409168661</v>
      </c>
      <c r="CS57" s="63">
        <v>0.28706257600085627</v>
      </c>
      <c r="CT57" s="63">
        <v>0.23205476337111117</v>
      </c>
      <c r="CU57" s="63">
        <v>0.13942402459006892</v>
      </c>
      <c r="CV57" s="63">
        <v>7.732283156821769E-2</v>
      </c>
      <c r="CW57" s="63">
        <v>0.124588066767087</v>
      </c>
      <c r="CY57" s="11">
        <v>528.96980066106426</v>
      </c>
      <c r="CZ57" s="11">
        <v>199.35165149429156</v>
      </c>
      <c r="DA57" s="11">
        <v>1767.4186779925271</v>
      </c>
      <c r="DB57" s="11">
        <v>1966.7703294868188</v>
      </c>
      <c r="DC57" s="11">
        <v>2495.7401301478831</v>
      </c>
      <c r="DE57" s="11">
        <v>31.190997693832532</v>
      </c>
      <c r="DF57" s="11">
        <v>8.0953734472542447</v>
      </c>
      <c r="DG57" s="11">
        <v>51.428546670705586</v>
      </c>
      <c r="DH57" s="11">
        <v>65.517594813218423</v>
      </c>
      <c r="DI57" s="11">
        <v>96.708592507050952</v>
      </c>
      <c r="DK57" s="11">
        <v>560.16079835489677</v>
      </c>
      <c r="DL57" s="11">
        <v>2032.2879243000373</v>
      </c>
      <c r="DM57" s="11">
        <v>2592.448722654934</v>
      </c>
      <c r="DO57" s="381">
        <v>6952.8098853240854</v>
      </c>
      <c r="DP57" s="381">
        <v>2620.2897243529069</v>
      </c>
      <c r="DQ57" s="381">
        <v>10731.203468700396</v>
      </c>
      <c r="DR57" s="381">
        <v>13351.493193053302</v>
      </c>
      <c r="DS57" s="381">
        <v>20304.303078377387</v>
      </c>
      <c r="DU57" s="381">
        <v>186.42491230199633</v>
      </c>
      <c r="DV57" s="381">
        <v>48.385091742502865</v>
      </c>
      <c r="DW57" s="381">
        <v>176.61767662906632</v>
      </c>
      <c r="DX57" s="381">
        <v>225.00276837156918</v>
      </c>
      <c r="DY57" s="381">
        <v>411.42768067356553</v>
      </c>
      <c r="EA57" s="381">
        <v>7139.2347976260817</v>
      </c>
      <c r="EB57" s="381">
        <v>13576.495961424871</v>
      </c>
      <c r="EC57" s="381">
        <v>20715.730759050952</v>
      </c>
      <c r="EE57" s="63">
        <v>6.9018917963224902E-2</v>
      </c>
      <c r="EF57" s="63">
        <v>7.3874525607101532E-2</v>
      </c>
      <c r="EG57" s="63">
        <v>7.155449129889882E-2</v>
      </c>
      <c r="EH57" s="63">
        <v>0.13875954592363263</v>
      </c>
      <c r="EI57" s="63">
        <v>0.14032566248256625</v>
      </c>
      <c r="EJ57" s="63">
        <v>0.13942213551404625</v>
      </c>
      <c r="EK57" s="63">
        <v>7.0840036167059334E-2</v>
      </c>
      <c r="EL57" s="63">
        <v>7.4014258192580562E-2</v>
      </c>
      <c r="EM57" s="63">
        <v>7.2905713220328197E-2</v>
      </c>
      <c r="EO57" s="11">
        <v>479.8754150890822</v>
      </c>
      <c r="EP57" s="11">
        <v>180.84956152499447</v>
      </c>
      <c r="EQ57" s="11">
        <v>792.76256544352418</v>
      </c>
      <c r="ER57" s="11">
        <v>973.61212696851862</v>
      </c>
      <c r="ES57" s="11">
        <v>1453.4875420576009</v>
      </c>
      <c r="EU57" s="11">
        <v>25.868236179878046</v>
      </c>
      <c r="EV57" s="11">
        <v>6.7138933596630039</v>
      </c>
      <c r="EW57" s="11">
        <v>24.78399247910539</v>
      </c>
      <c r="EX57" s="11">
        <v>31.497885838768394</v>
      </c>
      <c r="EY57" s="11">
        <v>57.366122018646436</v>
      </c>
      <c r="FA57" s="11">
        <v>505.74365126896026</v>
      </c>
      <c r="FB57" s="11">
        <v>1005.110012807287</v>
      </c>
      <c r="FC57" s="11">
        <v>1510.8536640762472</v>
      </c>
      <c r="FE57" s="63">
        <v>7.0610855728429987E-3</v>
      </c>
      <c r="FF57" s="63">
        <v>9.082449283454308E-2</v>
      </c>
      <c r="FG57" s="63">
        <v>5.0801905988142271E-2</v>
      </c>
      <c r="FH57" s="63">
        <v>2.8551771585827314E-2</v>
      </c>
      <c r="FI57" s="63">
        <v>0.1508600650860065</v>
      </c>
      <c r="FJ57" s="63">
        <v>8.0297729849401658E-2</v>
      </c>
      <c r="FK57" s="63">
        <v>7.6222660591063916E-3</v>
      </c>
      <c r="FL57" s="63">
        <v>7.4876647303685179E-2</v>
      </c>
      <c r="FM57" s="63">
        <v>5.1389157899607005E-2</v>
      </c>
      <c r="FO57" s="11">
        <v>49.09438557198208</v>
      </c>
      <c r="FP57" s="11">
        <v>18.502089969297067</v>
      </c>
      <c r="FQ57" s="11">
        <v>974.65611254900296</v>
      </c>
      <c r="FR57" s="11">
        <v>993.15820251830007</v>
      </c>
      <c r="FS57" s="11">
        <v>1042.2525880902822</v>
      </c>
      <c r="FU57" s="11">
        <v>5.3227615139544877</v>
      </c>
      <c r="FV57" s="11">
        <v>1.3814800875912412</v>
      </c>
      <c r="FW57" s="11">
        <v>26.644554191600193</v>
      </c>
      <c r="FX57" s="11">
        <v>28.026034279191435</v>
      </c>
      <c r="FY57" s="11">
        <v>33.348795793145925</v>
      </c>
      <c r="GA57" s="11">
        <v>54.41714708593657</v>
      </c>
      <c r="GB57" s="11">
        <v>1021.1842367974915</v>
      </c>
      <c r="GC57" s="11">
        <v>1075.6013838834281</v>
      </c>
      <c r="GE57" s="63">
        <v>1.4762879414710621E-2</v>
      </c>
      <c r="GF57" s="63">
        <v>7.9520315816915571E-2</v>
      </c>
      <c r="GG57" s="63">
        <v>4.967530667014218E-2</v>
      </c>
      <c r="GH57" s="63">
        <v>5.473828258638385E-3</v>
      </c>
      <c r="GI57" s="63">
        <v>1.657332266544748E-2</v>
      </c>
      <c r="GJ57" s="63">
        <v>1.0200213250233549E-2</v>
      </c>
      <c r="GK57" s="63">
        <v>1.4522523882405873E-2</v>
      </c>
      <c r="GL57" s="63">
        <v>6.640768704792939E-2</v>
      </c>
      <c r="GM57" s="63">
        <v>4.892011582826801E-2</v>
      </c>
      <c r="GO57" s="11">
        <v>104.18151304476949</v>
      </c>
      <c r="GP57" s="11">
        <v>39.262651014658573</v>
      </c>
      <c r="GQ57" s="11">
        <v>927.06955252790056</v>
      </c>
      <c r="GR57" s="11">
        <v>966.33220354255911</v>
      </c>
      <c r="GS57" s="11">
        <v>1070.5137165873286</v>
      </c>
      <c r="GU57" s="11">
        <v>1.0260745087141181</v>
      </c>
      <c r="GV57" s="11">
        <v>0.26630941447541995</v>
      </c>
      <c r="GW57" s="11">
        <v>2.9764717702480961</v>
      </c>
      <c r="GX57" s="11">
        <v>3.242781184723516</v>
      </c>
      <c r="GY57" s="11">
        <v>4.2688556934376338</v>
      </c>
      <c r="GZ57" s="11">
        <v>105.20758755348361</v>
      </c>
      <c r="HA57" s="11">
        <v>969.57498472728264</v>
      </c>
      <c r="HB57" s="11">
        <v>1074.7825722807663</v>
      </c>
      <c r="HD57" s="11">
        <v>153.27589861675156</v>
      </c>
      <c r="HE57" s="11">
        <v>57.76474098395564</v>
      </c>
      <c r="HF57" s="11">
        <v>1901.7256650769036</v>
      </c>
      <c r="HG57" s="11">
        <v>1959.4904060608592</v>
      </c>
      <c r="HH57" s="11">
        <v>2112.7663046776106</v>
      </c>
      <c r="HI57" s="11">
        <v>0</v>
      </c>
      <c r="HJ57" s="11">
        <v>6.348836022668606</v>
      </c>
      <c r="HK57" s="11">
        <v>1.6477895020666611</v>
      </c>
      <c r="HL57" s="11">
        <v>7.9966255247352667</v>
      </c>
      <c r="HM57" s="11">
        <v>7.9966255247352667</v>
      </c>
      <c r="HN57" s="11">
        <v>153.27589861675156</v>
      </c>
      <c r="HO57" s="11">
        <v>1967.4870315855944</v>
      </c>
      <c r="HP57" s="11">
        <v>2120.7629302023461</v>
      </c>
      <c r="HR57" s="381">
        <v>7056.9913983688548</v>
      </c>
      <c r="HS57" s="381">
        <v>2659.5523753675657</v>
      </c>
      <c r="HT57" s="381">
        <v>11658.273021228297</v>
      </c>
      <c r="HU57" s="381">
        <v>14317.825396595863</v>
      </c>
      <c r="HV57" s="381">
        <v>21374.816794964718</v>
      </c>
      <c r="HX57" s="381">
        <v>187.45098681071045</v>
      </c>
      <c r="HY57" s="381">
        <v>48.651401156978288</v>
      </c>
      <c r="HZ57" s="381">
        <v>179.59414839931443</v>
      </c>
      <c r="IA57" s="381">
        <v>228.24554955629273</v>
      </c>
      <c r="IB57" s="381">
        <v>415.6965363670032</v>
      </c>
      <c r="ID57" s="381">
        <v>7244.4423851795655</v>
      </c>
      <c r="IE57" s="381">
        <v>14546.070946152156</v>
      </c>
      <c r="IF57" s="381">
        <v>21790.51333133172</v>
      </c>
      <c r="IH57" s="144">
        <v>6.8000000000000005E-2</v>
      </c>
      <c r="II57" s="144">
        <v>6.7999999999999991E-2</v>
      </c>
      <c r="IJ57" s="144">
        <v>6.8000000000000005E-2</v>
      </c>
      <c r="IK57" s="144">
        <v>0.13800000000000001</v>
      </c>
      <c r="IL57" s="144">
        <v>0.13800000000000001</v>
      </c>
      <c r="IM57" s="144">
        <v>0.13799999999999998</v>
      </c>
      <c r="IN57" s="144">
        <v>6.9811260049992718E-2</v>
      </c>
      <c r="IO57" s="144">
        <v>6.909914249744302E-2</v>
      </c>
      <c r="IP57" s="144">
        <v>6.9339157285047248E-2</v>
      </c>
      <c r="IR57" s="144">
        <v>2.1719723032704783E-2</v>
      </c>
      <c r="IS57" s="144">
        <v>0.13685670496629593</v>
      </c>
      <c r="IT57" s="144">
        <v>9.884371524416137E-2</v>
      </c>
      <c r="IU57" s="144">
        <v>3.3869312350325011E-2</v>
      </c>
      <c r="IV57" s="144">
        <v>0.13699638623710841</v>
      </c>
      <c r="IW57" s="144">
        <v>9.0493059709721324E-2</v>
      </c>
      <c r="IX57" s="144">
        <v>2.2034095400630841E-2</v>
      </c>
      <c r="IY57" s="144">
        <v>0.13685889673536797</v>
      </c>
      <c r="IZ57" s="144">
        <v>9.868441020488683E-2</v>
      </c>
    </row>
    <row r="58" spans="2:260" x14ac:dyDescent="0.3">
      <c r="B58">
        <v>2014</v>
      </c>
      <c r="C58">
        <v>19736</v>
      </c>
      <c r="E58">
        <v>185</v>
      </c>
      <c r="F58">
        <v>1002</v>
      </c>
      <c r="G58">
        <v>309</v>
      </c>
      <c r="H58">
        <v>476</v>
      </c>
      <c r="J58">
        <v>6532</v>
      </c>
      <c r="K58">
        <v>2241</v>
      </c>
      <c r="L58">
        <v>9951</v>
      </c>
      <c r="M58">
        <v>12192</v>
      </c>
      <c r="N58">
        <v>18724</v>
      </c>
      <c r="P58">
        <v>508</v>
      </c>
      <c r="Q58">
        <v>110</v>
      </c>
      <c r="R58">
        <v>462</v>
      </c>
      <c r="S58">
        <v>572</v>
      </c>
      <c r="T58">
        <v>1080</v>
      </c>
      <c r="V58">
        <v>7040</v>
      </c>
      <c r="W58">
        <v>12764</v>
      </c>
      <c r="X58">
        <v>19804</v>
      </c>
      <c r="AJ58" s="63">
        <v>2.5541427765069367E-2</v>
      </c>
      <c r="AK58" s="63">
        <v>0.35330836454431958</v>
      </c>
      <c r="AL58" s="405">
        <v>3679</v>
      </c>
      <c r="AN58" s="11">
        <v>123.73234216824643</v>
      </c>
      <c r="AO58" s="11">
        <v>42.450119228267035</v>
      </c>
      <c r="AP58" s="11">
        <v>3776.5961154364745</v>
      </c>
      <c r="AQ58" s="11">
        <v>3819.0462346647414</v>
      </c>
      <c r="AR58" s="11">
        <v>3942.7785768329877</v>
      </c>
      <c r="AS58" s="11"/>
      <c r="AT58" s="11">
        <v>9.6227847246584801</v>
      </c>
      <c r="AU58" s="11">
        <v>2.0836738577016392</v>
      </c>
      <c r="AV58" s="11">
        <v>166.03802147363328</v>
      </c>
      <c r="AW58" s="11">
        <v>168.12169533133491</v>
      </c>
      <c r="AX58" s="11">
        <v>177.74448005599339</v>
      </c>
      <c r="AY58" s="11"/>
      <c r="AZ58" s="11">
        <v>133.35512689290491</v>
      </c>
      <c r="BA58" s="11">
        <v>3987.1679299960765</v>
      </c>
      <c r="BB58" s="11">
        <v>4120.523056888981</v>
      </c>
      <c r="BD58" s="63">
        <v>1.4426556733604677E-2</v>
      </c>
      <c r="BE58" s="63">
        <v>0.20524741844202371</v>
      </c>
      <c r="BF58" s="63">
        <v>0.14372307046235311</v>
      </c>
      <c r="BH58" s="381">
        <v>6540.3524970430663</v>
      </c>
      <c r="BI58" s="381">
        <v>2243.8655765268695</v>
      </c>
      <c r="BJ58" s="381">
        <v>10211.824579855951</v>
      </c>
      <c r="BK58" s="381">
        <v>12455.690156382821</v>
      </c>
      <c r="BL58" s="381">
        <v>18996.042653425888</v>
      </c>
      <c r="BM58" s="381"/>
      <c r="BN58" s="381">
        <v>508.64958182759915</v>
      </c>
      <c r="BO58" s="381">
        <v>110.14065748235414</v>
      </c>
      <c r="BP58" s="381">
        <v>474.10943180519035</v>
      </c>
      <c r="BQ58" s="381">
        <v>584.25008928754448</v>
      </c>
      <c r="BR58" s="381">
        <v>1092.8996711151435</v>
      </c>
      <c r="BS58" s="381"/>
      <c r="BT58" s="381">
        <v>7049.0020788706652</v>
      </c>
      <c r="BU58" s="381">
        <v>13039.940245670366</v>
      </c>
      <c r="BV58" s="381">
        <v>20088.942324541033</v>
      </c>
      <c r="BX58">
        <v>0.84499999999999997</v>
      </c>
      <c r="BY58">
        <v>1</v>
      </c>
      <c r="CA58" s="144">
        <v>8.337695257094227E-2</v>
      </c>
      <c r="CB58" s="144">
        <v>0.16505392738530072</v>
      </c>
      <c r="CC58" s="144">
        <v>0.12867599190234633</v>
      </c>
      <c r="CD58" s="144">
        <v>0.14295225245483847</v>
      </c>
      <c r="CE58" s="144">
        <v>0.23427992644441809</v>
      </c>
      <c r="CF58" s="144">
        <v>0.19340745665544057</v>
      </c>
      <c r="CG58" s="144">
        <v>8.7951731326735547E-2</v>
      </c>
      <c r="CH58" s="144">
        <v>0.15518060224563118</v>
      </c>
      <c r="CI58" s="144">
        <v>0.13243395405155495</v>
      </c>
      <c r="CK58" s="63">
        <v>8.2337924054293424E-2</v>
      </c>
      <c r="CL58" s="63">
        <v>8.233792405429341E-2</v>
      </c>
      <c r="CM58" s="63">
        <v>0.15317094627016253</v>
      </c>
      <c r="CN58" s="63">
        <v>0.14172323967635858</v>
      </c>
      <c r="CO58" s="63">
        <v>0.12270666653139323</v>
      </c>
      <c r="CP58" s="63">
        <v>0.14243976398536115</v>
      </c>
      <c r="CQ58" s="63">
        <v>0.14243976398536115</v>
      </c>
      <c r="CR58" s="63">
        <v>0.14243976398536112</v>
      </c>
      <c r="CS58" s="63">
        <v>0.23043187044689517</v>
      </c>
      <c r="CT58" s="63">
        <v>0.19133416517525265</v>
      </c>
      <c r="CU58" s="63">
        <v>0.14583173595653434</v>
      </c>
      <c r="CV58" s="63">
        <v>8.69151513736586E-2</v>
      </c>
      <c r="CW58" s="63">
        <v>0.13243395405155495</v>
      </c>
      <c r="CY58" s="11">
        <v>704.04382111299697</v>
      </c>
      <c r="CZ58" s="11">
        <v>241.54350935612769</v>
      </c>
      <c r="DA58" s="11">
        <v>2388.9885775953135</v>
      </c>
      <c r="DB58" s="11">
        <v>2630.5320869514412</v>
      </c>
      <c r="DC58" s="11">
        <v>3334.5759080644384</v>
      </c>
      <c r="DE58" s="11">
        <v>100.4032955103708</v>
      </c>
      <c r="DF58" s="11">
        <v>21.740871075080292</v>
      </c>
      <c r="DG58" s="11">
        <v>171.66704553435912</v>
      </c>
      <c r="DH58" s="11">
        <v>207.29747170002244</v>
      </c>
      <c r="DI58" s="11">
        <v>307.70076721039322</v>
      </c>
      <c r="DK58" s="11">
        <v>804.44711662336772</v>
      </c>
      <c r="DL58" s="11">
        <v>2837.8295586514637</v>
      </c>
      <c r="DM58" s="11">
        <v>3642.2766752748316</v>
      </c>
      <c r="DO58" s="381">
        <v>8444.1059477911822</v>
      </c>
      <c r="DP58" s="381">
        <v>2897.0057300979852</v>
      </c>
      <c r="DQ58" s="381">
        <v>14473.988080383422</v>
      </c>
      <c r="DR58" s="381">
        <v>17370.993810481406</v>
      </c>
      <c r="DS58" s="381">
        <v>25815.09975827259</v>
      </c>
      <c r="DU58" s="381">
        <v>702.35546335368338</v>
      </c>
      <c r="DV58" s="381">
        <v>152.08484442697869</v>
      </c>
      <c r="DW58" s="381">
        <v>732.74329619138916</v>
      </c>
      <c r="DX58" s="381">
        <v>884.8281406183678</v>
      </c>
      <c r="DY58" s="381">
        <v>1587.1836039720511</v>
      </c>
      <c r="EA58" s="381">
        <v>9146.4614111448664</v>
      </c>
      <c r="EB58" s="381">
        <v>18255.821951099773</v>
      </c>
      <c r="EC58" s="381">
        <v>27402.283362244641</v>
      </c>
      <c r="EE58" s="63">
        <v>7.5946430695742098E-2</v>
      </c>
      <c r="EF58" s="63">
        <v>8.0818489768049256E-2</v>
      </c>
      <c r="EG58" s="63">
        <v>7.8648533657353845E-2</v>
      </c>
      <c r="EH58" s="63">
        <v>0.13448212277940186</v>
      </c>
      <c r="EI58" s="63">
        <v>0.13661116383912683</v>
      </c>
      <c r="EJ58" s="63">
        <v>0.13545202012453297</v>
      </c>
      <c r="EK58" s="63">
        <v>8.0441378117271881E-2</v>
      </c>
      <c r="EL58" s="63">
        <v>8.2715773345096361E-2</v>
      </c>
      <c r="EM58" s="63">
        <v>8.1946239848631391E-2</v>
      </c>
      <c r="EO58" s="11">
        <v>641.29970715142667</v>
      </c>
      <c r="EP58" s="11">
        <v>220.01724490605437</v>
      </c>
      <c r="EQ58" s="11">
        <v>1169.7658575773346</v>
      </c>
      <c r="ER58" s="11">
        <v>1389.783102483389</v>
      </c>
      <c r="ES58" s="11">
        <v>2031.0828096348157</v>
      </c>
      <c r="EU58" s="11">
        <v>94.454253657513732</v>
      </c>
      <c r="EV58" s="11">
        <v>20.452692721115177</v>
      </c>
      <c r="EW58" s="11">
        <v>100.1009144880237</v>
      </c>
      <c r="EX58" s="11">
        <v>120.55360720913887</v>
      </c>
      <c r="EY58" s="11">
        <v>215.00786086665261</v>
      </c>
      <c r="FA58" s="11">
        <v>735.75396080894041</v>
      </c>
      <c r="FB58" s="11">
        <v>1510.3367096925278</v>
      </c>
      <c r="FC58" s="11">
        <v>2246.0906705014681</v>
      </c>
      <c r="FE58" s="63">
        <v>7.430521875200176E-3</v>
      </c>
      <c r="FF58" s="63">
        <v>8.4235437617251455E-2</v>
      </c>
      <c r="FG58" s="63">
        <v>5.0027458244992482E-2</v>
      </c>
      <c r="FH58" s="63">
        <v>8.4701296754366232E-3</v>
      </c>
      <c r="FI58" s="63">
        <v>9.7668762605291254E-2</v>
      </c>
      <c r="FJ58" s="63">
        <v>4.9105098584475447E-2</v>
      </c>
      <c r="FK58" s="63">
        <v>7.51035320946366E-3</v>
      </c>
      <c r="FL58" s="63">
        <v>7.1688284739215763E-2</v>
      </c>
      <c r="FM58" s="63">
        <v>4.9973910983156199E-2</v>
      </c>
      <c r="FO58" s="11">
        <v>62.744113961570292</v>
      </c>
      <c r="FP58" s="11">
        <v>21.526264450073334</v>
      </c>
      <c r="FQ58" s="11">
        <v>1219.2227200179789</v>
      </c>
      <c r="FR58" s="11">
        <v>1240.7489844680522</v>
      </c>
      <c r="FS58" s="11">
        <v>1303.4930984296225</v>
      </c>
      <c r="FU58" s="11">
        <v>5.9490418528570732</v>
      </c>
      <c r="FV58" s="11">
        <v>1.2881783539651144</v>
      </c>
      <c r="FW58" s="11">
        <v>71.5661310463354</v>
      </c>
      <c r="FX58" s="11">
        <v>72.854309400300508</v>
      </c>
      <c r="FY58" s="11">
        <v>78.803351253157587</v>
      </c>
      <c r="GA58" s="11">
        <v>68.693155814427371</v>
      </c>
      <c r="GB58" s="11">
        <v>1313.6032938683527</v>
      </c>
      <c r="GC58" s="11">
        <v>1382.2964496827801</v>
      </c>
      <c r="GE58" s="63">
        <v>1.2461819299101737E-2</v>
      </c>
      <c r="GF58" s="63">
        <v>7.1994537199945863E-2</v>
      </c>
      <c r="GG58" s="63">
        <v>4.6390358315506877E-2</v>
      </c>
      <c r="GH58" s="63">
        <v>3.5850324893569349E-3</v>
      </c>
      <c r="GI58" s="63">
        <v>1.9113839350653129E-2</v>
      </c>
      <c r="GJ58" s="63">
        <v>1.0719811511101848E-2</v>
      </c>
      <c r="GK58" s="63">
        <v>1.1785782240330403E-2</v>
      </c>
      <c r="GL58" s="63">
        <v>6.0245070284614684E-2</v>
      </c>
      <c r="GM58" s="63">
        <v>4.4389998560475999E-2</v>
      </c>
      <c r="GO58" s="11">
        <v>106.5568142278392</v>
      </c>
      <c r="GP58" s="11">
        <v>36.557535316072823</v>
      </c>
      <c r="GQ58" s="11">
        <v>1122.8900206477065</v>
      </c>
      <c r="GR58" s="11">
        <v>1159.4475559637792</v>
      </c>
      <c r="GS58" s="11">
        <v>1266.0043701916184</v>
      </c>
      <c r="GU58" s="11">
        <v>2.527026627762297</v>
      </c>
      <c r="GV58" s="11">
        <v>0.54719080522411945</v>
      </c>
      <c r="GW58" s="11">
        <v>14.278453719235458</v>
      </c>
      <c r="GX58" s="11">
        <v>14.825644524459577</v>
      </c>
      <c r="GY58" s="11">
        <v>17.352671152221873</v>
      </c>
      <c r="GZ58" s="11">
        <v>109.08384085560149</v>
      </c>
      <c r="HA58" s="11">
        <v>1174.2732004882389</v>
      </c>
      <c r="HB58" s="11">
        <v>1283.3570413438401</v>
      </c>
      <c r="HD58" s="11">
        <v>169.30092818940949</v>
      </c>
      <c r="HE58" s="11">
        <v>58.083799766146157</v>
      </c>
      <c r="HF58" s="11">
        <v>2342.1127406656851</v>
      </c>
      <c r="HG58" s="11">
        <v>2400.1965404318312</v>
      </c>
      <c r="HH58" s="11">
        <v>2569.4974686212408</v>
      </c>
      <c r="HI58" s="11">
        <v>0</v>
      </c>
      <c r="HJ58" s="11">
        <v>8.4760684806193698</v>
      </c>
      <c r="HK58" s="11">
        <v>1.8353691591892338</v>
      </c>
      <c r="HL58" s="11">
        <v>10.311437639808604</v>
      </c>
      <c r="HM58" s="11">
        <v>10.311437639808604</v>
      </c>
      <c r="HN58" s="11">
        <v>169.30092818940949</v>
      </c>
      <c r="HO58" s="11">
        <v>2410.5079780716396</v>
      </c>
      <c r="HP58" s="11">
        <v>2579.8089062610493</v>
      </c>
      <c r="HR58" s="381">
        <v>8550.6627620190211</v>
      </c>
      <c r="HS58" s="381">
        <v>2933.5632654140582</v>
      </c>
      <c r="HT58" s="381">
        <v>15596.878101031129</v>
      </c>
      <c r="HU58" s="381">
        <v>18530.441366445186</v>
      </c>
      <c r="HV58" s="381">
        <v>27081.104128464205</v>
      </c>
      <c r="HX58" s="381">
        <v>704.8824899814457</v>
      </c>
      <c r="HY58" s="381">
        <v>152.63203523220281</v>
      </c>
      <c r="HZ58" s="381">
        <v>747.02174991062464</v>
      </c>
      <c r="IA58" s="381">
        <v>899.65378514282747</v>
      </c>
      <c r="IB58" s="381">
        <v>1604.5362751242733</v>
      </c>
      <c r="ID58" s="381">
        <v>9255.5452520004674</v>
      </c>
      <c r="IE58" s="381">
        <v>19430.095151588015</v>
      </c>
      <c r="IF58" s="381">
        <v>28685.640403588477</v>
      </c>
      <c r="IH58" s="144">
        <v>7.5000000000000011E-2</v>
      </c>
      <c r="II58" s="144">
        <v>7.4999999999999997E-2</v>
      </c>
      <c r="IJ58" s="144">
        <v>7.4999999999999997E-2</v>
      </c>
      <c r="IK58" s="144">
        <v>0.13400000000000004</v>
      </c>
      <c r="IL58" s="144">
        <v>0.13400000000000001</v>
      </c>
      <c r="IM58" s="144">
        <v>0.13400000000000001</v>
      </c>
      <c r="IN58" s="144">
        <v>7.949331355166965E-2</v>
      </c>
      <c r="IO58" s="144">
        <v>7.7732555766274788E-2</v>
      </c>
      <c r="IP58" s="144">
        <v>7.8308646379714228E-2</v>
      </c>
      <c r="IR58" s="144">
        <v>1.9799743353395145E-2</v>
      </c>
      <c r="IS58" s="144">
        <v>0.12952721918313795</v>
      </c>
      <c r="IT58" s="144">
        <v>9.4881562303824704E-2</v>
      </c>
      <c r="IU58" s="144">
        <v>1.202479647471805E-2</v>
      </c>
      <c r="IV58" s="144">
        <v>9.7459662119734392E-2</v>
      </c>
      <c r="IW58" s="144">
        <v>5.9927608927340739E-2</v>
      </c>
      <c r="IX58" s="144">
        <v>1.920762006231936E-2</v>
      </c>
      <c r="IY58" s="144">
        <v>0.12804242464830431</v>
      </c>
      <c r="IZ58" s="144">
        <v>9.2926406854530449E-2</v>
      </c>
    </row>
    <row r="59" spans="2:260" x14ac:dyDescent="0.3">
      <c r="B59">
        <v>2015</v>
      </c>
      <c r="C59">
        <v>14316</v>
      </c>
      <c r="E59">
        <v>234</v>
      </c>
      <c r="F59">
        <v>1113</v>
      </c>
      <c r="G59">
        <v>330</v>
      </c>
      <c r="H59">
        <v>639</v>
      </c>
      <c r="J59">
        <v>4893</v>
      </c>
      <c r="K59">
        <v>1168</v>
      </c>
      <c r="L59">
        <v>8191</v>
      </c>
      <c r="M59">
        <v>9359</v>
      </c>
      <c r="N59">
        <v>14252</v>
      </c>
      <c r="P59">
        <v>84</v>
      </c>
      <c r="Q59">
        <v>0</v>
      </c>
      <c r="R59">
        <v>16</v>
      </c>
      <c r="S59">
        <v>16</v>
      </c>
      <c r="T59">
        <v>100</v>
      </c>
      <c r="V59">
        <v>4977</v>
      </c>
      <c r="W59">
        <v>9375</v>
      </c>
      <c r="X59">
        <v>14352</v>
      </c>
      <c r="AJ59" s="63">
        <v>2.3042888928671901E-2</v>
      </c>
      <c r="AK59" s="63">
        <v>0.30851711953210675</v>
      </c>
      <c r="AL59" s="405">
        <v>2532</v>
      </c>
      <c r="AN59" s="11">
        <v>81.116156069929502</v>
      </c>
      <c r="AO59" s="11">
        <v>19.363104494109475</v>
      </c>
      <c r="AP59" s="11">
        <v>2720.2598255639264</v>
      </c>
      <c r="AQ59" s="11">
        <v>2739.6229300580358</v>
      </c>
      <c r="AR59" s="11">
        <v>2820.7390861279655</v>
      </c>
      <c r="AS59" s="11"/>
      <c r="AT59" s="11">
        <v>1.3925520355352703</v>
      </c>
      <c r="AU59" s="11">
        <v>0</v>
      </c>
      <c r="AV59" s="11">
        <v>4.9362739125137081</v>
      </c>
      <c r="AW59" s="11">
        <v>4.9362739125137081</v>
      </c>
      <c r="AX59" s="11">
        <v>6.3288259480489781</v>
      </c>
      <c r="AY59" s="11"/>
      <c r="AZ59" s="11">
        <v>82.508708105464777</v>
      </c>
      <c r="BA59" s="11">
        <v>2744.5592039705493</v>
      </c>
      <c r="BB59" s="11">
        <v>2827.0679120760142</v>
      </c>
      <c r="BD59" s="63">
        <v>1.2852375793250504E-2</v>
      </c>
      <c r="BE59" s="63">
        <v>0.19040802572322144</v>
      </c>
      <c r="BF59" s="63">
        <v>0.13569610076115554</v>
      </c>
      <c r="BH59" s="381">
        <v>4898.6439454167676</v>
      </c>
      <c r="BI59" s="381">
        <v>1169.347256948045</v>
      </c>
      <c r="BJ59" s="381">
        <v>8384.1960994764395</v>
      </c>
      <c r="BK59" s="381">
        <v>9553.543356424485</v>
      </c>
      <c r="BL59" s="381">
        <v>14452.187301841252</v>
      </c>
      <c r="BM59" s="381"/>
      <c r="BN59" s="381">
        <v>84.096891766811467</v>
      </c>
      <c r="BO59" s="381">
        <v>0</v>
      </c>
      <c r="BP59" s="381">
        <v>16.37738219895288</v>
      </c>
      <c r="BQ59" s="381">
        <v>16.37738219895288</v>
      </c>
      <c r="BR59" s="381">
        <v>100.47427396576435</v>
      </c>
      <c r="BS59" s="381"/>
      <c r="BT59" s="381">
        <v>4982.7408371835791</v>
      </c>
      <c r="BU59" s="381">
        <v>9569.9207386234375</v>
      </c>
      <c r="BV59" s="381">
        <v>14552.661575807017</v>
      </c>
      <c r="BX59">
        <v>0.84499999999999997</v>
      </c>
      <c r="BY59">
        <v>1</v>
      </c>
      <c r="CA59" s="144">
        <v>7.3265984263098383E-2</v>
      </c>
      <c r="CB59" s="144">
        <v>0.18770575839877984</v>
      </c>
      <c r="CC59" s="144">
        <v>0.14268303342459526</v>
      </c>
      <c r="CD59" s="144">
        <v>0.16435501540568298</v>
      </c>
      <c r="CE59" s="144">
        <v>0.32050584345686606</v>
      </c>
      <c r="CF59" s="144">
        <v>0.19399093936993025</v>
      </c>
      <c r="CG59" s="144">
        <v>7.4967800909175791E-2</v>
      </c>
      <c r="CH59" s="144">
        <v>0.17529283824880507</v>
      </c>
      <c r="CI59" s="144">
        <v>0.14306311846356717</v>
      </c>
      <c r="CK59" s="63">
        <v>7.2660876371155217E-2</v>
      </c>
      <c r="CL59" s="63">
        <v>7.2660876371155217E-2</v>
      </c>
      <c r="CM59" s="63">
        <v>0.17799546437792202</v>
      </c>
      <c r="CN59" s="63">
        <v>0.16675094102312002</v>
      </c>
      <c r="CO59" s="63">
        <v>0.13767609376420867</v>
      </c>
      <c r="CP59" s="63">
        <v>0.16379426816786077</v>
      </c>
      <c r="CQ59" s="63">
        <v>0.16379426816786077</v>
      </c>
      <c r="CS59" s="63">
        <v>0.3170202296752605</v>
      </c>
      <c r="CT59" s="63">
        <v>0.19305261263052456</v>
      </c>
      <c r="CU59" s="63">
        <v>0.16705083409145891</v>
      </c>
      <c r="CV59" s="63">
        <v>7.4355394385259857E-2</v>
      </c>
      <c r="CW59" s="63">
        <v>0.14306311846356717</v>
      </c>
      <c r="CY59" s="11">
        <v>458.31750974707813</v>
      </c>
      <c r="CZ59" s="11">
        <v>109.4042205977084</v>
      </c>
      <c r="DA59" s="11">
        <v>2292.8146083861948</v>
      </c>
      <c r="DB59" s="11">
        <v>2402.2188289839032</v>
      </c>
      <c r="DC59" s="11">
        <v>2860.5363387309812</v>
      </c>
      <c r="DE59" s="11">
        <v>19.574216432564178</v>
      </c>
      <c r="DF59" s="11">
        <v>0</v>
      </c>
      <c r="DG59" s="11">
        <v>9.1419323042133307</v>
      </c>
      <c r="DH59" s="11">
        <v>9.1419323042133307</v>
      </c>
      <c r="DI59" s="11">
        <v>28.716148736777509</v>
      </c>
      <c r="DK59" s="11">
        <v>477.89172617964232</v>
      </c>
      <c r="DL59" s="11">
        <v>2411.3607612881165</v>
      </c>
      <c r="DM59" s="11">
        <v>2889.2524874677588</v>
      </c>
      <c r="DO59" s="381">
        <v>6255.529279471064</v>
      </c>
      <c r="DP59" s="381">
        <v>1493.247128228531</v>
      </c>
      <c r="DQ59" s="381">
        <v>12214.940169896774</v>
      </c>
      <c r="DR59" s="381">
        <v>13708.187298125305</v>
      </c>
      <c r="DS59" s="381">
        <v>19963.716577596369</v>
      </c>
      <c r="DU59" s="381">
        <v>119.09716526902746</v>
      </c>
      <c r="DV59" s="381">
        <v>0</v>
      </c>
      <c r="DW59" s="381">
        <v>28.523449699423839</v>
      </c>
      <c r="DX59" s="381">
        <v>28.523449699423839</v>
      </c>
      <c r="DY59" s="381">
        <v>147.62061496845129</v>
      </c>
      <c r="EA59" s="381">
        <v>6374.6264447400918</v>
      </c>
      <c r="EB59" s="381">
        <v>13736.710747824729</v>
      </c>
      <c r="EC59" s="381">
        <v>20111.337192564821</v>
      </c>
      <c r="EE59" s="63">
        <v>6.3524653693931399E-2</v>
      </c>
      <c r="EF59" s="63">
        <v>6.6436877031962854E-2</v>
      </c>
      <c r="EG59" s="63">
        <v>6.5291154477004482E-2</v>
      </c>
      <c r="EH59" s="63">
        <v>0.15151694625128379</v>
      </c>
      <c r="EI59" s="63">
        <v>0.15266023373827464</v>
      </c>
      <c r="EJ59" s="63">
        <v>0.15173393121035572</v>
      </c>
      <c r="EK59" s="63">
        <v>6.516861396359562E-2</v>
      </c>
      <c r="EL59" s="63">
        <v>6.6292599766090005E-2</v>
      </c>
      <c r="EM59" s="63">
        <v>6.5931515948753905E-2</v>
      </c>
      <c r="EO59" s="11">
        <v>397.38033115064752</v>
      </c>
      <c r="EP59" s="11">
        <v>94.858006700175011</v>
      </c>
      <c r="EQ59" s="11">
        <v>811.52247802021543</v>
      </c>
      <c r="ER59" s="11">
        <v>906.38048472039043</v>
      </c>
      <c r="ES59" s="11">
        <v>1303.7608158710379</v>
      </c>
      <c r="EU59" s="11">
        <v>18.045238788747493</v>
      </c>
      <c r="EV59" s="11">
        <v>0</v>
      </c>
      <c r="EW59" s="11">
        <v>4.3543964981359631</v>
      </c>
      <c r="EX59" s="11">
        <v>4.3543964981359631</v>
      </c>
      <c r="EY59" s="11">
        <v>22.399635286883456</v>
      </c>
      <c r="FA59" s="11">
        <v>415.42556993939502</v>
      </c>
      <c r="FB59" s="11">
        <v>910.73488121852643</v>
      </c>
      <c r="FC59" s="11">
        <v>1326.1604511579214</v>
      </c>
      <c r="FE59" s="63">
        <v>9.7413305691669803E-3</v>
      </c>
      <c r="FF59" s="63">
        <v>0.12126888136681696</v>
      </c>
      <c r="FG59" s="63">
        <v>7.7391878947590795E-2</v>
      </c>
      <c r="FH59" s="63">
        <v>1.2838069154399178E-2</v>
      </c>
      <c r="FI59" s="63">
        <v>0.16784560971859142</v>
      </c>
      <c r="FJ59" s="63">
        <v>4.2257008159574526E-2</v>
      </c>
      <c r="FK59" s="63">
        <v>9.7991869455801711E-3</v>
      </c>
      <c r="FL59" s="63">
        <v>0.10900023848271506</v>
      </c>
      <c r="FM59" s="63">
        <v>7.7131602514813269E-2</v>
      </c>
      <c r="FO59" s="11">
        <v>60.93717859643057</v>
      </c>
      <c r="FP59" s="11">
        <v>14.546213897533395</v>
      </c>
      <c r="FQ59" s="11">
        <v>1481.2921303659789</v>
      </c>
      <c r="FR59" s="11">
        <v>1495.8383442635122</v>
      </c>
      <c r="FS59" s="11">
        <v>1556.7755228599428</v>
      </c>
      <c r="FU59" s="11">
        <v>1.5289776438166824</v>
      </c>
      <c r="FV59" s="11">
        <v>0</v>
      </c>
      <c r="FW59" s="11">
        <v>4.7875358060773676</v>
      </c>
      <c r="FX59" s="11">
        <v>4.7875358060773676</v>
      </c>
      <c r="FY59" s="11">
        <v>6.3165134498940496</v>
      </c>
      <c r="GA59" s="11">
        <v>62.466156240247251</v>
      </c>
      <c r="GB59" s="11">
        <v>1500.6258800695896</v>
      </c>
      <c r="GC59" s="11">
        <v>1563.0920363098369</v>
      </c>
      <c r="GE59" s="63">
        <v>8.2590563414833597E-3</v>
      </c>
      <c r="GF59" s="63">
        <v>5.1731465798872119E-2</v>
      </c>
      <c r="GG59" s="63">
        <v>3.509134576279286E-2</v>
      </c>
      <c r="GH59" s="63">
        <v>3.4118048447628795E-3</v>
      </c>
      <c r="GI59" s="63">
        <v>1.0875351737774736E-2</v>
      </c>
      <c r="GJ59" s="63">
        <v>4.8369616769387324E-3</v>
      </c>
      <c r="GK59" s="63">
        <v>8.1689274126883985E-3</v>
      </c>
      <c r="GL59" s="63">
        <v>4.7018487689997508E-2</v>
      </c>
      <c r="GM59" s="63">
        <v>3.4873988285670315E-2</v>
      </c>
      <c r="GO59" s="11">
        <v>52.095024507468459</v>
      </c>
      <c r="GP59" s="11">
        <v>12.43551780599288</v>
      </c>
      <c r="GQ59" s="11">
        <v>666.36900502728145</v>
      </c>
      <c r="GR59" s="11">
        <v>678.80452283327429</v>
      </c>
      <c r="GS59" s="11">
        <v>730.89954734074274</v>
      </c>
      <c r="GU59" s="11">
        <v>0.40772737168444867</v>
      </c>
      <c r="GV59" s="11">
        <v>0</v>
      </c>
      <c r="GW59" s="11">
        <v>0.31361320213882893</v>
      </c>
      <c r="GX59" s="11">
        <v>0.31361320213882893</v>
      </c>
      <c r="GY59" s="11">
        <v>0.72134057382327765</v>
      </c>
      <c r="GZ59" s="11">
        <v>52.50275187915291</v>
      </c>
      <c r="HA59" s="11">
        <v>679.11813603541316</v>
      </c>
      <c r="HB59" s="11">
        <v>731.62088791456597</v>
      </c>
      <c r="HD59" s="11">
        <v>113.03220310389904</v>
      </c>
      <c r="HE59" s="11">
        <v>26.981731703526275</v>
      </c>
      <c r="HF59" s="11">
        <v>2147.6611353932603</v>
      </c>
      <c r="HG59" s="11">
        <v>2174.6428670967866</v>
      </c>
      <c r="HH59" s="11">
        <v>2287.6750702006857</v>
      </c>
      <c r="HI59" s="11">
        <v>0</v>
      </c>
      <c r="HJ59" s="11">
        <v>1.9367050155011312</v>
      </c>
      <c r="HK59" s="11">
        <v>0</v>
      </c>
      <c r="HL59" s="11">
        <v>1.9367050155011312</v>
      </c>
      <c r="HM59" s="11">
        <v>1.9367050155011312</v>
      </c>
      <c r="HN59" s="11">
        <v>113.03220310389904</v>
      </c>
      <c r="HO59" s="11">
        <v>2176.5795721122877</v>
      </c>
      <c r="HP59" s="11">
        <v>2289.6117752161867</v>
      </c>
      <c r="HR59" s="381">
        <v>6307.6243039785322</v>
      </c>
      <c r="HS59" s="381">
        <v>1505.6826460345239</v>
      </c>
      <c r="HT59" s="381">
        <v>12881.309174924056</v>
      </c>
      <c r="HU59" s="381">
        <v>14386.991820958579</v>
      </c>
      <c r="HV59" s="381">
        <v>20694.616124937111</v>
      </c>
      <c r="HX59" s="381">
        <v>119.5048926407119</v>
      </c>
      <c r="HY59" s="381">
        <v>0</v>
      </c>
      <c r="HZ59" s="381">
        <v>28.837062901562668</v>
      </c>
      <c r="IA59" s="381">
        <v>28.837062901562668</v>
      </c>
      <c r="IB59" s="381">
        <v>148.34195554227458</v>
      </c>
      <c r="ID59" s="381">
        <v>6427.1291966192439</v>
      </c>
      <c r="IE59" s="381">
        <v>14415.828883860142</v>
      </c>
      <c r="IF59" s="381">
        <v>20842.958080479384</v>
      </c>
      <c r="IH59" s="144">
        <v>6.3E-2</v>
      </c>
      <c r="II59" s="144">
        <v>6.3E-2</v>
      </c>
      <c r="IJ59" s="144">
        <v>6.3E-2</v>
      </c>
      <c r="IK59" s="144">
        <v>0.15099999999999997</v>
      </c>
      <c r="IL59" s="144">
        <v>0.15100000000000002</v>
      </c>
      <c r="IM59" s="144">
        <v>0.15099999999999997</v>
      </c>
      <c r="IN59" s="144">
        <v>6.4636256286541488E-2</v>
      </c>
      <c r="IO59" s="144">
        <v>6.3175621980050181E-2</v>
      </c>
      <c r="IP59" s="144">
        <v>6.3632221033900579E-2</v>
      </c>
      <c r="IR59" s="144">
        <v>1.7919932712638576E-2</v>
      </c>
      <c r="IS59" s="144">
        <v>0.15115340956327131</v>
      </c>
      <c r="IT59" s="144">
        <v>0.11054445544626587</v>
      </c>
      <c r="IU59" s="144">
        <v>1.6206073012623678E-2</v>
      </c>
      <c r="IV59" s="144">
        <v>0.17689558141303524</v>
      </c>
      <c r="IW59" s="144">
        <v>4.7443449144174692E-2</v>
      </c>
      <c r="IX59" s="144">
        <v>1.7888065511406766E-2</v>
      </c>
      <c r="IY59" s="144">
        <v>0.15120490355885316</v>
      </c>
      <c r="IZ59" s="144">
        <v>0.11009535764376611</v>
      </c>
    </row>
    <row r="60" spans="2:260" x14ac:dyDescent="0.3">
      <c r="B60">
        <v>2016</v>
      </c>
      <c r="C60">
        <v>6498</v>
      </c>
      <c r="D60">
        <f t="shared" si="0"/>
        <v>6498</v>
      </c>
      <c r="E60">
        <v>56</v>
      </c>
      <c r="F60">
        <v>942</v>
      </c>
      <c r="G60">
        <v>292</v>
      </c>
      <c r="H60">
        <v>280</v>
      </c>
      <c r="AJ60" s="63">
        <v>5.2571852057713237E-3</v>
      </c>
      <c r="AK60" s="63">
        <v>0</v>
      </c>
      <c r="AL60" s="63"/>
      <c r="BX60">
        <v>0.84499999999999997</v>
      </c>
      <c r="BY60">
        <v>1</v>
      </c>
    </row>
    <row r="61" spans="2:260" x14ac:dyDescent="0.3">
      <c r="B61">
        <v>2017</v>
      </c>
      <c r="C61">
        <v>5804</v>
      </c>
      <c r="D61">
        <f t="shared" si="0"/>
        <v>5804</v>
      </c>
      <c r="E61">
        <v>50</v>
      </c>
      <c r="F61">
        <v>469</v>
      </c>
      <c r="G61">
        <v>151</v>
      </c>
      <c r="H61">
        <v>138</v>
      </c>
      <c r="AJ61" s="63"/>
      <c r="AK61" s="63"/>
      <c r="AL61" s="63"/>
    </row>
    <row r="62" spans="2:260" x14ac:dyDescent="0.3">
      <c r="B62">
        <v>2018</v>
      </c>
      <c r="AJ62" s="63"/>
      <c r="AK62" s="63"/>
      <c r="AL62" s="63"/>
    </row>
    <row r="63" spans="2:260" x14ac:dyDescent="0.3">
      <c r="AJ63" s="63"/>
      <c r="AK63" s="63"/>
      <c r="AL63" s="63"/>
    </row>
    <row r="64" spans="2:260" x14ac:dyDescent="0.3">
      <c r="C64" s="11">
        <f t="shared" ref="C64" si="1">AVERAGE(C50:C59)</f>
        <v>19571</v>
      </c>
      <c r="E64" s="11">
        <f>AVERAGE(E50:E59)</f>
        <v>174</v>
      </c>
      <c r="F64" s="11">
        <f t="shared" ref="F64:H64" si="2">AVERAGE(F50:F59)</f>
        <v>764.4</v>
      </c>
      <c r="G64" s="11">
        <f t="shared" si="2"/>
        <v>224.4</v>
      </c>
      <c r="H64" s="11">
        <f t="shared" si="2"/>
        <v>343</v>
      </c>
      <c r="J64" s="11">
        <f>AVERAGE(J50:J59)</f>
        <v>4674.8</v>
      </c>
      <c r="K64" s="11">
        <f t="shared" ref="K64:BV64" si="3">AVERAGE(K50:K59)</f>
        <v>2978.3</v>
      </c>
      <c r="L64" s="11">
        <f t="shared" si="3"/>
        <v>11226.9</v>
      </c>
      <c r="M64" s="11">
        <f t="shared" si="3"/>
        <v>14205.2</v>
      </c>
      <c r="N64" s="11">
        <f t="shared" si="3"/>
        <v>18880</v>
      </c>
      <c r="O64" s="11"/>
      <c r="P64" s="11">
        <f t="shared" si="3"/>
        <v>302.2</v>
      </c>
      <c r="Q64" s="11">
        <f t="shared" si="3"/>
        <v>153.5</v>
      </c>
      <c r="R64" s="11">
        <f t="shared" si="3"/>
        <v>259.8</v>
      </c>
      <c r="S64" s="11">
        <f t="shared" si="3"/>
        <v>413.3</v>
      </c>
      <c r="T64" s="11">
        <f t="shared" si="3"/>
        <v>715.5</v>
      </c>
      <c r="U64" s="11" t="e">
        <f t="shared" si="3"/>
        <v>#DIV/0!</v>
      </c>
      <c r="V64" s="11">
        <f t="shared" si="3"/>
        <v>4977</v>
      </c>
      <c r="W64" s="11">
        <f t="shared" si="3"/>
        <v>14618.5</v>
      </c>
      <c r="X64" s="11">
        <f t="shared" si="3"/>
        <v>19595.5</v>
      </c>
      <c r="Y64" s="11" t="e">
        <f t="shared" si="3"/>
        <v>#DIV/0!</v>
      </c>
      <c r="Z64" s="11" t="e">
        <f t="shared" si="3"/>
        <v>#DIV/0!</v>
      </c>
      <c r="AA64" s="11" t="e">
        <f t="shared" si="3"/>
        <v>#DIV/0!</v>
      </c>
      <c r="AB64" s="11" t="e">
        <f t="shared" si="3"/>
        <v>#DIV/0!</v>
      </c>
      <c r="AC64" s="11" t="e">
        <f t="shared" si="3"/>
        <v>#DIV/0!</v>
      </c>
      <c r="AD64" s="11" t="e">
        <f t="shared" si="3"/>
        <v>#DIV/0!</v>
      </c>
      <c r="AE64" s="11" t="e">
        <f t="shared" si="3"/>
        <v>#DIV/0!</v>
      </c>
      <c r="AF64" s="11" t="e">
        <f t="shared" si="3"/>
        <v>#DIV/0!</v>
      </c>
      <c r="AG64" s="11" t="e">
        <f t="shared" si="3"/>
        <v>#DIV/0!</v>
      </c>
      <c r="AH64" s="11" t="e">
        <f t="shared" si="3"/>
        <v>#DIV/0!</v>
      </c>
      <c r="AI64" s="11"/>
      <c r="AJ64" s="63">
        <f t="shared" si="3"/>
        <v>1.7990403605676639E-2</v>
      </c>
      <c r="AK64" s="63">
        <f t="shared" si="3"/>
        <v>0.44028987583528501</v>
      </c>
      <c r="AL64" s="11">
        <f t="shared" si="3"/>
        <v>5635.3</v>
      </c>
      <c r="AM64" s="11"/>
      <c r="AN64" s="11">
        <f t="shared" si="3"/>
        <v>117.20169614717884</v>
      </c>
      <c r="AO64" s="11">
        <f t="shared" si="3"/>
        <v>75.568000055085903</v>
      </c>
      <c r="AP64" s="11">
        <f t="shared" si="3"/>
        <v>5716.0482606365094</v>
      </c>
      <c r="AQ64" s="11">
        <f t="shared" si="3"/>
        <v>5791.6162606915959</v>
      </c>
      <c r="AR64" s="11">
        <f t="shared" si="3"/>
        <v>5908.8179568387741</v>
      </c>
      <c r="AS64" s="11"/>
      <c r="AT64" s="11">
        <f t="shared" si="3"/>
        <v>7.513910858517697</v>
      </c>
      <c r="AU64" s="11">
        <f t="shared" si="3"/>
        <v>4.1847491597316324</v>
      </c>
      <c r="AV64" s="11">
        <f t="shared" si="3"/>
        <v>126.7383541342776</v>
      </c>
      <c r="AW64" s="11">
        <f t="shared" si="3"/>
        <v>130.92310329400919</v>
      </c>
      <c r="AX64" s="11">
        <f t="shared" si="3"/>
        <v>138.4370141525269</v>
      </c>
      <c r="AY64" s="11"/>
      <c r="AZ64" s="11">
        <f t="shared" si="3"/>
        <v>124.71560700569653</v>
      </c>
      <c r="BA64" s="11">
        <f t="shared" si="3"/>
        <v>5922.5393639856047</v>
      </c>
      <c r="BB64" s="11">
        <f t="shared" si="3"/>
        <v>6047.2549709913019</v>
      </c>
      <c r="BC64" s="11"/>
      <c r="BD64" s="144">
        <f t="shared" si="3"/>
        <v>1.7746114029037027E-2</v>
      </c>
      <c r="BE64" s="144">
        <f t="shared" si="3"/>
        <v>0.2486075550082521</v>
      </c>
      <c r="BF64" s="144">
        <f t="shared" si="3"/>
        <v>0.19440092511808355</v>
      </c>
      <c r="BG64" s="11"/>
      <c r="BH64" s="381">
        <f t="shared" si="3"/>
        <v>4679.2701347094144</v>
      </c>
      <c r="BI64" s="381">
        <f t="shared" si="3"/>
        <v>2980.8871663958571</v>
      </c>
      <c r="BJ64" s="381">
        <f t="shared" si="3"/>
        <v>11431.821796358206</v>
      </c>
      <c r="BK64" s="381">
        <f t="shared" si="3"/>
        <v>14412.708962754064</v>
      </c>
      <c r="BL64" s="381">
        <f t="shared" si="3"/>
        <v>19091.979097463478</v>
      </c>
      <c r="BM64" s="381"/>
      <c r="BN64" s="381">
        <f t="shared" si="3"/>
        <v>302.46955292221674</v>
      </c>
      <c r="BO64" s="381">
        <f t="shared" si="3"/>
        <v>153.63135759088186</v>
      </c>
      <c r="BP64" s="381">
        <f t="shared" si="3"/>
        <v>264.70226033759457</v>
      </c>
      <c r="BQ64" s="381">
        <f t="shared" si="3"/>
        <v>418.33361792847626</v>
      </c>
      <c r="BR64" s="381">
        <f t="shared" si="3"/>
        <v>720.80317085069305</v>
      </c>
      <c r="BS64" s="381"/>
      <c r="BT64" s="381">
        <f t="shared" si="3"/>
        <v>4981.7396876316316</v>
      </c>
      <c r="BU64" s="381">
        <f t="shared" si="3"/>
        <v>14831.042580682542</v>
      </c>
      <c r="BV64" s="381">
        <f t="shared" si="3"/>
        <v>19812.782268314175</v>
      </c>
      <c r="BW64" s="11"/>
      <c r="BX64" s="63">
        <f t="shared" ref="BX64:EH64" si="4">AVERAGE(BX50:BX59)</f>
        <v>0.84499999999999997</v>
      </c>
      <c r="BY64" s="63">
        <f t="shared" si="4"/>
        <v>1</v>
      </c>
      <c r="BZ64" s="63"/>
      <c r="CA64" s="144">
        <f t="shared" si="4"/>
        <v>6.5880902488735071E-2</v>
      </c>
      <c r="CB64" s="144">
        <f t="shared" si="4"/>
        <v>0.14953032312074438</v>
      </c>
      <c r="CC64" s="144">
        <f t="shared" si="4"/>
        <v>0.11711573115591387</v>
      </c>
      <c r="CD64" s="144">
        <f t="shared" si="4"/>
        <v>0.17245134891461644</v>
      </c>
      <c r="CE64" s="144">
        <f t="shared" si="4"/>
        <v>0.29558279202845927</v>
      </c>
      <c r="CF64" s="144">
        <f t="shared" si="4"/>
        <v>0.23449338200931846</v>
      </c>
      <c r="CG64" s="144">
        <f t="shared" si="4"/>
        <v>7.3475657228982222E-2</v>
      </c>
      <c r="CH64" s="144">
        <f t="shared" si="4"/>
        <v>0.13809640643720317</v>
      </c>
      <c r="CI64" s="144">
        <f t="shared" si="4"/>
        <v>0.1218864181381013</v>
      </c>
      <c r="CJ64" s="11"/>
      <c r="CK64" s="403">
        <f t="shared" si="4"/>
        <v>6.5089364954830448E-2</v>
      </c>
      <c r="CL64" s="403">
        <f t="shared" si="4"/>
        <v>6.5089364954830448E-2</v>
      </c>
      <c r="CM64" s="403">
        <f t="shared" si="4"/>
        <v>0.14004999748865021</v>
      </c>
      <c r="CN64" s="403">
        <f t="shared" si="4"/>
        <v>0.12633439095926324</v>
      </c>
      <c r="CO64" s="403">
        <f t="shared" si="4"/>
        <v>0.11205083128995426</v>
      </c>
      <c r="CP64" s="403">
        <f t="shared" si="4"/>
        <v>0.17136428969092746</v>
      </c>
      <c r="CQ64" s="403">
        <f t="shared" si="4"/>
        <v>0.17136428969092746</v>
      </c>
      <c r="CR64" s="403">
        <f t="shared" si="4"/>
        <v>0.17220540319349043</v>
      </c>
      <c r="CS64" s="403">
        <f t="shared" si="4"/>
        <v>0.29118389319747529</v>
      </c>
      <c r="CT64" s="403">
        <f t="shared" si="4"/>
        <v>0.23193778801556988</v>
      </c>
      <c r="CU64" s="403">
        <f t="shared" si="4"/>
        <v>0.13085885581556958</v>
      </c>
      <c r="CV64" s="403">
        <f t="shared" si="4"/>
        <v>7.2630688734141413E-2</v>
      </c>
      <c r="CW64" s="403">
        <f t="shared" si="4"/>
        <v>0.1218864181381013</v>
      </c>
      <c r="CX64" s="11"/>
      <c r="CY64" s="11">
        <f t="shared" si="4"/>
        <v>396.66242663289461</v>
      </c>
      <c r="CZ64" s="11">
        <f t="shared" si="4"/>
        <v>243.40658730100282</v>
      </c>
      <c r="DA64" s="11">
        <f t="shared" si="4"/>
        <v>2320.4648221503512</v>
      </c>
      <c r="DB64" s="11">
        <f t="shared" si="4"/>
        <v>2563.8714094513539</v>
      </c>
      <c r="DC64" s="11">
        <f t="shared" si="4"/>
        <v>2960.5338360842488</v>
      </c>
      <c r="DE64" s="11">
        <f t="shared" si="4"/>
        <v>74.539982727632605</v>
      </c>
      <c r="DF64" s="11">
        <f t="shared" si="4"/>
        <v>38.130661421479218</v>
      </c>
      <c r="DG64" s="11">
        <f t="shared" si="4"/>
        <v>118.64633029041138</v>
      </c>
      <c r="DH64" s="11">
        <f t="shared" si="4"/>
        <v>181.44393823832917</v>
      </c>
      <c r="DI64" s="11">
        <f t="shared" si="4"/>
        <v>255.9839209659618</v>
      </c>
      <c r="DK64" s="11">
        <f t="shared" si="4"/>
        <v>471.20240936052733</v>
      </c>
      <c r="DL64" s="11">
        <f t="shared" si="4"/>
        <v>2745.3153476896837</v>
      </c>
      <c r="DM64" s="11">
        <f t="shared" si="4"/>
        <v>3216.517757050211</v>
      </c>
      <c r="DO64" s="381">
        <f t="shared" si="4"/>
        <v>5934.2602191884152</v>
      </c>
      <c r="DP64" s="381">
        <f t="shared" si="4"/>
        <v>3771.0837072960994</v>
      </c>
      <c r="DQ64" s="416">
        <f t="shared" si="4"/>
        <v>15849.248013106815</v>
      </c>
      <c r="DR64" s="381">
        <f t="shared" si="4"/>
        <v>19620.331720402912</v>
      </c>
      <c r="DS64" s="381">
        <f t="shared" si="4"/>
        <v>25554.59193959133</v>
      </c>
      <c r="DT64" s="381" t="e">
        <f t="shared" si="4"/>
        <v>#DIV/0!</v>
      </c>
      <c r="DU64" s="381">
        <f t="shared" si="4"/>
        <v>432.49211636339203</v>
      </c>
      <c r="DV64" s="381">
        <f t="shared" si="4"/>
        <v>219.94291892548145</v>
      </c>
      <c r="DW64" s="381">
        <f t="shared" si="4"/>
        <v>431.90344311596692</v>
      </c>
      <c r="DX64" s="381">
        <f t="shared" si="4"/>
        <v>651.84636204144829</v>
      </c>
      <c r="DY64" s="381">
        <f t="shared" si="4"/>
        <v>1084.3384784048403</v>
      </c>
      <c r="DZ64" s="381" t="e">
        <f t="shared" si="4"/>
        <v>#DIV/0!</v>
      </c>
      <c r="EA64" s="381">
        <f t="shared" si="4"/>
        <v>6366.7523355518078</v>
      </c>
      <c r="EB64" s="381">
        <f t="shared" si="4"/>
        <v>20272.178082444359</v>
      </c>
      <c r="EC64" s="381">
        <f t="shared" si="4"/>
        <v>26638.930417996169</v>
      </c>
      <c r="ED64" s="11"/>
      <c r="EE64" s="11">
        <f t="shared" si="4"/>
        <v>5.8612296418721142E-2</v>
      </c>
      <c r="EF64" s="11">
        <f t="shared" si="4"/>
        <v>6.2037858657684408E-2</v>
      </c>
      <c r="EG64" s="11">
        <f t="shared" si="4"/>
        <v>6.0646577615768374E-2</v>
      </c>
      <c r="EH64" s="11">
        <f t="shared" si="4"/>
        <v>0.15628999410370448</v>
      </c>
      <c r="EI64" s="11">
        <f t="shared" ref="EI64:GS64" si="5">AVERAGE(EI50:EI59)</f>
        <v>0.15840718791230679</v>
      </c>
      <c r="EJ64" s="11">
        <f t="shared" si="5"/>
        <v>0.15702674840697889</v>
      </c>
      <c r="EK64" s="144">
        <f t="shared" si="5"/>
        <v>6.5665868617423004E-2</v>
      </c>
      <c r="EL64" s="144">
        <f t="shared" si="5"/>
        <v>6.4302749335232529E-2</v>
      </c>
      <c r="EM64" s="144">
        <f t="shared" si="5"/>
        <v>6.4470773412638932E-2</v>
      </c>
      <c r="EN64" s="11"/>
      <c r="EO64" s="11">
        <f t="shared" si="5"/>
        <v>354.4426403319577</v>
      </c>
      <c r="EP64" s="11">
        <f t="shared" si="5"/>
        <v>217.31445793945977</v>
      </c>
      <c r="EQ64" s="11">
        <f t="shared" si="5"/>
        <v>964.79787348106606</v>
      </c>
      <c r="ER64" s="11">
        <f t="shared" si="5"/>
        <v>1182.1123314205258</v>
      </c>
      <c r="ES64" s="11">
        <f t="shared" si="5"/>
        <v>1536.5549717524839</v>
      </c>
      <c r="EU64" s="11">
        <f t="shared" si="5"/>
        <v>68.372051467100917</v>
      </c>
      <c r="EV64" s="11">
        <f t="shared" si="5"/>
        <v>35.073369659131536</v>
      </c>
      <c r="EW64" s="11">
        <f t="shared" si="5"/>
        <v>67.387143802515837</v>
      </c>
      <c r="EX64" s="11">
        <f t="shared" si="5"/>
        <v>102.46051346164738</v>
      </c>
      <c r="EY64" s="11">
        <f t="shared" si="5"/>
        <v>170.8325649287483</v>
      </c>
      <c r="FA64" s="11">
        <f t="shared" si="5"/>
        <v>422.81469179905861</v>
      </c>
      <c r="FB64" s="11">
        <f t="shared" si="5"/>
        <v>1284.5728448821733</v>
      </c>
      <c r="FC64" s="11">
        <f t="shared" si="5"/>
        <v>1707.3875366812322</v>
      </c>
      <c r="FD64" s="11"/>
      <c r="FE64" s="11">
        <f t="shared" si="5"/>
        <v>7.2686060700139247E-3</v>
      </c>
      <c r="FF64" s="11">
        <f t="shared" si="5"/>
        <v>8.7492464463059985E-2</v>
      </c>
      <c r="FG64" s="11">
        <f t="shared" si="5"/>
        <v>5.646915354014552E-2</v>
      </c>
      <c r="FH64" s="11">
        <f t="shared" si="5"/>
        <v>1.6161354810911955E-2</v>
      </c>
      <c r="FI64" s="11">
        <f t="shared" si="5"/>
        <v>0.13717560411615254</v>
      </c>
      <c r="FJ64" s="11">
        <f t="shared" si="5"/>
        <v>5.7993782656599005E-2</v>
      </c>
      <c r="FK64" s="144">
        <f t="shared" si="5"/>
        <v>7.8097886115592319E-3</v>
      </c>
      <c r="FL64" s="144">
        <f t="shared" si="5"/>
        <v>7.2734602317358621E-2</v>
      </c>
      <c r="FM64" s="144">
        <f t="shared" si="5"/>
        <v>5.6608113878741761E-2</v>
      </c>
      <c r="FN64" s="11"/>
      <c r="FO64" s="11">
        <f t="shared" si="5"/>
        <v>42.219786300936924</v>
      </c>
      <c r="FP64" s="11">
        <f t="shared" si="5"/>
        <v>26.092129361542998</v>
      </c>
      <c r="FQ64" s="11">
        <f t="shared" si="5"/>
        <v>1355.6669486692854</v>
      </c>
      <c r="FR64" s="11">
        <f t="shared" si="5"/>
        <v>1381.7590780308285</v>
      </c>
      <c r="FS64" s="11">
        <f t="shared" si="5"/>
        <v>1423.9788643317656</v>
      </c>
      <c r="FT64" s="11" t="e">
        <f t="shared" si="5"/>
        <v>#DIV/0!</v>
      </c>
      <c r="FU64" s="11">
        <f t="shared" si="5"/>
        <v>6.1679312605317005</v>
      </c>
      <c r="FV64" s="11">
        <f t="shared" si="5"/>
        <v>3.0572917623476843</v>
      </c>
      <c r="FW64" s="11">
        <f t="shared" si="5"/>
        <v>51.259186487895533</v>
      </c>
      <c r="FX64" s="11">
        <f t="shared" si="5"/>
        <v>54.316478250243208</v>
      </c>
      <c r="FY64" s="11">
        <f t="shared" si="5"/>
        <v>60.48440951077491</v>
      </c>
      <c r="FZ64" s="11" t="e">
        <f t="shared" si="5"/>
        <v>#DIV/0!</v>
      </c>
      <c r="GA64" s="11">
        <f t="shared" si="5"/>
        <v>48.387717561468627</v>
      </c>
      <c r="GB64" s="11">
        <f t="shared" si="5"/>
        <v>1436.0755562810718</v>
      </c>
      <c r="GC64" s="11">
        <f t="shared" si="5"/>
        <v>1484.4632738425403</v>
      </c>
      <c r="GD64" s="11"/>
      <c r="GE64" s="403">
        <f t="shared" si="5"/>
        <v>1.1111762485156084E-2</v>
      </c>
      <c r="GF64" s="403">
        <f t="shared" si="5"/>
        <v>6.2082315070278962E-2</v>
      </c>
      <c r="GG64" s="403">
        <f t="shared" si="5"/>
        <v>4.2333802436136617E-2</v>
      </c>
      <c r="GH64" s="403">
        <f t="shared" si="5"/>
        <v>6.0460765431987803E-3</v>
      </c>
      <c r="GI64" s="403">
        <f t="shared" si="5"/>
        <v>1.8495697393678838E-2</v>
      </c>
      <c r="GJ64" s="403">
        <f t="shared" si="5"/>
        <v>1.0537991333636689E-2</v>
      </c>
      <c r="GK64" s="144">
        <f t="shared" si="5"/>
        <v>1.077079390633055E-2</v>
      </c>
      <c r="GL64" s="144">
        <f t="shared" si="5"/>
        <v>5.1095752083544513E-2</v>
      </c>
      <c r="GM64" s="144">
        <f t="shared" si="5"/>
        <v>4.1094304141832849E-2</v>
      </c>
      <c r="GN64" s="11"/>
      <c r="GO64" s="11">
        <f t="shared" si="5"/>
        <v>68.299564498823401</v>
      </c>
      <c r="GP64" s="11">
        <f t="shared" si="5"/>
        <v>43.871309648328356</v>
      </c>
      <c r="GQ64" s="11">
        <f t="shared" si="5"/>
        <v>1022.7237680125967</v>
      </c>
      <c r="GR64" s="11">
        <f t="shared" si="5"/>
        <v>1066.5950776609252</v>
      </c>
      <c r="GS64" s="11">
        <f t="shared" si="5"/>
        <v>1134.8946421597486</v>
      </c>
      <c r="GU64" s="11">
        <f t="shared" ref="GU64:IZ64" si="6">AVERAGE(GU50:GU59)</f>
        <v>2.8125047747761758</v>
      </c>
      <c r="GV64" s="11">
        <f t="shared" si="6"/>
        <v>1.4745042397328785</v>
      </c>
      <c r="GW64" s="11">
        <f t="shared" si="6"/>
        <v>8.3884867171537127</v>
      </c>
      <c r="GX64" s="11">
        <f t="shared" si="6"/>
        <v>9.8629909568865894</v>
      </c>
      <c r="GY64" s="11">
        <f t="shared" si="6"/>
        <v>12.675495731662767</v>
      </c>
      <c r="GZ64" s="11">
        <f t="shared" si="6"/>
        <v>71.112069273599573</v>
      </c>
      <c r="HA64" s="11">
        <f t="shared" si="6"/>
        <v>1076.4580686178117</v>
      </c>
      <c r="HB64" s="11">
        <f t="shared" si="6"/>
        <v>1147.5701378914112</v>
      </c>
      <c r="HC64" s="11"/>
      <c r="HD64" s="11">
        <f t="shared" si="6"/>
        <v>110.51935079976033</v>
      </c>
      <c r="HE64" s="11">
        <f t="shared" si="6"/>
        <v>69.963439009871351</v>
      </c>
      <c r="HF64" s="11">
        <f t="shared" si="6"/>
        <v>2378.3907166818822</v>
      </c>
      <c r="HG64" s="11">
        <f t="shared" si="6"/>
        <v>2448.3541556917539</v>
      </c>
      <c r="HH64" s="11">
        <f t="shared" si="6"/>
        <v>2558.8735064915136</v>
      </c>
      <c r="HI64" s="11">
        <f t="shared" si="6"/>
        <v>0</v>
      </c>
      <c r="HJ64" s="11">
        <f t="shared" si="6"/>
        <v>8.9804360353078785</v>
      </c>
      <c r="HK64" s="11">
        <f t="shared" si="6"/>
        <v>4.5317960020805632</v>
      </c>
      <c r="HL64" s="11">
        <f t="shared" si="6"/>
        <v>13.51223203738844</v>
      </c>
      <c r="HM64" s="11">
        <f t="shared" si="6"/>
        <v>13.51223203738844</v>
      </c>
      <c r="HN64" s="11">
        <f t="shared" si="6"/>
        <v>110.51935079976033</v>
      </c>
      <c r="HO64" s="11">
        <f t="shared" si="6"/>
        <v>2461.8663877291424</v>
      </c>
      <c r="HP64" s="11">
        <f t="shared" si="6"/>
        <v>2572.385738528902</v>
      </c>
      <c r="HQ64" s="11" t="e">
        <f t="shared" si="6"/>
        <v>#DIV/0!</v>
      </c>
      <c r="HR64" s="381">
        <f t="shared" si="6"/>
        <v>6002.5597836872385</v>
      </c>
      <c r="HS64" s="381">
        <f t="shared" si="6"/>
        <v>3814.9550169444278</v>
      </c>
      <c r="HT64" s="381">
        <f t="shared" si="6"/>
        <v>16871.971781119406</v>
      </c>
      <c r="HU64" s="381">
        <f t="shared" si="6"/>
        <v>20686.926798063843</v>
      </c>
      <c r="HV64" s="381">
        <f t="shared" si="6"/>
        <v>26689.486581751076</v>
      </c>
      <c r="HX64" s="381">
        <f t="shared" si="6"/>
        <v>435.30462113816822</v>
      </c>
      <c r="HY64" s="381">
        <f t="shared" si="6"/>
        <v>221.4174231652143</v>
      </c>
      <c r="HZ64" s="381">
        <f t="shared" si="6"/>
        <v>440.29192983312061</v>
      </c>
      <c r="IA64" s="381">
        <f t="shared" si="6"/>
        <v>661.70935299833513</v>
      </c>
      <c r="IB64" s="381">
        <f t="shared" si="6"/>
        <v>1097.0139741365033</v>
      </c>
      <c r="ID64" s="381">
        <f t="shared" si="6"/>
        <v>6437.8644048254073</v>
      </c>
      <c r="IE64" s="381">
        <f t="shared" si="6"/>
        <v>21348.636151062172</v>
      </c>
      <c r="IF64" s="381">
        <f t="shared" si="6"/>
        <v>27786.500555887578</v>
      </c>
      <c r="IG64" s="11"/>
      <c r="IH64" s="144">
        <f t="shared" si="6"/>
        <v>5.7899999999999993E-2</v>
      </c>
      <c r="II64" s="144">
        <f t="shared" si="6"/>
        <v>5.7899999999999993E-2</v>
      </c>
      <c r="IJ64" s="144">
        <f t="shared" si="6"/>
        <v>5.7899999999999993E-2</v>
      </c>
      <c r="IK64" s="144">
        <f t="shared" si="6"/>
        <v>0.15530000000000005</v>
      </c>
      <c r="IL64" s="144">
        <f t="shared" si="6"/>
        <v>0.15530000000000002</v>
      </c>
      <c r="IM64" s="144">
        <f t="shared" si="6"/>
        <v>0.15530000000000002</v>
      </c>
      <c r="IN64" s="144">
        <f t="shared" si="6"/>
        <v>6.4903871499289681E-2</v>
      </c>
      <c r="IO64" s="144">
        <f t="shared" si="6"/>
        <v>6.0787111525255552E-2</v>
      </c>
      <c r="IP64" s="144">
        <f t="shared" si="6"/>
        <v>6.1648322700721458E-2</v>
      </c>
      <c r="IR64" s="144">
        <f t="shared" si="6"/>
        <v>1.8301127439986541E-2</v>
      </c>
      <c r="IS64" s="144">
        <f t="shared" si="6"/>
        <v>0.12100084757720504</v>
      </c>
      <c r="IT64" s="144">
        <f t="shared" si="6"/>
        <v>9.69978715147891E-2</v>
      </c>
      <c r="IU64" s="144">
        <f t="shared" si="6"/>
        <v>2.2110366234126228E-2</v>
      </c>
      <c r="IV64" s="144">
        <f t="shared" si="6"/>
        <v>0.11633934249033691</v>
      </c>
      <c r="IW64" s="144">
        <f t="shared" si="6"/>
        <v>6.8411495876962575E-2</v>
      </c>
      <c r="IX64" s="144">
        <f t="shared" si="6"/>
        <v>1.8497611141182285E-2</v>
      </c>
      <c r="IY64" s="144">
        <f t="shared" si="6"/>
        <v>0.12048724688971013</v>
      </c>
      <c r="IZ64" s="144">
        <f t="shared" si="6"/>
        <v>9.5951259829576668E-2</v>
      </c>
    </row>
    <row r="65" spans="5:8" x14ac:dyDescent="0.3">
      <c r="E65" s="11">
        <f>GEOMEAN(E52:E61)</f>
        <v>141.61257771132324</v>
      </c>
      <c r="F65" s="11">
        <f>GEOMEAN(F52:F61)</f>
        <v>792.30690717202822</v>
      </c>
      <c r="G65" s="11">
        <f t="shared" ref="G65:H65" si="7">GEOMEAN(G52:G61)</f>
        <v>237.17644777132256</v>
      </c>
      <c r="H65" s="11">
        <f t="shared" si="7"/>
        <v>307.74213126096618</v>
      </c>
    </row>
    <row r="67" spans="5:8" x14ac:dyDescent="0.3">
      <c r="H67" s="11">
        <f>SUM(E64:H64)</f>
        <v>1505.8</v>
      </c>
    </row>
    <row r="68" spans="5:8" x14ac:dyDescent="0.3">
      <c r="H68" s="11">
        <f>SUM(E65:H65)</f>
        <v>1478.8380639156403</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7ED4-6B66-4D87-BF05-C547B97ABDAF}">
  <dimension ref="A1:AA46"/>
  <sheetViews>
    <sheetView workbookViewId="0">
      <pane xSplit="2" ySplit="4" topLeftCell="C11" activePane="bottomRight" state="frozen"/>
      <selection pane="topRight" activeCell="C1" sqref="C1"/>
      <selection pane="bottomLeft" activeCell="A5" sqref="A5"/>
      <selection pane="bottomRight" activeCell="F39" sqref="F39"/>
    </sheetView>
  </sheetViews>
  <sheetFormatPr defaultRowHeight="14.4" x14ac:dyDescent="0.3"/>
  <cols>
    <col min="1" max="1" width="8.88671875" customWidth="1"/>
    <col min="2" max="2" width="32.6640625" customWidth="1"/>
    <col min="3" max="3" width="13.44140625" customWidth="1"/>
    <col min="4" max="4" width="8.88671875" style="392"/>
    <col min="7" max="7" width="2.6640625" customWidth="1"/>
    <col min="8" max="8" width="9.33203125" customWidth="1"/>
    <col min="9" max="9" width="9.6640625" customWidth="1"/>
    <col min="10" max="10" width="3.44140625" customWidth="1"/>
    <col min="11" max="11" width="7.5546875" customWidth="1"/>
    <col min="14" max="14" width="2.33203125" customWidth="1"/>
    <col min="15" max="15" width="5.5546875" bestFit="1" customWidth="1"/>
    <col min="18" max="18" width="3.33203125" customWidth="1"/>
    <col min="19" max="19" width="5.5546875" bestFit="1" customWidth="1"/>
    <col min="22" max="22" width="2.88671875" customWidth="1"/>
    <col min="23" max="23" width="5.5546875" bestFit="1" customWidth="1"/>
    <col min="24" max="24" width="9.88671875" bestFit="1" customWidth="1"/>
  </cols>
  <sheetData>
    <row r="1" spans="1:25" x14ac:dyDescent="0.3">
      <c r="H1" t="s">
        <v>421</v>
      </c>
      <c r="L1" t="s">
        <v>422</v>
      </c>
    </row>
    <row r="2" spans="1:25" x14ac:dyDescent="0.3">
      <c r="D2" s="393"/>
      <c r="H2" t="s">
        <v>423</v>
      </c>
      <c r="L2" t="s">
        <v>423</v>
      </c>
      <c r="P2" t="s">
        <v>16</v>
      </c>
      <c r="T2" t="s">
        <v>424</v>
      </c>
      <c r="X2" t="s">
        <v>18</v>
      </c>
    </row>
    <row r="3" spans="1:25" x14ac:dyDescent="0.3">
      <c r="H3" s="8"/>
    </row>
    <row r="4" spans="1:25" x14ac:dyDescent="0.3">
      <c r="C4" t="s">
        <v>425</v>
      </c>
      <c r="D4" s="394" t="s">
        <v>426</v>
      </c>
      <c r="E4" s="8" t="s">
        <v>427</v>
      </c>
      <c r="F4" s="8" t="s">
        <v>428</v>
      </c>
      <c r="H4" s="8" t="s">
        <v>429</v>
      </c>
      <c r="I4" s="8" t="s">
        <v>430</v>
      </c>
      <c r="L4" s="107" t="s">
        <v>429</v>
      </c>
      <c r="M4" t="s">
        <v>430</v>
      </c>
      <c r="P4" s="107" t="s">
        <v>429</v>
      </c>
      <c r="Q4" t="s">
        <v>430</v>
      </c>
      <c r="T4" s="107" t="s">
        <v>429</v>
      </c>
      <c r="U4" t="s">
        <v>430</v>
      </c>
      <c r="X4" s="107" t="s">
        <v>429</v>
      </c>
      <c r="Y4" t="s">
        <v>430</v>
      </c>
    </row>
    <row r="5" spans="1:25" x14ac:dyDescent="0.3">
      <c r="B5" t="s">
        <v>431</v>
      </c>
      <c r="C5" s="11">
        <f>Summary!U53</f>
        <v>1500</v>
      </c>
      <c r="D5" s="394"/>
      <c r="E5" s="8"/>
      <c r="F5" s="8"/>
      <c r="H5" s="395">
        <f t="shared" ref="H5" si="0">E6*H6</f>
        <v>1499.9951252871176</v>
      </c>
      <c r="I5" s="8"/>
      <c r="L5" s="395">
        <f>H5</f>
        <v>1499.9951252871176</v>
      </c>
      <c r="P5" s="395">
        <f>L5*Summary!W11/Summary!U11</f>
        <v>7601.3266484144469</v>
      </c>
      <c r="T5" s="395">
        <f>L5*Summary!X11/Summary!U11</f>
        <v>31418.816813446381</v>
      </c>
      <c r="X5" s="395">
        <f>L5*Summary!Y11/Summary!U11</f>
        <v>47634.980330063867</v>
      </c>
    </row>
    <row r="6" spans="1:25" x14ac:dyDescent="0.3">
      <c r="A6" t="s">
        <v>373</v>
      </c>
      <c r="B6" t="s">
        <v>432</v>
      </c>
      <c r="D6" s="392">
        <v>0.69229056942530109</v>
      </c>
      <c r="E6" s="396">
        <f t="shared" ref="E6:E13" si="1">1-D6</f>
        <v>0.30770943057469891</v>
      </c>
      <c r="F6" s="396">
        <f t="shared" ref="F6:F12" si="2">E6*F7</f>
        <v>0.23437423832611212</v>
      </c>
      <c r="H6" s="11">
        <f>E7*H8</f>
        <v>4874.7128824931542</v>
      </c>
      <c r="I6" s="11">
        <f t="shared" ref="I6" si="3">H6-H5</f>
        <v>3374.7177572060364</v>
      </c>
      <c r="J6" s="11"/>
      <c r="K6" s="392">
        <f>D6</f>
        <v>0.69229056942530109</v>
      </c>
      <c r="L6" s="11">
        <f>L5/(1-K6)</f>
        <v>4874.7128824931542</v>
      </c>
      <c r="M6" s="11">
        <f>L6-L5</f>
        <v>3374.7177572060364</v>
      </c>
      <c r="O6" s="392">
        <f>$D6</f>
        <v>0.69229056942530109</v>
      </c>
      <c r="P6" s="11">
        <f>P5/(1-O6)</f>
        <v>24702.936904526119</v>
      </c>
      <c r="Q6" s="11">
        <f>P6-P5</f>
        <v>17101.610256111671</v>
      </c>
      <c r="S6" s="392">
        <f>$D6</f>
        <v>0.69229056942530109</v>
      </c>
      <c r="T6" s="11">
        <f>T5/(1-S6)</f>
        <v>102105.47253870795</v>
      </c>
      <c r="U6" s="11">
        <f>T6-T5</f>
        <v>70686.655725261575</v>
      </c>
      <c r="W6" s="392">
        <f>$D6</f>
        <v>0.69229056942530109</v>
      </c>
      <c r="X6" s="11">
        <f>X5/(1-W6)</f>
        <v>154805.07126836368</v>
      </c>
      <c r="Y6" s="11">
        <f>X6-X5</f>
        <v>107170.09093829981</v>
      </c>
    </row>
    <row r="7" spans="1:25" x14ac:dyDescent="0.3">
      <c r="B7" t="s">
        <v>433</v>
      </c>
      <c r="C7" s="11">
        <f>Runs!AZ64</f>
        <v>124.71560700569653</v>
      </c>
      <c r="D7" s="397">
        <f>Runs!AZ64/Runs!V64</f>
        <v>2.5058389995116843E-2</v>
      </c>
      <c r="E7" s="396">
        <f t="shared" si="1"/>
        <v>0.97494161000488311</v>
      </c>
      <c r="F7" s="396">
        <f>E7*F9</f>
        <v>0.76167388788955537</v>
      </c>
      <c r="I7" s="11">
        <f>H8-H6</f>
        <v>125.29207418188071</v>
      </c>
      <c r="J7" s="11"/>
      <c r="K7" s="392">
        <f>D7</f>
        <v>2.5058389995116843E-2</v>
      </c>
      <c r="M7" s="11">
        <f>L8-L6</f>
        <v>125.29207418188071</v>
      </c>
      <c r="O7" s="398">
        <f>$D7*$P$22</f>
        <v>4.9866196090282519E-2</v>
      </c>
      <c r="Q7" s="11">
        <f>P8-P6</f>
        <v>1296.4926525275259</v>
      </c>
      <c r="S7" s="398">
        <f>$D7*$T$22</f>
        <v>7.4081200788684465E-2</v>
      </c>
      <c r="U7" s="11">
        <f>T8-T6</f>
        <v>8169.2865715724911</v>
      </c>
      <c r="W7" s="398">
        <f>$D7*$X$22</f>
        <v>9.0956648321895817E-2</v>
      </c>
      <c r="Y7" s="11">
        <f>X8-X6</f>
        <v>15489.415768576611</v>
      </c>
    </row>
    <row r="8" spans="1:25" x14ac:dyDescent="0.3">
      <c r="B8" s="399" t="s">
        <v>434</v>
      </c>
      <c r="C8" s="400">
        <f>Summary!U49</f>
        <v>5000</v>
      </c>
      <c r="D8" s="401"/>
      <c r="E8" s="396"/>
      <c r="F8" s="396"/>
      <c r="H8" s="11">
        <f>E9*H9</f>
        <v>5000.0049566750349</v>
      </c>
      <c r="I8" s="11"/>
      <c r="J8" s="11"/>
      <c r="K8" s="392"/>
      <c r="L8" s="395">
        <f>L6/(1-K7)</f>
        <v>5000.0049566750349</v>
      </c>
      <c r="M8" s="11"/>
      <c r="O8" s="392"/>
      <c r="P8" s="395">
        <f>P6/(1-O7)</f>
        <v>25999.429557053645</v>
      </c>
      <c r="Q8" s="11"/>
      <c r="S8" s="392"/>
      <c r="T8" s="395">
        <f>T6/(1-S7)</f>
        <v>110274.75911028044</v>
      </c>
      <c r="U8" s="11"/>
      <c r="W8" s="392"/>
      <c r="X8" s="395">
        <f>X6/(1-W7)</f>
        <v>170294.48703694029</v>
      </c>
      <c r="Y8" s="11"/>
    </row>
    <row r="9" spans="1:25" x14ac:dyDescent="0.3">
      <c r="B9" t="s">
        <v>435</v>
      </c>
      <c r="D9" s="392">
        <v>0.14761323710056751</v>
      </c>
      <c r="E9" s="396">
        <f t="shared" si="1"/>
        <v>0.85238676289943249</v>
      </c>
      <c r="F9" s="396">
        <f t="shared" si="2"/>
        <v>0.7812507744804742</v>
      </c>
      <c r="H9" s="11">
        <f>E10*H11</f>
        <v>5865.8876161653307</v>
      </c>
      <c r="I9" s="11">
        <f>H9-H8</f>
        <v>865.88265949029574</v>
      </c>
      <c r="J9" s="11"/>
      <c r="K9" s="392">
        <f>D9</f>
        <v>0.14761323710056751</v>
      </c>
      <c r="L9" s="11">
        <f>L8/(1-K9)</f>
        <v>5865.8876161653307</v>
      </c>
      <c r="M9" s="11">
        <f>L9-L8</f>
        <v>865.88265949029574</v>
      </c>
      <c r="O9" s="392">
        <f>$D9</f>
        <v>0.14761323710056751</v>
      </c>
      <c r="P9" s="11">
        <f>P8/(1-O9)</f>
        <v>30501.916135599524</v>
      </c>
      <c r="Q9" s="11">
        <f>P9-P8</f>
        <v>4502.4865785458787</v>
      </c>
      <c r="S9" s="392">
        <f>$D9</f>
        <v>0.14761323710056751</v>
      </c>
      <c r="T9" s="11">
        <f>T8/(1-S9)</f>
        <v>129371.74051738651</v>
      </c>
      <c r="U9" s="11">
        <f>T9-T8</f>
        <v>19096.981407106068</v>
      </c>
      <c r="W9" s="392">
        <f>$D9</f>
        <v>0.14761323710056751</v>
      </c>
      <c r="X9" s="11">
        <f>X8/(1-W9)</f>
        <v>199785.4664679163</v>
      </c>
      <c r="Y9" s="11">
        <f>X9-X8</f>
        <v>29490.979430976004</v>
      </c>
    </row>
    <row r="10" spans="1:25" x14ac:dyDescent="0.3">
      <c r="B10" t="s">
        <v>436</v>
      </c>
      <c r="C10" s="11">
        <f>Runs!FA64+Runs!GA64</f>
        <v>471.20240936052721</v>
      </c>
      <c r="D10" s="397">
        <f>Runs!CG64</f>
        <v>7.3475657228982222E-2</v>
      </c>
      <c r="E10" s="396">
        <f t="shared" si="1"/>
        <v>0.92652434277101781</v>
      </c>
      <c r="F10" s="396">
        <f>E10*F12</f>
        <v>0.91654494002583287</v>
      </c>
      <c r="H10" s="73"/>
      <c r="I10" s="11">
        <f>H11-H9</f>
        <v>465.17930283415444</v>
      </c>
      <c r="J10" s="11"/>
      <c r="K10" s="392">
        <f>D10</f>
        <v>7.3475657228982222E-2</v>
      </c>
      <c r="M10" s="11">
        <f>L11-L9</f>
        <v>465.17930283415444</v>
      </c>
      <c r="O10" s="398">
        <f>$D10*$P$22</f>
        <v>0.14621655788567461</v>
      </c>
      <c r="Q10" s="11">
        <f>P11-P9</f>
        <v>5223.6726156463483</v>
      </c>
      <c r="S10" s="398">
        <f>$D10*$T$22</f>
        <v>0.21721925939062736</v>
      </c>
      <c r="U10" s="11">
        <f>T11-T9</f>
        <v>35900.261980623691</v>
      </c>
      <c r="W10" s="398">
        <f>$D10*$X$22</f>
        <v>0.26670107361642315</v>
      </c>
      <c r="Y10" s="11">
        <f>X11-X9</f>
        <v>72662.043380764051</v>
      </c>
    </row>
    <row r="11" spans="1:25" x14ac:dyDescent="0.3">
      <c r="B11" s="399" t="s">
        <v>437</v>
      </c>
      <c r="C11" s="400">
        <f>Summary!U45</f>
        <v>6400</v>
      </c>
      <c r="D11" s="401"/>
      <c r="E11" s="396"/>
      <c r="F11" s="396"/>
      <c r="H11" s="395">
        <f>E12*H12</f>
        <v>6331.0669189994851</v>
      </c>
      <c r="I11" s="11"/>
      <c r="J11" s="11"/>
      <c r="K11" s="392"/>
      <c r="L11" s="395">
        <f>L9/(1-K10)</f>
        <v>6331.0669189994851</v>
      </c>
      <c r="M11" s="11"/>
      <c r="O11" s="392"/>
      <c r="P11" s="395">
        <f>P9/(1-O10)</f>
        <v>35725.588751245872</v>
      </c>
      <c r="Q11" s="11"/>
      <c r="S11" s="392"/>
      <c r="T11" s="395">
        <f>T9/(1-S10)</f>
        <v>165272.0024980102</v>
      </c>
      <c r="U11" s="11"/>
      <c r="W11" s="392"/>
      <c r="X11" s="395">
        <f>X9/(1-W10)</f>
        <v>272447.50984868035</v>
      </c>
      <c r="Y11" s="11"/>
    </row>
    <row r="12" spans="1:25" x14ac:dyDescent="0.3">
      <c r="B12" t="s">
        <v>438</v>
      </c>
      <c r="D12" s="392">
        <v>0</v>
      </c>
      <c r="E12" s="396">
        <f t="shared" si="1"/>
        <v>1</v>
      </c>
      <c r="F12" s="396">
        <f t="shared" si="2"/>
        <v>0.98922920609366949</v>
      </c>
      <c r="H12" s="11">
        <f>E13*H14</f>
        <v>6331.0669189994851</v>
      </c>
      <c r="I12" s="11">
        <f>H12-H11</f>
        <v>0</v>
      </c>
      <c r="J12" s="11"/>
      <c r="K12" s="392">
        <f>D12</f>
        <v>0</v>
      </c>
      <c r="L12" s="11">
        <f>L11/(1-K12)</f>
        <v>6331.0669189994851</v>
      </c>
      <c r="M12" s="11">
        <f>L12-L11</f>
        <v>0</v>
      </c>
      <c r="O12" s="392">
        <f>$D12</f>
        <v>0</v>
      </c>
      <c r="P12" s="11">
        <f>P11/(1-O12)</f>
        <v>35725.588751245872</v>
      </c>
      <c r="Q12" s="11">
        <f>P12-P11</f>
        <v>0</v>
      </c>
      <c r="S12" s="392">
        <f>$D12</f>
        <v>0</v>
      </c>
      <c r="T12" s="11">
        <f>T11/(1-S12)</f>
        <v>165272.0024980102</v>
      </c>
      <c r="U12" s="11">
        <f>T12-T11</f>
        <v>0</v>
      </c>
      <c r="W12" s="392">
        <f>$D12</f>
        <v>0</v>
      </c>
      <c r="X12" s="11">
        <f>X11/(1-W12)</f>
        <v>272447.50984868035</v>
      </c>
      <c r="Y12" s="11">
        <f>X12-X11</f>
        <v>0</v>
      </c>
    </row>
    <row r="13" spans="1:25" x14ac:dyDescent="0.3">
      <c r="B13" t="s">
        <v>439</v>
      </c>
      <c r="C13" s="41">
        <f>Runs!GZ64</f>
        <v>71.112069273599573</v>
      </c>
      <c r="D13" s="397">
        <f>Runs!GK64</f>
        <v>1.077079390633055E-2</v>
      </c>
      <c r="E13" s="396">
        <f t="shared" si="1"/>
        <v>0.98922920609366949</v>
      </c>
      <c r="F13" s="396">
        <f>E13</f>
        <v>0.98922920609366949</v>
      </c>
      <c r="I13" s="11">
        <f>H14-H12</f>
        <v>68.933081000514903</v>
      </c>
      <c r="J13" s="11"/>
      <c r="K13" s="392">
        <f>D13</f>
        <v>1.077079390633055E-2</v>
      </c>
      <c r="M13" s="11">
        <f>L14-L12</f>
        <v>68.933081000514903</v>
      </c>
      <c r="O13" s="398">
        <f>$D13*$P$22</f>
        <v>2.1433879873597794E-2</v>
      </c>
      <c r="Q13" s="11">
        <f>P14-P12</f>
        <v>782.51020749507734</v>
      </c>
      <c r="S13" s="398">
        <f>$D13*$T$22</f>
        <v>3.1842163290774182E-2</v>
      </c>
      <c r="U13" s="11">
        <f>T14-T12</f>
        <v>5435.7026214057696</v>
      </c>
      <c r="W13" s="398">
        <f>$D13*$X$22</f>
        <v>3.9095700628677128E-2</v>
      </c>
      <c r="Y13" s="11">
        <f>X14-X12</f>
        <v>11084.89814130438</v>
      </c>
    </row>
    <row r="14" spans="1:25" x14ac:dyDescent="0.3">
      <c r="B14" t="s">
        <v>440</v>
      </c>
      <c r="C14" s="11">
        <f>Summary!U41</f>
        <v>6400</v>
      </c>
      <c r="D14" s="401"/>
      <c r="E14" s="396"/>
      <c r="F14" s="396"/>
      <c r="H14" s="395">
        <f>C14</f>
        <v>6400</v>
      </c>
      <c r="I14" s="11"/>
      <c r="J14" s="11"/>
      <c r="K14" s="396"/>
      <c r="L14" s="395">
        <f>L12/(1-K13)</f>
        <v>6400</v>
      </c>
      <c r="M14" s="11"/>
      <c r="O14" s="392"/>
      <c r="P14" s="395">
        <f>P12/(1-O13)</f>
        <v>36508.098958740949</v>
      </c>
      <c r="Q14" s="11"/>
      <c r="S14" s="392"/>
      <c r="T14" s="395">
        <f>T12/(1-S13)</f>
        <v>170707.70511941597</v>
      </c>
      <c r="U14" s="11"/>
      <c r="W14" s="396"/>
      <c r="X14" s="395">
        <f>X12/(1-W13)</f>
        <v>283532.40798998473</v>
      </c>
      <c r="Y14" s="11"/>
    </row>
    <row r="15" spans="1:25" x14ac:dyDescent="0.3">
      <c r="D15" s="394"/>
      <c r="E15" s="8"/>
      <c r="F15" s="8"/>
      <c r="L15" s="11"/>
      <c r="P15" s="11"/>
      <c r="T15" s="11"/>
      <c r="X15" s="11"/>
    </row>
    <row r="16" spans="1:25" x14ac:dyDescent="0.3">
      <c r="B16" s="58" t="s">
        <v>441</v>
      </c>
      <c r="C16" s="58"/>
      <c r="I16" s="37">
        <f>I7+I10+I13</f>
        <v>659.40445801655005</v>
      </c>
      <c r="L16" s="11"/>
      <c r="M16" s="37">
        <f>M7+M10+M13</f>
        <v>659.40445801655005</v>
      </c>
      <c r="P16" s="11"/>
      <c r="Q16" s="37">
        <f>Q7+Q10+Q13</f>
        <v>7302.6754756689515</v>
      </c>
      <c r="T16" s="11"/>
      <c r="U16" s="37">
        <f>U7+U10+U13</f>
        <v>49505.251173601951</v>
      </c>
      <c r="X16" s="11"/>
      <c r="Y16" s="37">
        <f>Y7+Y10+Y13</f>
        <v>99236.357290645043</v>
      </c>
    </row>
    <row r="17" spans="1:27" x14ac:dyDescent="0.3">
      <c r="B17" s="58" t="s">
        <v>442</v>
      </c>
      <c r="C17" s="58"/>
      <c r="I17" s="402">
        <f>I16/H14</f>
        <v>0.10303194656508595</v>
      </c>
      <c r="J17" s="403"/>
      <c r="K17" s="403"/>
      <c r="L17" s="403"/>
      <c r="M17" s="402">
        <f>M16/L14</f>
        <v>0.10303194656508595</v>
      </c>
      <c r="N17" s="403"/>
      <c r="O17" s="403"/>
      <c r="P17" s="403"/>
      <c r="Q17" s="402">
        <f>Q16/P14</f>
        <v>0.2000289164308981</v>
      </c>
      <c r="R17" s="144"/>
      <c r="S17" s="144"/>
      <c r="T17" s="144"/>
      <c r="U17" s="402">
        <f>U16/T14</f>
        <v>0.29000009776343316</v>
      </c>
      <c r="V17" s="144"/>
      <c r="W17" s="144"/>
      <c r="X17" s="144"/>
      <c r="Y17" s="402">
        <f>Y16/X14</f>
        <v>0.35000005111990723</v>
      </c>
    </row>
    <row r="18" spans="1:27" x14ac:dyDescent="0.3">
      <c r="B18" s="58" t="s">
        <v>443</v>
      </c>
      <c r="C18" s="58"/>
      <c r="I18" s="37">
        <f>I6+I9+I12</f>
        <v>4240.6004166963321</v>
      </c>
      <c r="L18" s="11"/>
      <c r="M18" s="37">
        <f>M6+M9+M12</f>
        <v>4240.6004166963321</v>
      </c>
      <c r="P18" s="11"/>
      <c r="Q18" s="37">
        <f>Q6+Q9+Q12</f>
        <v>21604.09683465755</v>
      </c>
      <c r="T18" s="11"/>
      <c r="U18" s="37">
        <f>U6+U9+U12</f>
        <v>89783.637132367643</v>
      </c>
      <c r="X18" s="11"/>
      <c r="Y18" s="37">
        <f>Y6+Y9+Y12</f>
        <v>136661.07036927581</v>
      </c>
    </row>
    <row r="19" spans="1:27" x14ac:dyDescent="0.3">
      <c r="B19" s="58" t="s">
        <v>444</v>
      </c>
      <c r="C19" s="58"/>
      <c r="I19" s="370">
        <f>I18/H14</f>
        <v>0.66259381510880189</v>
      </c>
      <c r="L19" s="11"/>
      <c r="M19" s="370">
        <f>M18/L14</f>
        <v>0.66259381510880189</v>
      </c>
      <c r="P19" s="11"/>
      <c r="Q19" s="370">
        <f>Q18/P14</f>
        <v>0.59176175837238409</v>
      </c>
      <c r="T19" s="11"/>
      <c r="U19" s="370">
        <f>U18/T14</f>
        <v>0.52594952916484272</v>
      </c>
      <c r="X19" s="11"/>
      <c r="Y19" s="370">
        <f>Y18/X14</f>
        <v>0.4819945322585597</v>
      </c>
    </row>
    <row r="21" spans="1:27" x14ac:dyDescent="0.3">
      <c r="B21" s="58" t="s">
        <v>445</v>
      </c>
      <c r="C21" s="58"/>
      <c r="Q21" s="63">
        <v>0.2</v>
      </c>
      <c r="R21" s="63"/>
      <c r="S21" s="63"/>
      <c r="T21" s="63"/>
      <c r="U21" s="63">
        <v>0.28000000000000003</v>
      </c>
      <c r="V21" s="63"/>
      <c r="W21" s="63"/>
      <c r="X21" s="63"/>
      <c r="Y21" s="63">
        <v>0.35</v>
      </c>
      <c r="AA21" t="s">
        <v>446</v>
      </c>
    </row>
    <row r="22" spans="1:27" x14ac:dyDescent="0.3">
      <c r="B22" s="58" t="s">
        <v>447</v>
      </c>
      <c r="C22" s="58"/>
      <c r="P22" s="347">
        <v>1.99</v>
      </c>
      <c r="T22" s="347">
        <v>2.9563431969540241</v>
      </c>
      <c r="X22" s="347">
        <v>3.6297882002642883</v>
      </c>
    </row>
    <row r="23" spans="1:27" x14ac:dyDescent="0.3">
      <c r="B23" s="58"/>
      <c r="C23" s="58"/>
    </row>
    <row r="24" spans="1:27" x14ac:dyDescent="0.3">
      <c r="B24" s="58"/>
      <c r="C24" s="58"/>
      <c r="H24" t="s">
        <v>421</v>
      </c>
      <c r="L24" t="s">
        <v>422</v>
      </c>
      <c r="P24" t="s">
        <v>421</v>
      </c>
      <c r="T24" t="s">
        <v>421</v>
      </c>
      <c r="X24" t="s">
        <v>421</v>
      </c>
    </row>
    <row r="25" spans="1:27" x14ac:dyDescent="0.3">
      <c r="B25" s="58"/>
      <c r="C25" s="58"/>
      <c r="H25" t="s">
        <v>423</v>
      </c>
      <c r="L25" t="s">
        <v>423</v>
      </c>
      <c r="P25" t="s">
        <v>16</v>
      </c>
      <c r="T25" t="s">
        <v>424</v>
      </c>
      <c r="X25" t="s">
        <v>18</v>
      </c>
    </row>
    <row r="26" spans="1:27" x14ac:dyDescent="0.3">
      <c r="B26" s="58"/>
      <c r="C26" s="58"/>
    </row>
    <row r="27" spans="1:27" x14ac:dyDescent="0.3">
      <c r="B27" s="103" t="s">
        <v>431</v>
      </c>
      <c r="H27" s="395">
        <f t="shared" ref="H27" si="4">E28*H28</f>
        <v>2727.5755028544281</v>
      </c>
      <c r="I27" s="8"/>
      <c r="L27" s="395">
        <f>H27</f>
        <v>2727.5755028544281</v>
      </c>
      <c r="P27" s="395">
        <f>P28*(1-O28)</f>
        <v>2537.6518132097353</v>
      </c>
      <c r="Q27" s="8"/>
      <c r="T27" s="395">
        <f>T28*(1-S28)</f>
        <v>4999.4698103399114</v>
      </c>
      <c r="U27" s="8"/>
      <c r="X27" s="395">
        <f>X28*(1-W28)</f>
        <v>7461.2878074700857</v>
      </c>
      <c r="Y27" s="8"/>
      <c r="Z27" s="73"/>
    </row>
    <row r="28" spans="1:27" x14ac:dyDescent="0.3">
      <c r="A28" t="s">
        <v>448</v>
      </c>
      <c r="B28" t="s">
        <v>449</v>
      </c>
      <c r="D28" s="392">
        <f>D6</f>
        <v>0.69229056942530109</v>
      </c>
      <c r="E28" s="396">
        <f t="shared" ref="E28:E29" si="5">1-D28</f>
        <v>0.30770943057469891</v>
      </c>
      <c r="F28" s="396">
        <f t="shared" ref="F28" si="6">E28*F29</f>
        <v>0.12776345446866974</v>
      </c>
      <c r="H28" s="11">
        <f>E29*H30</f>
        <v>8864.1271012078632</v>
      </c>
      <c r="I28" s="11">
        <f t="shared" ref="I28" si="7">H28-H27</f>
        <v>6136.5515983534351</v>
      </c>
      <c r="K28" s="392">
        <f>D28</f>
        <v>0.69229056942530109</v>
      </c>
      <c r="L28" s="11">
        <f>L27/(1-K28)</f>
        <v>8864.1271012078632</v>
      </c>
      <c r="M28" s="11">
        <f>L28-L27</f>
        <v>6136.5515983534351</v>
      </c>
      <c r="O28" s="392">
        <f>$D28</f>
        <v>0.69229056942530109</v>
      </c>
      <c r="P28" s="11">
        <f>P30*(1-O29)</f>
        <v>8246.9094576342541</v>
      </c>
      <c r="Q28" s="11">
        <f t="shared" ref="Q28" si="8">P28-P27</f>
        <v>5709.2576444245187</v>
      </c>
      <c r="S28" s="392">
        <f>$D28</f>
        <v>0.69229056942530109</v>
      </c>
      <c r="T28" s="11">
        <f>T30*(1-S29)</f>
        <v>16247.372727584474</v>
      </c>
      <c r="U28" s="11">
        <f t="shared" ref="U28" si="9">T28-T27</f>
        <v>11247.902917244563</v>
      </c>
      <c r="W28" s="392">
        <f>$D28</f>
        <v>0.69229056942530109</v>
      </c>
      <c r="X28" s="11">
        <f>X30*(1-W29)</f>
        <v>24247.83599753469</v>
      </c>
      <c r="Y28" s="11">
        <f t="shared" ref="Y28" si="10">X28-X27</f>
        <v>16786.548190064605</v>
      </c>
      <c r="Z28" s="73"/>
    </row>
    <row r="29" spans="1:27" x14ac:dyDescent="0.3">
      <c r="B29" t="s">
        <v>450</v>
      </c>
      <c r="C29" s="11">
        <f>Runs!BA64</f>
        <v>5922.5393639856047</v>
      </c>
      <c r="D29" s="397">
        <f>Runs!BA64/Runs!W64</f>
        <v>0.40514001874238842</v>
      </c>
      <c r="E29" s="396">
        <f t="shared" si="5"/>
        <v>0.59485998125761164</v>
      </c>
      <c r="F29" s="396">
        <f>E29*F31</f>
        <v>0.41520812095375198</v>
      </c>
      <c r="I29" s="11">
        <f>H30-H28</f>
        <v>6037.0721397764464</v>
      </c>
      <c r="K29" s="392">
        <f>D29</f>
        <v>0.40514001874238842</v>
      </c>
      <c r="M29" s="11">
        <f>L30-L28</f>
        <v>6037.0721397764464</v>
      </c>
      <c r="O29" s="392">
        <f>$D29</f>
        <v>0.40514001874238842</v>
      </c>
      <c r="Q29" s="11">
        <f>P30-P28</f>
        <v>5616.7050356439995</v>
      </c>
      <c r="S29" s="398">
        <f>$D29*$T$46</f>
        <v>0.40514001874238842</v>
      </c>
      <c r="U29" s="11">
        <f>T30-T28</f>
        <v>11065.563491852254</v>
      </c>
      <c r="W29" s="398">
        <f>$D29*$X$46</f>
        <v>0.40514001874238842</v>
      </c>
      <c r="Y29" s="11">
        <f>X30-X28</f>
        <v>16514.42194806051</v>
      </c>
      <c r="Z29" s="73"/>
      <c r="AA29" t="s">
        <v>451</v>
      </c>
    </row>
    <row r="30" spans="1:27" x14ac:dyDescent="0.3">
      <c r="B30" s="399" t="s">
        <v>434</v>
      </c>
      <c r="C30" s="11">
        <f>Runs!W64</f>
        <v>14618.5</v>
      </c>
      <c r="D30" s="401"/>
      <c r="E30" s="396"/>
      <c r="F30" s="396"/>
      <c r="H30" s="395">
        <f>E31*H31</f>
        <v>14901.19924098431</v>
      </c>
      <c r="I30" s="11"/>
      <c r="K30" s="392"/>
      <c r="L30" s="395">
        <f>L28/(1-K29)</f>
        <v>14901.19924098431</v>
      </c>
      <c r="M30" s="11"/>
      <c r="O30" s="392"/>
      <c r="P30" s="395">
        <f>P31*(1-O31)</f>
        <v>13863.614493278254</v>
      </c>
      <c r="Q30" s="11"/>
      <c r="S30" s="392"/>
      <c r="T30" s="395">
        <f>T31*(1-S31)</f>
        <v>27312.936219436728</v>
      </c>
      <c r="U30" s="11"/>
      <c r="W30" s="392"/>
      <c r="X30" s="395">
        <f>X31*(1-W31)</f>
        <v>40762.2579455952</v>
      </c>
      <c r="Y30" s="11"/>
      <c r="Z30" s="73"/>
    </row>
    <row r="31" spans="1:27" x14ac:dyDescent="0.3">
      <c r="B31" t="s">
        <v>452</v>
      </c>
      <c r="D31" s="392">
        <f t="shared" ref="D31" si="11">D9</f>
        <v>0.14761323710056751</v>
      </c>
      <c r="E31" s="396">
        <f t="shared" ref="E31:E32" si="12">1-D31</f>
        <v>0.85238676289943249</v>
      </c>
      <c r="F31" s="396">
        <f t="shared" ref="F31" si="13">E31*F32</f>
        <v>0.69799303035303839</v>
      </c>
      <c r="H31" s="11">
        <f>E32*H33</f>
        <v>17481.734688484838</v>
      </c>
      <c r="I31" s="11">
        <f>H31-H30</f>
        <v>2580.5354475005279</v>
      </c>
      <c r="K31" s="392">
        <f>D31</f>
        <v>0.14761323710056751</v>
      </c>
      <c r="L31" s="11">
        <f>L30/(1-K31)</f>
        <v>17481.734688484838</v>
      </c>
      <c r="M31" s="11">
        <f>L31-L30</f>
        <v>2580.5354475005279</v>
      </c>
      <c r="O31" s="392">
        <f>$D31</f>
        <v>0.14761323710056751</v>
      </c>
      <c r="P31" s="11">
        <f>P33*(1-O32)</f>
        <v>16264.464790748903</v>
      </c>
      <c r="Q31" s="11">
        <f>P31-P30</f>
        <v>2400.8502974706498</v>
      </c>
      <c r="S31" s="392">
        <f>$D31</f>
        <v>0.14761323710056751</v>
      </c>
      <c r="T31" s="11">
        <f>T33*(1-S32)</f>
        <v>32042.891100901812</v>
      </c>
      <c r="U31" s="11">
        <f>T31-T30</f>
        <v>4729.9548814650843</v>
      </c>
      <c r="W31" s="392">
        <f>$D31</f>
        <v>0.14761323710056751</v>
      </c>
      <c r="X31" s="11">
        <f>X33*(1-W32)</f>
        <v>47821.317411054719</v>
      </c>
      <c r="Y31" s="11">
        <f>X31-X30</f>
        <v>7059.0594654595188</v>
      </c>
      <c r="Z31" s="73"/>
    </row>
    <row r="32" spans="1:27" x14ac:dyDescent="0.3">
      <c r="B32" t="s">
        <v>453</v>
      </c>
      <c r="C32" s="11">
        <f>Runs!FB64+Runs!GB64</f>
        <v>2720.6484011632451</v>
      </c>
      <c r="D32" s="397">
        <f>Runs!EL64+Runs!FL64</f>
        <v>0.13703735165259115</v>
      </c>
      <c r="E32" s="396">
        <f t="shared" si="12"/>
        <v>0.86296264834740888</v>
      </c>
      <c r="F32" s="396">
        <f>E32*F34</f>
        <v>0.8188689228100906</v>
      </c>
      <c r="H32" s="73"/>
      <c r="I32" s="11">
        <f>H33-H31</f>
        <v>2776.076842480863</v>
      </c>
      <c r="K32" s="392">
        <f>D32</f>
        <v>0.13703735165259115</v>
      </c>
      <c r="M32" s="11">
        <f>L33-L31</f>
        <v>2776.076842480863</v>
      </c>
      <c r="O32" s="392">
        <f>$D32</f>
        <v>0.13703735165259115</v>
      </c>
      <c r="P32" s="73"/>
      <c r="Q32" s="11">
        <f>P33-P31</f>
        <v>2582.7759581939226</v>
      </c>
      <c r="S32" s="398">
        <f>$D32*$T$46</f>
        <v>0.13703735165259115</v>
      </c>
      <c r="T32" s="73"/>
      <c r="U32" s="11">
        <f>T33-T31</f>
        <v>5088.3696347332734</v>
      </c>
      <c r="W32" s="398">
        <f>$D32*$X$46</f>
        <v>0.13703735165259115</v>
      </c>
      <c r="X32" s="73"/>
      <c r="Y32" s="11">
        <f>X33-X31</f>
        <v>7593.9633112726224</v>
      </c>
      <c r="Z32" s="73"/>
    </row>
    <row r="33" spans="2:27" x14ac:dyDescent="0.3">
      <c r="B33" s="399" t="s">
        <v>437</v>
      </c>
      <c r="C33" s="11">
        <f>Runs!EB64</f>
        <v>20272.178082444359</v>
      </c>
      <c r="D33" s="401"/>
      <c r="E33" s="396"/>
      <c r="F33" s="396"/>
      <c r="H33" s="395">
        <f>E34*H34</f>
        <v>20257.811530965701</v>
      </c>
      <c r="I33" s="11"/>
      <c r="K33" s="392"/>
      <c r="L33" s="395">
        <f>L31/(1-K32)</f>
        <v>20257.811530965701</v>
      </c>
      <c r="M33" s="11"/>
      <c r="O33" s="392"/>
      <c r="P33" s="395">
        <f>P34*(1-O34)</f>
        <v>18847.240748942826</v>
      </c>
      <c r="Q33" s="11"/>
      <c r="S33" s="392"/>
      <c r="T33" s="395">
        <f>T34*(1-S34)</f>
        <v>37131.260735635085</v>
      </c>
      <c r="U33" s="11"/>
      <c r="W33" s="392"/>
      <c r="X33" s="395">
        <f>X34*(1-W34)</f>
        <v>55415.280722327341</v>
      </c>
      <c r="Y33" s="11"/>
      <c r="Z33" s="73"/>
    </row>
    <row r="34" spans="2:27" x14ac:dyDescent="0.3">
      <c r="B34" t="s">
        <v>438</v>
      </c>
      <c r="D34" s="392">
        <f>D12</f>
        <v>0</v>
      </c>
      <c r="E34" s="396">
        <f t="shared" ref="E34:E35" si="14">1-D34</f>
        <v>1</v>
      </c>
      <c r="F34" s="396">
        <f t="shared" ref="F34" si="15">E34*F35</f>
        <v>0.94890424791645545</v>
      </c>
      <c r="H34" s="11">
        <f>E35*H36</f>
        <v>20257.811530965701</v>
      </c>
      <c r="I34" s="11">
        <f>H34-H33</f>
        <v>0</v>
      </c>
      <c r="K34" s="392">
        <f>D34</f>
        <v>0</v>
      </c>
      <c r="L34" s="11">
        <f>L33/(1-K34)</f>
        <v>20257.811530965701</v>
      </c>
      <c r="M34" s="11">
        <f>L34-L33</f>
        <v>0</v>
      </c>
      <c r="O34" s="392">
        <f>$D34</f>
        <v>0</v>
      </c>
      <c r="P34" s="11">
        <f>P36*(1-O35)</f>
        <v>18847.240748942826</v>
      </c>
      <c r="Q34" s="11">
        <f>P34-P33</f>
        <v>0</v>
      </c>
      <c r="S34" s="392">
        <f>$D34</f>
        <v>0</v>
      </c>
      <c r="T34" s="11">
        <f>T36*(1-S35)</f>
        <v>37131.260735635085</v>
      </c>
      <c r="U34" s="11">
        <f>T34-T33</f>
        <v>0</v>
      </c>
      <c r="W34" s="392">
        <f>$D34</f>
        <v>0</v>
      </c>
      <c r="X34" s="11">
        <f>X36*(1-W35)</f>
        <v>55415.280722327341</v>
      </c>
      <c r="Y34" s="11">
        <f>X34-X33</f>
        <v>0</v>
      </c>
      <c r="Z34" s="73"/>
    </row>
    <row r="35" spans="2:27" x14ac:dyDescent="0.3">
      <c r="B35" t="s">
        <v>439</v>
      </c>
      <c r="C35" s="11">
        <f>Runs!HA64</f>
        <v>1076.4580686178117</v>
      </c>
      <c r="D35" s="397">
        <f>Runs!GL64</f>
        <v>5.1095752083544513E-2</v>
      </c>
      <c r="E35" s="396">
        <f t="shared" si="14"/>
        <v>0.94890424791645545</v>
      </c>
      <c r="F35" s="396">
        <f>E35</f>
        <v>0.94890424791645545</v>
      </c>
      <c r="I35" s="11">
        <f>H36-H34</f>
        <v>1090.8246200964713</v>
      </c>
      <c r="K35" s="392">
        <f>D35</f>
        <v>5.1095752083544513E-2</v>
      </c>
      <c r="M35" s="11">
        <f>L36-L34</f>
        <v>1090.8246200964677</v>
      </c>
      <c r="O35" s="392">
        <f>$D35</f>
        <v>5.1095752083544513E-2</v>
      </c>
      <c r="Q35" s="11">
        <f>P36-P34</f>
        <v>1014.869459043297</v>
      </c>
      <c r="S35" s="398">
        <f>$D35*$T$46</f>
        <v>5.1095752083544513E-2</v>
      </c>
      <c r="U35" s="11">
        <f>T36-T34</f>
        <v>1999.4111073517925</v>
      </c>
      <c r="W35" s="398">
        <f>$D35*$X$46</f>
        <v>5.1095752083544513E-2</v>
      </c>
      <c r="Y35" s="11">
        <f>X36-X34</f>
        <v>2983.9527556602916</v>
      </c>
      <c r="Z35" s="73"/>
    </row>
    <row r="36" spans="2:27" x14ac:dyDescent="0.3">
      <c r="B36" t="s">
        <v>440</v>
      </c>
      <c r="C36" s="11">
        <f>Runs!IE64</f>
        <v>21348.636151062172</v>
      </c>
      <c r="H36" s="395">
        <f>C36</f>
        <v>21348.636151062172</v>
      </c>
      <c r="I36" s="11"/>
      <c r="K36" s="396"/>
      <c r="L36" s="395">
        <f>L34/(1-K35)</f>
        <v>21348.636151062168</v>
      </c>
      <c r="M36" s="11"/>
      <c r="O36" s="392"/>
      <c r="P36" s="395">
        <f>P37*P38</f>
        <v>19862.110207986123</v>
      </c>
      <c r="Q36" s="11"/>
      <c r="S36" s="392"/>
      <c r="T36" s="395">
        <f>T37*$C$38</f>
        <v>39130.671842986878</v>
      </c>
      <c r="U36" s="11"/>
      <c r="W36" s="396"/>
      <c r="X36" s="395">
        <f>X37*$C$38</f>
        <v>58399.233477987633</v>
      </c>
      <c r="Y36" s="11"/>
      <c r="Z36" s="73"/>
    </row>
    <row r="37" spans="2:27" x14ac:dyDescent="0.3">
      <c r="B37" t="s">
        <v>454</v>
      </c>
      <c r="C37" s="11">
        <v>1005300</v>
      </c>
      <c r="H37" s="11">
        <f>C37</f>
        <v>1005300</v>
      </c>
      <c r="I37" s="11"/>
      <c r="K37" s="396"/>
      <c r="L37" s="11">
        <f>C37</f>
        <v>1005300</v>
      </c>
      <c r="M37" s="11"/>
      <c r="O37" s="392"/>
      <c r="P37" s="11">
        <f>Summary!$V$21</f>
        <v>935300</v>
      </c>
      <c r="Q37" s="11"/>
      <c r="S37" s="392"/>
      <c r="T37" s="11">
        <f>AVERAGE(P37,X37)</f>
        <v>1842650</v>
      </c>
      <c r="U37" s="11"/>
      <c r="W37" s="396"/>
      <c r="X37" s="11">
        <f>Summary!AB21</f>
        <v>2750000</v>
      </c>
      <c r="Y37" s="11"/>
      <c r="Z37" s="73"/>
    </row>
    <row r="38" spans="2:27" x14ac:dyDescent="0.3">
      <c r="B38" t="s">
        <v>71</v>
      </c>
      <c r="C38" s="144">
        <f>C36/C37</f>
        <v>2.1236084901086413E-2</v>
      </c>
      <c r="H38" s="11"/>
      <c r="I38" s="11"/>
      <c r="K38" s="396"/>
      <c r="L38" s="11"/>
      <c r="M38" s="11"/>
      <c r="O38" s="392"/>
      <c r="P38" s="144">
        <f>$C$38</f>
        <v>2.1236084901086413E-2</v>
      </c>
      <c r="Q38" s="11"/>
      <c r="S38" s="392"/>
      <c r="T38" s="144">
        <f>$C$38</f>
        <v>2.1236084901086413E-2</v>
      </c>
      <c r="U38" s="11"/>
      <c r="W38" s="396"/>
      <c r="X38" s="144">
        <f>$C$38</f>
        <v>2.1236084901086413E-2</v>
      </c>
      <c r="Y38" s="11"/>
      <c r="Z38" s="73"/>
    </row>
    <row r="39" spans="2:27" x14ac:dyDescent="0.3">
      <c r="H39" s="373"/>
      <c r="I39" s="373"/>
      <c r="L39" s="11"/>
      <c r="P39" s="11"/>
      <c r="T39" s="11"/>
      <c r="X39" s="11"/>
      <c r="Z39" s="73"/>
    </row>
    <row r="40" spans="2:27" x14ac:dyDescent="0.3">
      <c r="B40" s="58" t="s">
        <v>441</v>
      </c>
      <c r="C40" s="58"/>
      <c r="H40" s="73"/>
      <c r="I40" s="37">
        <f>I29+I32+I35</f>
        <v>9903.9736023537807</v>
      </c>
      <c r="L40" s="11"/>
      <c r="M40" s="37">
        <f>M29+M32+M35</f>
        <v>9903.9736023537771</v>
      </c>
      <c r="P40" s="11"/>
      <c r="Q40" s="37">
        <f>Q29+Q32+Q35</f>
        <v>9214.3504528812191</v>
      </c>
      <c r="T40" s="11"/>
      <c r="U40" s="37">
        <f>U29+U32+U35</f>
        <v>18153.344233937321</v>
      </c>
      <c r="X40" s="11"/>
      <c r="Y40" s="37">
        <f>Y29+Y32+Y35</f>
        <v>27092.338014993424</v>
      </c>
      <c r="Z40" s="73"/>
    </row>
    <row r="41" spans="2:27" x14ac:dyDescent="0.3">
      <c r="B41" s="58" t="s">
        <v>442</v>
      </c>
      <c r="C41" s="370">
        <f>Summary!U36</f>
        <v>0.4298819134232178</v>
      </c>
      <c r="H41" s="73"/>
      <c r="I41" s="402">
        <f>I40/H36</f>
        <v>0.46391598658919586</v>
      </c>
      <c r="K41" s="403"/>
      <c r="L41" s="403"/>
      <c r="M41" s="402">
        <f>M40/L36</f>
        <v>0.46391598658919581</v>
      </c>
      <c r="N41" s="403"/>
      <c r="O41" s="403"/>
      <c r="P41" s="403"/>
      <c r="Q41" s="402">
        <f>Q40/P36</f>
        <v>0.46391598658919581</v>
      </c>
      <c r="R41" s="144"/>
      <c r="S41" s="144"/>
      <c r="T41" s="144"/>
      <c r="U41" s="402">
        <f>U40/T36</f>
        <v>0.46391598658919581</v>
      </c>
      <c r="V41" s="144"/>
      <c r="W41" s="144"/>
      <c r="X41" s="144"/>
      <c r="Y41" s="402">
        <f>Y40/X36</f>
        <v>0.46391598658919575</v>
      </c>
      <c r="Z41" s="73"/>
      <c r="AA41" t="s">
        <v>455</v>
      </c>
    </row>
    <row r="42" spans="2:27" x14ac:dyDescent="0.3">
      <c r="B42" s="58" t="s">
        <v>443</v>
      </c>
      <c r="C42" s="58"/>
      <c r="H42" s="73"/>
      <c r="I42" s="37">
        <f>I28+I31+I34</f>
        <v>8717.087045853963</v>
      </c>
      <c r="L42" s="11"/>
      <c r="M42" s="37">
        <f>M28+M31+M34</f>
        <v>8717.087045853963</v>
      </c>
      <c r="P42" s="11"/>
      <c r="Q42" s="37">
        <f>Q28+Q31+Q34</f>
        <v>8110.1079418951686</v>
      </c>
      <c r="T42" s="11"/>
      <c r="U42" s="37">
        <f>U28+U31+U34</f>
        <v>15977.857798709647</v>
      </c>
      <c r="X42" s="11"/>
      <c r="Y42" s="37">
        <f>Y28+Y31+Y34</f>
        <v>23845.607655524123</v>
      </c>
      <c r="Z42" s="73"/>
    </row>
    <row r="43" spans="2:27" x14ac:dyDescent="0.3">
      <c r="B43" s="58" t="s">
        <v>444</v>
      </c>
      <c r="C43" s="58"/>
      <c r="H43" s="73"/>
      <c r="I43" s="370">
        <f>I42/H36</f>
        <v>0.40832055894213443</v>
      </c>
      <c r="L43" s="11"/>
      <c r="M43" s="370">
        <f>M42/L36</f>
        <v>0.40832055894213448</v>
      </c>
      <c r="P43" s="11"/>
      <c r="Q43" s="370">
        <f>Q42/P36</f>
        <v>0.40832055894213448</v>
      </c>
      <c r="T43" s="11"/>
      <c r="U43" s="370">
        <f>U42/T36</f>
        <v>0.40832055894213454</v>
      </c>
      <c r="X43" s="11"/>
      <c r="Y43" s="370">
        <f>Y42/X36</f>
        <v>0.40832055894213448</v>
      </c>
      <c r="Z43" s="73"/>
    </row>
    <row r="44" spans="2:27" x14ac:dyDescent="0.3">
      <c r="H44" s="73"/>
      <c r="I44" s="404"/>
    </row>
    <row r="45" spans="2:27" x14ac:dyDescent="0.3">
      <c r="B45" s="58" t="s">
        <v>445</v>
      </c>
      <c r="C45" s="58"/>
      <c r="Q45" s="63">
        <f>M41</f>
        <v>0.46391598658919581</v>
      </c>
      <c r="R45" s="63"/>
      <c r="S45" s="63"/>
      <c r="T45" s="63"/>
      <c r="U45" s="63">
        <f>AVERAGE(Q45,Y45)</f>
        <v>0.58195799329459785</v>
      </c>
      <c r="V45" s="63"/>
      <c r="W45" s="63"/>
      <c r="X45" s="63"/>
      <c r="Y45" s="63">
        <v>0.7</v>
      </c>
    </row>
    <row r="46" spans="2:27" x14ac:dyDescent="0.3">
      <c r="B46" s="58" t="s">
        <v>447</v>
      </c>
      <c r="T46" s="347">
        <v>1</v>
      </c>
      <c r="X46" s="347">
        <v>1</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5"/>
  <sheetViews>
    <sheetView zoomScale="90" zoomScaleNormal="90" workbookViewId="0">
      <pane xSplit="3" ySplit="5" topLeftCell="D6" activePane="bottomRight" state="frozen"/>
      <selection pane="topRight" activeCell="D1" sqref="D1"/>
      <selection pane="bottomLeft" activeCell="A5" sqref="A5"/>
      <selection pane="bottomRight" activeCell="F22" sqref="F22"/>
    </sheetView>
  </sheetViews>
  <sheetFormatPr defaultColWidth="9.109375" defaultRowHeight="14.4" x14ac:dyDescent="0.3"/>
  <cols>
    <col min="2" max="2" width="19.44140625" customWidth="1"/>
    <col min="3" max="3" width="16.109375" customWidth="1"/>
    <col min="4" max="4" width="8.88671875" style="11"/>
    <col min="5" max="6" width="9.109375" style="11"/>
    <col min="7" max="7" width="13.109375" style="8" bestFit="1" customWidth="1"/>
    <col min="8" max="8" width="9.109375" style="11"/>
    <col min="9" max="9" width="15.77734375" customWidth="1"/>
    <col min="10" max="10" width="8.88671875"/>
    <col min="11" max="11" width="14.33203125" customWidth="1"/>
    <col min="12" max="12" width="16.6640625" customWidth="1"/>
    <col min="13" max="13" width="10.88671875" customWidth="1"/>
    <col min="14" max="14" width="11.33203125" customWidth="1"/>
    <col min="16" max="18" width="8.88671875"/>
    <col min="19" max="19" width="12.33203125" customWidth="1"/>
    <col min="20" max="20" width="9.6640625" customWidth="1"/>
    <col min="21" max="21" width="2.44140625" customWidth="1"/>
    <col min="22" max="22" width="6.44140625" customWidth="1"/>
    <col min="23" max="23" width="7.5546875" customWidth="1"/>
    <col min="24" max="24" width="7" customWidth="1"/>
    <col min="25" max="25" width="2.33203125" customWidth="1"/>
  </cols>
  <sheetData>
    <row r="1" spans="1:28" ht="18" x14ac:dyDescent="0.35">
      <c r="A1" s="3" t="str">
        <f>Summary!A1</f>
        <v>Upper Columbia River Steelhead</v>
      </c>
      <c r="B1" s="3"/>
      <c r="C1" s="1"/>
      <c r="D1" s="38"/>
      <c r="E1" s="38"/>
      <c r="F1" s="38"/>
      <c r="G1" s="153"/>
      <c r="H1" s="9"/>
      <c r="I1" s="2"/>
      <c r="J1" s="2"/>
      <c r="K1" s="2"/>
      <c r="L1" s="2"/>
      <c r="M1" s="2"/>
      <c r="N1" s="2"/>
      <c r="O1" s="2"/>
      <c r="P1" s="2"/>
      <c r="Q1" s="2"/>
      <c r="R1" s="2"/>
      <c r="S1" s="2"/>
      <c r="T1" s="2"/>
    </row>
    <row r="2" spans="1:28" x14ac:dyDescent="0.3">
      <c r="A2" s="1" t="s">
        <v>0</v>
      </c>
      <c r="B2" s="1"/>
      <c r="C2" s="1"/>
      <c r="D2" s="38"/>
      <c r="E2" s="38"/>
      <c r="F2" s="38"/>
      <c r="G2" s="153"/>
      <c r="H2" s="9"/>
      <c r="I2" s="2"/>
      <c r="J2" s="2"/>
      <c r="K2" s="2"/>
      <c r="L2" s="2"/>
      <c r="M2" s="2"/>
      <c r="N2" s="2"/>
      <c r="O2" s="2"/>
      <c r="P2" s="2"/>
      <c r="Q2" s="2"/>
      <c r="R2" s="2"/>
      <c r="S2" s="2"/>
      <c r="T2" s="2"/>
    </row>
    <row r="3" spans="1:28" x14ac:dyDescent="0.3">
      <c r="A3" s="90"/>
      <c r="B3" s="48"/>
      <c r="C3" s="48"/>
      <c r="D3" s="49" t="s">
        <v>5</v>
      </c>
      <c r="E3" s="72"/>
      <c r="F3" s="48"/>
      <c r="G3" s="29"/>
      <c r="H3" s="48"/>
      <c r="I3" s="48"/>
      <c r="J3" s="48"/>
      <c r="K3" s="48"/>
      <c r="L3" s="48"/>
      <c r="M3" s="50" t="s">
        <v>10</v>
      </c>
      <c r="N3" s="51"/>
      <c r="O3" s="51"/>
      <c r="P3" s="51"/>
      <c r="Q3" s="51"/>
      <c r="R3" s="48"/>
      <c r="S3" s="48"/>
      <c r="T3" s="48"/>
    </row>
    <row r="4" spans="1:28" s="7" customFormat="1" x14ac:dyDescent="0.3">
      <c r="A4" s="48"/>
      <c r="B4" s="48"/>
      <c r="C4" s="48"/>
      <c r="D4" s="49"/>
      <c r="E4" s="72" t="s">
        <v>78</v>
      </c>
      <c r="F4" s="72" t="s">
        <v>4</v>
      </c>
      <c r="G4" s="152"/>
      <c r="H4" s="49" t="s">
        <v>7</v>
      </c>
      <c r="I4" s="51"/>
      <c r="J4" s="52"/>
      <c r="K4" s="53" t="s">
        <v>48</v>
      </c>
      <c r="L4" s="52"/>
      <c r="M4" s="29" t="s">
        <v>59</v>
      </c>
      <c r="N4" s="48" t="s">
        <v>64</v>
      </c>
      <c r="O4" s="48"/>
      <c r="P4" s="48"/>
      <c r="Q4" s="48"/>
      <c r="R4" s="54" t="s">
        <v>15</v>
      </c>
      <c r="S4" s="48"/>
      <c r="T4" s="48"/>
      <c r="V4" s="7" t="s">
        <v>60</v>
      </c>
      <c r="Z4" s="7" t="s">
        <v>63</v>
      </c>
    </row>
    <row r="5" spans="1:28" s="59" customFormat="1" x14ac:dyDescent="0.3">
      <c r="A5" s="48"/>
      <c r="B5" s="4" t="s">
        <v>2</v>
      </c>
      <c r="C5" s="4" t="s">
        <v>1</v>
      </c>
      <c r="D5" s="39" t="s">
        <v>3</v>
      </c>
      <c r="E5" s="74" t="s">
        <v>79</v>
      </c>
      <c r="F5" s="74" t="s">
        <v>74</v>
      </c>
      <c r="G5" s="6" t="s">
        <v>187</v>
      </c>
      <c r="H5" s="10" t="s">
        <v>11</v>
      </c>
      <c r="I5" s="4" t="s">
        <v>8</v>
      </c>
      <c r="J5" s="31" t="s">
        <v>9</v>
      </c>
      <c r="K5" s="30" t="s">
        <v>114</v>
      </c>
      <c r="L5" s="30" t="s">
        <v>19</v>
      </c>
      <c r="M5" s="6" t="s">
        <v>19</v>
      </c>
      <c r="N5" s="6" t="s">
        <v>65</v>
      </c>
      <c r="O5" s="6" t="s">
        <v>66</v>
      </c>
      <c r="P5" s="6" t="s">
        <v>12</v>
      </c>
      <c r="Q5" s="6" t="s">
        <v>13</v>
      </c>
      <c r="R5" s="5" t="s">
        <v>16</v>
      </c>
      <c r="S5" s="6" t="s">
        <v>17</v>
      </c>
      <c r="T5" s="6" t="s">
        <v>18</v>
      </c>
      <c r="V5" s="60" t="s">
        <v>16</v>
      </c>
      <c r="W5" s="60" t="s">
        <v>17</v>
      </c>
      <c r="X5" s="60" t="s">
        <v>18</v>
      </c>
      <c r="Z5" s="60" t="s">
        <v>16</v>
      </c>
      <c r="AA5" s="60" t="s">
        <v>17</v>
      </c>
      <c r="AB5" s="60" t="s">
        <v>18</v>
      </c>
    </row>
    <row r="6" spans="1:28" x14ac:dyDescent="0.3">
      <c r="A6" s="513" t="s">
        <v>115</v>
      </c>
      <c r="B6" s="88" t="s">
        <v>95</v>
      </c>
      <c r="C6" s="88" t="s">
        <v>96</v>
      </c>
      <c r="D6" s="37">
        <v>0</v>
      </c>
      <c r="E6" s="37"/>
      <c r="F6"/>
      <c r="J6" s="11"/>
      <c r="L6" s="23"/>
      <c r="M6" s="23"/>
      <c r="N6" s="8"/>
      <c r="R6" s="11"/>
      <c r="S6" s="37"/>
      <c r="T6" s="11"/>
      <c r="V6" s="95" t="s">
        <v>77</v>
      </c>
      <c r="W6" s="95" t="s">
        <v>77</v>
      </c>
      <c r="X6" s="95" t="s">
        <v>77</v>
      </c>
    </row>
    <row r="7" spans="1:28" x14ac:dyDescent="0.3">
      <c r="A7" s="513"/>
      <c r="B7" s="88" t="s">
        <v>95</v>
      </c>
      <c r="C7" s="88" t="s">
        <v>97</v>
      </c>
      <c r="D7" s="91">
        <v>146</v>
      </c>
      <c r="E7" s="37"/>
      <c r="F7" s="91"/>
      <c r="G7" s="156">
        <v>500</v>
      </c>
      <c r="K7" s="8"/>
      <c r="L7" s="8"/>
      <c r="M7" s="92">
        <v>500</v>
      </c>
      <c r="N7" s="23"/>
      <c r="R7" s="11"/>
      <c r="S7" s="11"/>
      <c r="T7" s="11"/>
      <c r="V7" s="11">
        <f>M7</f>
        <v>500</v>
      </c>
      <c r="W7" s="93">
        <f t="shared" ref="W7:W10" si="0">ROUND(V7+(X7-V7)/2,-2)</f>
        <v>300</v>
      </c>
      <c r="X7" s="93">
        <f>F7</f>
        <v>0</v>
      </c>
    </row>
    <row r="8" spans="1:28" x14ac:dyDescent="0.3">
      <c r="A8" s="513"/>
      <c r="B8" s="88" t="s">
        <v>95</v>
      </c>
      <c r="C8" s="88" t="s">
        <v>98</v>
      </c>
      <c r="D8" s="91">
        <v>651</v>
      </c>
      <c r="F8" s="91"/>
      <c r="G8" s="156">
        <v>3600</v>
      </c>
      <c r="K8" s="8"/>
      <c r="L8" s="8"/>
      <c r="M8" s="92">
        <v>1000</v>
      </c>
      <c r="N8" s="37"/>
      <c r="R8" s="11"/>
      <c r="S8" s="37"/>
      <c r="T8" s="11"/>
      <c r="V8" s="11">
        <f t="shared" ref="V8:V10" si="1">M8</f>
        <v>1000</v>
      </c>
      <c r="W8" s="93">
        <f t="shared" si="0"/>
        <v>2000</v>
      </c>
      <c r="X8" s="94">
        <f>ROUND(V8*3,-2)</f>
        <v>3000</v>
      </c>
    </row>
    <row r="9" spans="1:28" x14ac:dyDescent="0.3">
      <c r="A9" s="513"/>
      <c r="B9" s="88" t="s">
        <v>95</v>
      </c>
      <c r="C9" s="88" t="s">
        <v>99</v>
      </c>
      <c r="D9" s="91">
        <v>189</v>
      </c>
      <c r="F9" s="8">
        <v>10000</v>
      </c>
      <c r="G9" s="156"/>
      <c r="K9" s="8"/>
      <c r="L9" s="8"/>
      <c r="M9" s="92">
        <v>500</v>
      </c>
      <c r="N9" s="37"/>
      <c r="R9" s="11"/>
      <c r="S9" s="37"/>
      <c r="T9" s="11"/>
      <c r="V9" s="11">
        <f t="shared" si="1"/>
        <v>500</v>
      </c>
      <c r="W9" s="93" t="e">
        <f>ROUND(V9+(X9-V9)/2,-2)</f>
        <v>#REF!</v>
      </c>
      <c r="X9" s="93" t="e">
        <f>#REF!</f>
        <v>#REF!</v>
      </c>
    </row>
    <row r="10" spans="1:28" x14ac:dyDescent="0.3">
      <c r="A10" s="513"/>
      <c r="B10" s="88" t="s">
        <v>95</v>
      </c>
      <c r="C10" s="88" t="s">
        <v>100</v>
      </c>
      <c r="D10" s="91">
        <v>1025</v>
      </c>
      <c r="F10" s="91"/>
      <c r="G10" s="156">
        <v>7300</v>
      </c>
      <c r="K10" s="8"/>
      <c r="L10" s="8"/>
      <c r="M10" s="92">
        <v>1000</v>
      </c>
      <c r="N10" s="37"/>
      <c r="R10" s="11"/>
      <c r="S10" s="37"/>
      <c r="T10" s="11"/>
      <c r="V10" s="11">
        <f t="shared" si="1"/>
        <v>1000</v>
      </c>
      <c r="W10" s="93">
        <f t="shared" si="0"/>
        <v>2000</v>
      </c>
      <c r="X10" s="94">
        <f>ROUND(V10*3,-2)</f>
        <v>3000</v>
      </c>
    </row>
    <row r="11" spans="1:28" x14ac:dyDescent="0.3">
      <c r="A11" s="513"/>
      <c r="B11" s="88" t="s">
        <v>90</v>
      </c>
      <c r="C11" s="88" t="s">
        <v>101</v>
      </c>
      <c r="D11" s="37">
        <v>0</v>
      </c>
      <c r="E11" s="37"/>
      <c r="F11"/>
      <c r="G11" s="106">
        <f>HistoricAbund_Calcs.!F111</f>
        <v>91726.027397260274</v>
      </c>
      <c r="K11" s="8"/>
      <c r="L11" s="23"/>
      <c r="M11" s="23"/>
      <c r="N11" s="23"/>
      <c r="R11" s="11"/>
      <c r="S11" s="11"/>
      <c r="T11" s="11"/>
      <c r="V11" s="95" t="s">
        <v>77</v>
      </c>
      <c r="W11" s="95" t="s">
        <v>77</v>
      </c>
      <c r="X11" s="95" t="s">
        <v>77</v>
      </c>
    </row>
    <row r="12" spans="1:28" x14ac:dyDescent="0.3">
      <c r="A12" s="513"/>
      <c r="B12" s="88" t="s">
        <v>90</v>
      </c>
      <c r="C12" s="88" t="s">
        <v>102</v>
      </c>
      <c r="D12" s="37">
        <v>0</v>
      </c>
      <c r="E12" s="37"/>
      <c r="F12"/>
      <c r="G12" s="106">
        <f>HistoricAbund_Calcs.!F112</f>
        <v>229739.72602739726</v>
      </c>
      <c r="K12" s="8"/>
      <c r="L12" s="8"/>
      <c r="M12" s="58"/>
      <c r="N12" s="23"/>
      <c r="R12" s="11"/>
      <c r="S12" s="11"/>
      <c r="T12" s="11"/>
      <c r="V12" s="95" t="s">
        <v>77</v>
      </c>
      <c r="W12" s="95" t="s">
        <v>77</v>
      </c>
      <c r="X12" s="95" t="s">
        <v>77</v>
      </c>
    </row>
    <row r="13" spans="1:28" x14ac:dyDescent="0.3">
      <c r="A13" s="513"/>
      <c r="B13" s="88" t="s">
        <v>90</v>
      </c>
      <c r="C13" s="88" t="s">
        <v>103</v>
      </c>
      <c r="D13" s="11">
        <v>0</v>
      </c>
      <c r="G13" s="106">
        <f>HistoricAbund_Calcs.!F113</f>
        <v>146506.84931506851</v>
      </c>
      <c r="K13" s="8"/>
      <c r="L13" s="8"/>
      <c r="M13" s="11"/>
      <c r="R13" s="11"/>
      <c r="S13" s="11"/>
      <c r="T13" s="11"/>
      <c r="V13" s="95" t="s">
        <v>77</v>
      </c>
      <c r="W13" s="95" t="s">
        <v>77</v>
      </c>
      <c r="X13" s="95" t="s">
        <v>77</v>
      </c>
    </row>
    <row r="14" spans="1:28" x14ac:dyDescent="0.3">
      <c r="A14" s="513"/>
      <c r="B14" s="88" t="s">
        <v>90</v>
      </c>
      <c r="C14" s="88" t="s">
        <v>104</v>
      </c>
      <c r="D14" s="11">
        <v>0</v>
      </c>
      <c r="F14" s="11">
        <v>1800</v>
      </c>
      <c r="G14" s="106">
        <f>HistoricAbund_Calcs.!F110</f>
        <v>68794.520547945212</v>
      </c>
      <c r="J14">
        <v>1000</v>
      </c>
      <c r="K14" s="8"/>
      <c r="L14" s="8"/>
      <c r="M14" s="11"/>
      <c r="R14" s="11"/>
      <c r="S14" s="11"/>
      <c r="T14" s="11"/>
      <c r="V14" s="95" t="s">
        <v>77</v>
      </c>
      <c r="W14" s="95" t="s">
        <v>77</v>
      </c>
      <c r="X14" s="95" t="s">
        <v>77</v>
      </c>
    </row>
    <row r="15" spans="1:28" x14ac:dyDescent="0.3">
      <c r="A15" s="513"/>
      <c r="B15" s="88" t="s">
        <v>92</v>
      </c>
      <c r="C15" s="88" t="s">
        <v>105</v>
      </c>
      <c r="D15" s="11">
        <v>0</v>
      </c>
      <c r="G15" s="106">
        <f>HistoricAbund_Calcs.!F117</f>
        <v>127397.2602739726</v>
      </c>
      <c r="K15" s="8"/>
      <c r="L15" s="8"/>
      <c r="M15" s="11"/>
      <c r="R15" s="11"/>
      <c r="S15" s="11"/>
      <c r="T15" s="11"/>
      <c r="V15" s="95" t="s">
        <v>77</v>
      </c>
      <c r="W15" s="95" t="s">
        <v>77</v>
      </c>
      <c r="X15" s="95" t="s">
        <v>77</v>
      </c>
    </row>
    <row r="16" spans="1:28" x14ac:dyDescent="0.3">
      <c r="A16" s="513"/>
      <c r="B16" s="88" t="s">
        <v>92</v>
      </c>
      <c r="C16" s="88" t="s">
        <v>106</v>
      </c>
      <c r="D16" s="11">
        <v>0</v>
      </c>
      <c r="G16" s="106">
        <f>HistoricAbund_Calcs.!F116</f>
        <v>229315.0684931507</v>
      </c>
      <c r="K16" s="8"/>
      <c r="L16" s="8"/>
      <c r="M16" s="58"/>
      <c r="R16" s="11"/>
      <c r="S16" s="11"/>
      <c r="T16" s="11"/>
      <c r="V16" s="95" t="s">
        <v>77</v>
      </c>
      <c r="W16" s="95" t="s">
        <v>77</v>
      </c>
      <c r="X16" s="95" t="s">
        <v>77</v>
      </c>
    </row>
    <row r="17" spans="1:24" x14ac:dyDescent="0.3">
      <c r="A17" s="513"/>
      <c r="B17" s="88" t="s">
        <v>188</v>
      </c>
      <c r="C17" s="88" t="s">
        <v>127</v>
      </c>
      <c r="G17" s="106">
        <f>HistoricAbund_Calcs.!F114</f>
        <v>233561.64383561644</v>
      </c>
      <c r="K17" s="8"/>
      <c r="L17" s="8"/>
      <c r="M17" s="58"/>
      <c r="R17" s="11"/>
      <c r="S17" s="11"/>
      <c r="T17" s="11"/>
      <c r="V17" s="95"/>
      <c r="W17" s="95"/>
      <c r="X17" s="95"/>
    </row>
    <row r="18" spans="1:24" s="40" customFormat="1" x14ac:dyDescent="0.3">
      <c r="A18" s="513"/>
      <c r="B18" s="32" t="s">
        <v>14</v>
      </c>
      <c r="C18" s="32"/>
      <c r="D18" s="33"/>
      <c r="E18" s="33"/>
      <c r="F18" s="33"/>
      <c r="G18" s="154"/>
      <c r="H18" s="33"/>
      <c r="I18" s="32"/>
      <c r="J18" s="32"/>
      <c r="K18" s="32"/>
      <c r="L18" s="32"/>
      <c r="M18" s="33"/>
      <c r="N18" s="32"/>
      <c r="O18" s="32"/>
      <c r="P18" s="32"/>
      <c r="Q18" s="32"/>
      <c r="R18" s="32"/>
      <c r="S18" s="32"/>
      <c r="T18" s="32"/>
    </row>
    <row r="20" spans="1:24" x14ac:dyDescent="0.3">
      <c r="A20" s="513" t="s">
        <v>116</v>
      </c>
      <c r="B20" s="88" t="s">
        <v>95</v>
      </c>
      <c r="C20" s="88" t="s">
        <v>96</v>
      </c>
      <c r="D20" s="37"/>
      <c r="E20" s="37"/>
      <c r="F20"/>
      <c r="K20" s="73"/>
      <c r="L20" s="23"/>
      <c r="M20" s="23"/>
      <c r="R20" s="11"/>
      <c r="S20" s="11"/>
      <c r="T20" s="11"/>
    </row>
    <row r="21" spans="1:24" x14ac:dyDescent="0.3">
      <c r="A21" s="513"/>
      <c r="B21" s="88" t="s">
        <v>95</v>
      </c>
      <c r="C21" s="88" t="s">
        <v>97</v>
      </c>
      <c r="D21" s="37"/>
      <c r="E21" s="37"/>
      <c r="F21"/>
      <c r="K21" s="36"/>
      <c r="L21" s="8"/>
      <c r="M21" s="11"/>
      <c r="R21" s="11"/>
      <c r="S21" s="11"/>
      <c r="T21" s="11"/>
    </row>
    <row r="22" spans="1:24" x14ac:dyDescent="0.3">
      <c r="A22" s="513"/>
      <c r="B22" s="88" t="s">
        <v>95</v>
      </c>
      <c r="C22" s="88" t="s">
        <v>98</v>
      </c>
      <c r="F22"/>
      <c r="K22" s="36"/>
      <c r="L22" s="8"/>
      <c r="M22" s="11"/>
      <c r="R22" s="11"/>
      <c r="S22" s="37"/>
      <c r="T22" s="11"/>
    </row>
    <row r="23" spans="1:24" x14ac:dyDescent="0.3">
      <c r="A23" s="513"/>
      <c r="B23" s="88" t="s">
        <v>95</v>
      </c>
      <c r="C23" s="88" t="s">
        <v>99</v>
      </c>
      <c r="F23"/>
      <c r="K23" s="36"/>
      <c r="L23" s="8"/>
      <c r="M23" s="11"/>
      <c r="N23" s="37"/>
      <c r="R23" s="11"/>
      <c r="S23" s="37"/>
      <c r="T23" s="11"/>
    </row>
    <row r="24" spans="1:24" x14ac:dyDescent="0.3">
      <c r="A24" s="513"/>
      <c r="B24" s="88" t="s">
        <v>95</v>
      </c>
      <c r="C24" s="88" t="s">
        <v>100</v>
      </c>
      <c r="F24"/>
      <c r="K24" s="36"/>
      <c r="L24" s="8"/>
      <c r="M24" s="11"/>
      <c r="R24" s="11"/>
      <c r="S24" s="11"/>
      <c r="T24" s="11"/>
    </row>
    <row r="25" spans="1:24" x14ac:dyDescent="0.3">
      <c r="A25" s="513"/>
      <c r="B25" s="88" t="s">
        <v>90</v>
      </c>
      <c r="C25" s="88" t="s">
        <v>101</v>
      </c>
      <c r="D25" s="37"/>
      <c r="E25" s="37"/>
      <c r="F25"/>
      <c r="K25" s="36"/>
      <c r="L25" s="23"/>
      <c r="M25" s="23"/>
      <c r="R25" s="11"/>
      <c r="S25" s="11"/>
      <c r="T25" s="11"/>
    </row>
    <row r="26" spans="1:24" x14ac:dyDescent="0.3">
      <c r="A26" s="513"/>
      <c r="B26" s="88" t="s">
        <v>90</v>
      </c>
      <c r="C26" s="88" t="s">
        <v>102</v>
      </c>
      <c r="D26" s="37"/>
      <c r="E26" s="37"/>
      <c r="F26"/>
      <c r="K26" s="36"/>
      <c r="L26" s="8"/>
      <c r="M26" s="8"/>
      <c r="R26" s="11"/>
      <c r="S26" s="11"/>
      <c r="T26" s="11"/>
    </row>
    <row r="27" spans="1:24" x14ac:dyDescent="0.3">
      <c r="A27" s="513"/>
      <c r="B27" s="88" t="s">
        <v>90</v>
      </c>
      <c r="C27" s="88" t="s">
        <v>103</v>
      </c>
      <c r="K27" s="8"/>
      <c r="L27" s="8"/>
      <c r="M27" s="11"/>
      <c r="R27" s="11"/>
      <c r="S27" s="11"/>
      <c r="T27" s="11"/>
    </row>
    <row r="28" spans="1:24" x14ac:dyDescent="0.3">
      <c r="A28" s="513"/>
      <c r="B28" s="88" t="s">
        <v>90</v>
      </c>
      <c r="C28" s="88" t="s">
        <v>104</v>
      </c>
      <c r="K28" s="8"/>
      <c r="L28" s="8"/>
      <c r="M28" s="11"/>
      <c r="R28" s="11"/>
      <c r="S28" s="11"/>
      <c r="T28" s="11"/>
    </row>
    <row r="29" spans="1:24" x14ac:dyDescent="0.3">
      <c r="A29" s="513"/>
      <c r="B29" s="88" t="s">
        <v>92</v>
      </c>
      <c r="C29" s="88" t="s">
        <v>105</v>
      </c>
      <c r="K29" s="8"/>
      <c r="L29" s="8"/>
      <c r="M29" s="11"/>
      <c r="R29" s="11"/>
      <c r="S29" s="11"/>
      <c r="T29" s="11"/>
    </row>
    <row r="30" spans="1:24" x14ac:dyDescent="0.3">
      <c r="A30" s="513"/>
      <c r="B30" s="88" t="s">
        <v>92</v>
      </c>
      <c r="C30" s="88" t="s">
        <v>106</v>
      </c>
      <c r="K30" s="8"/>
      <c r="L30" s="8"/>
      <c r="R30" s="11"/>
      <c r="S30" s="11"/>
      <c r="T30" s="11"/>
    </row>
    <row r="31" spans="1:24" x14ac:dyDescent="0.3">
      <c r="A31" s="513"/>
      <c r="B31" s="32" t="s">
        <v>14</v>
      </c>
      <c r="C31" s="32"/>
      <c r="D31" s="33"/>
      <c r="E31" s="33"/>
      <c r="F31" s="33"/>
      <c r="G31" s="154"/>
      <c r="H31" s="33"/>
      <c r="I31" s="32"/>
      <c r="J31" s="32"/>
      <c r="K31" s="32"/>
      <c r="L31" s="32"/>
      <c r="M31" s="33"/>
      <c r="N31" s="32"/>
      <c r="O31" s="32"/>
      <c r="P31" s="32"/>
      <c r="Q31" s="32"/>
      <c r="R31" s="32"/>
      <c r="S31" s="32"/>
      <c r="T31" s="32"/>
    </row>
    <row r="32" spans="1:24" x14ac:dyDescent="0.3">
      <c r="K32" s="8"/>
      <c r="L32" s="8"/>
      <c r="M32" s="11"/>
      <c r="R32" s="11"/>
      <c r="S32" s="11"/>
      <c r="T32" s="11"/>
    </row>
    <row r="33" spans="2:29" x14ac:dyDescent="0.3">
      <c r="D33" s="37"/>
      <c r="E33" s="37"/>
      <c r="F33" s="37"/>
      <c r="K33" s="8"/>
      <c r="L33" s="23"/>
      <c r="M33" s="23"/>
      <c r="R33" s="11"/>
      <c r="S33" s="11"/>
      <c r="T33" s="11"/>
    </row>
    <row r="34" spans="2:29" x14ac:dyDescent="0.3">
      <c r="D34" s="37"/>
      <c r="E34" s="37"/>
      <c r="F34" s="37"/>
      <c r="K34" s="8"/>
      <c r="L34" s="8"/>
      <c r="M34" s="11"/>
      <c r="R34" s="11"/>
      <c r="S34" s="37"/>
      <c r="T34" s="37"/>
    </row>
    <row r="35" spans="2:29" x14ac:dyDescent="0.3">
      <c r="D35" s="37"/>
      <c r="E35" s="37"/>
      <c r="F35" s="37"/>
      <c r="K35" s="8"/>
      <c r="L35" s="8"/>
      <c r="M35" s="11"/>
      <c r="R35" s="11"/>
      <c r="S35" s="11"/>
      <c r="T35" s="11"/>
    </row>
    <row r="36" spans="2:29" x14ac:dyDescent="0.3">
      <c r="D36" s="37"/>
      <c r="E36" s="37"/>
      <c r="F36" s="37"/>
      <c r="H36" s="517" t="s">
        <v>92</v>
      </c>
      <c r="I36" s="299" t="s">
        <v>93</v>
      </c>
      <c r="J36" s="300">
        <f>'Natl prod'!D15</f>
        <v>0</v>
      </c>
      <c r="K36" s="519">
        <v>356000</v>
      </c>
      <c r="L36" s="301">
        <v>1000</v>
      </c>
      <c r="M36" s="301">
        <v>2000</v>
      </c>
      <c r="N36" s="302">
        <f>3*L36</f>
        <v>3000</v>
      </c>
      <c r="R36" s="11"/>
      <c r="S36" s="11"/>
      <c r="T36" s="11"/>
    </row>
    <row r="37" spans="2:29" x14ac:dyDescent="0.3">
      <c r="D37" s="37"/>
      <c r="E37" s="37"/>
      <c r="F37" s="37"/>
      <c r="H37" s="518"/>
      <c r="I37" s="299" t="s">
        <v>309</v>
      </c>
      <c r="J37" s="307">
        <f>'Natl prod'!D16</f>
        <v>0</v>
      </c>
      <c r="K37" s="521"/>
      <c r="L37" s="308">
        <v>1000</v>
      </c>
      <c r="M37" s="301">
        <v>2000</v>
      </c>
      <c r="N37" s="302">
        <f>3*L37</f>
        <v>3000</v>
      </c>
      <c r="R37" s="11"/>
      <c r="S37" s="11"/>
      <c r="T37" s="11"/>
    </row>
    <row r="38" spans="2:29" x14ac:dyDescent="0.3">
      <c r="G38" s="107"/>
      <c r="H38" s="514" t="s">
        <v>111</v>
      </c>
      <c r="I38" s="299" t="s">
        <v>109</v>
      </c>
      <c r="J38" s="300">
        <f>'Natl prod'!D11</f>
        <v>0</v>
      </c>
      <c r="K38" s="519">
        <v>536767</v>
      </c>
      <c r="L38" s="300">
        <f>HabitatPotential_MAT!M80</f>
        <v>500</v>
      </c>
      <c r="M38" s="301">
        <f>119+81+1398</f>
        <v>1598</v>
      </c>
      <c r="N38" s="302">
        <f>1.5*M38</f>
        <v>2397</v>
      </c>
      <c r="R38" s="11"/>
      <c r="S38" s="11"/>
      <c r="T38" s="11"/>
      <c r="V38" s="11"/>
      <c r="X38" s="11"/>
      <c r="Z38" s="57"/>
      <c r="AA38" s="57"/>
      <c r="AB38" s="57"/>
    </row>
    <row r="39" spans="2:29" x14ac:dyDescent="0.3">
      <c r="G39" s="107"/>
      <c r="H39" s="515"/>
      <c r="I39" s="299" t="s">
        <v>91</v>
      </c>
      <c r="J39" s="303">
        <f>'Natl prod'!D12</f>
        <v>0</v>
      </c>
      <c r="K39" s="520"/>
      <c r="L39" s="303">
        <f>HabitatPotential_MAT!M81</f>
        <v>1000</v>
      </c>
      <c r="M39" s="304">
        <f>6085+8092+2114+1389</f>
        <v>17680</v>
      </c>
      <c r="N39" s="305">
        <f>1.5*M39</f>
        <v>26520</v>
      </c>
      <c r="R39" s="37"/>
      <c r="S39" s="11"/>
      <c r="T39" s="11"/>
      <c r="V39" s="11"/>
      <c r="X39" s="11"/>
      <c r="Z39" s="57"/>
      <c r="AA39" s="57"/>
      <c r="AB39" s="57"/>
    </row>
    <row r="40" spans="2:29" x14ac:dyDescent="0.3">
      <c r="G40" s="107"/>
      <c r="H40" s="515"/>
      <c r="I40" s="299" t="s">
        <v>110</v>
      </c>
      <c r="J40" s="303">
        <f>'Natl prod'!D13</f>
        <v>0</v>
      </c>
      <c r="K40" s="520"/>
      <c r="L40" s="303">
        <f>HabitatPotential_MAT!M82</f>
        <v>500</v>
      </c>
      <c r="M40" s="304">
        <f>L40*2</f>
        <v>1000</v>
      </c>
      <c r="N40" s="305">
        <f>1.5*M40</f>
        <v>1500</v>
      </c>
      <c r="R40" s="37"/>
      <c r="S40" s="11"/>
      <c r="T40" s="11"/>
      <c r="V40" s="11"/>
      <c r="X40" s="11"/>
      <c r="Z40" s="57"/>
      <c r="AA40" s="57"/>
      <c r="AB40" s="57"/>
    </row>
    <row r="41" spans="2:29" x14ac:dyDescent="0.3">
      <c r="H41" s="516"/>
      <c r="I41" s="306" t="s">
        <v>89</v>
      </c>
      <c r="J41" s="307">
        <f>'Natl prod'!D14</f>
        <v>0</v>
      </c>
      <c r="K41" s="521"/>
      <c r="L41" s="307">
        <f>HabitatPotential_MAT!M79</f>
        <v>500</v>
      </c>
      <c r="M41" s="308">
        <v>947</v>
      </c>
      <c r="N41" s="309">
        <f>1.5*M41</f>
        <v>1420.5</v>
      </c>
      <c r="R41" s="11"/>
    </row>
    <row r="42" spans="2:29" x14ac:dyDescent="0.3">
      <c r="B42" s="40"/>
      <c r="C42" s="40"/>
      <c r="D42" s="75"/>
      <c r="E42" s="75"/>
      <c r="F42" s="75"/>
      <c r="G42" s="76"/>
      <c r="H42" s="310" t="s">
        <v>215</v>
      </c>
      <c r="I42" s="311" t="s">
        <v>127</v>
      </c>
      <c r="J42" s="303">
        <v>0</v>
      </c>
      <c r="K42" s="298">
        <v>233000</v>
      </c>
      <c r="L42" s="300"/>
      <c r="M42" s="301"/>
      <c r="N42" s="302"/>
      <c r="O42" s="40"/>
      <c r="P42" s="40"/>
      <c r="Q42" s="40"/>
      <c r="R42" s="40"/>
      <c r="S42" s="40"/>
      <c r="T42" s="40"/>
      <c r="U42" s="40"/>
      <c r="V42" s="40"/>
      <c r="W42" s="40"/>
      <c r="X42" s="40"/>
      <c r="Y42" s="40"/>
      <c r="Z42" s="40"/>
      <c r="AA42" s="40"/>
      <c r="AB42" s="40"/>
      <c r="AC42" s="40"/>
    </row>
    <row r="43" spans="2:29" x14ac:dyDescent="0.3">
      <c r="B43" s="40"/>
      <c r="C43" s="40"/>
      <c r="D43" s="75"/>
      <c r="E43" s="75"/>
      <c r="F43" s="75"/>
      <c r="G43" s="76"/>
      <c r="H43" s="73"/>
      <c r="I43" s="73"/>
      <c r="J43" s="73"/>
      <c r="K43" s="73"/>
      <c r="L43" s="73"/>
      <c r="M43" s="73"/>
      <c r="N43" s="73"/>
      <c r="O43" s="40"/>
      <c r="P43" s="40"/>
      <c r="Q43" s="40"/>
      <c r="R43" s="40"/>
      <c r="S43" s="40"/>
      <c r="T43" s="40"/>
      <c r="U43" s="40"/>
      <c r="V43" s="40"/>
      <c r="W43" s="40"/>
      <c r="X43" s="40"/>
      <c r="Y43" s="40"/>
      <c r="Z43" s="40"/>
      <c r="AA43" s="40"/>
      <c r="AB43" s="40"/>
      <c r="AC43" s="40"/>
    </row>
    <row r="44" spans="2:29" x14ac:dyDescent="0.3">
      <c r="B44" s="40"/>
      <c r="C44" s="40"/>
      <c r="D44" s="65"/>
      <c r="E44" s="65"/>
      <c r="F44" s="65"/>
      <c r="G44" s="76"/>
      <c r="O44" s="40"/>
      <c r="P44" s="40"/>
      <c r="Q44" s="40"/>
      <c r="R44" s="40"/>
      <c r="S44" s="40"/>
      <c r="T44" s="40"/>
      <c r="U44" s="40"/>
      <c r="V44" s="40"/>
      <c r="W44" s="40"/>
      <c r="X44" s="40"/>
      <c r="Y44" s="40"/>
      <c r="Z44" s="40"/>
      <c r="AA44" s="40"/>
      <c r="AB44" s="40"/>
      <c r="AC44" s="40"/>
    </row>
    <row r="45" spans="2:29" x14ac:dyDescent="0.3">
      <c r="B45" s="32" t="s">
        <v>14</v>
      </c>
      <c r="C45" s="77"/>
      <c r="D45" s="33"/>
      <c r="E45" s="33"/>
      <c r="F45" s="33"/>
      <c r="G45" s="155"/>
      <c r="H45" s="78"/>
      <c r="I45" s="77"/>
      <c r="J45" s="77"/>
      <c r="K45" s="77"/>
      <c r="L45" s="77"/>
      <c r="M45" s="77"/>
      <c r="N45" s="77"/>
      <c r="O45" s="77"/>
      <c r="P45" s="77"/>
      <c r="Q45" s="77"/>
      <c r="R45" s="77"/>
      <c r="S45" s="77"/>
      <c r="T45" s="77"/>
    </row>
  </sheetData>
  <mergeCells count="6">
    <mergeCell ref="A6:A18"/>
    <mergeCell ref="A20:A31"/>
    <mergeCell ref="H38:H41"/>
    <mergeCell ref="H36:H37"/>
    <mergeCell ref="K38:K41"/>
    <mergeCell ref="K36:K37"/>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0"/>
  <sheetViews>
    <sheetView topLeftCell="B91" zoomScale="80" zoomScaleNormal="80" workbookViewId="0">
      <selection activeCell="F112" sqref="F112"/>
    </sheetView>
  </sheetViews>
  <sheetFormatPr defaultColWidth="8.88671875" defaultRowHeight="14.4" x14ac:dyDescent="0.3"/>
  <cols>
    <col min="1" max="1" width="21" bestFit="1" customWidth="1"/>
    <col min="2" max="2" width="35.33203125" bestFit="1" customWidth="1"/>
    <col min="3" max="3" width="21" bestFit="1" customWidth="1"/>
    <col min="4" max="5" width="24.6640625" customWidth="1"/>
    <col min="6" max="6" width="18.6640625" customWidth="1"/>
    <col min="7" max="7" width="22.6640625" bestFit="1" customWidth="1"/>
    <col min="8" max="8" width="13.109375" bestFit="1" customWidth="1"/>
    <col min="9" max="9" width="14.109375" bestFit="1" customWidth="1"/>
    <col min="10" max="10" width="25.5546875" customWidth="1"/>
    <col min="11" max="11" width="12.6640625" bestFit="1" customWidth="1"/>
  </cols>
  <sheetData>
    <row r="1" spans="1:8" ht="14.4" customHeight="1" x14ac:dyDescent="0.3">
      <c r="A1" s="529" t="s">
        <v>186</v>
      </c>
      <c r="B1" s="529"/>
      <c r="C1" s="529"/>
      <c r="D1" s="529"/>
      <c r="F1" s="529" t="s">
        <v>185</v>
      </c>
      <c r="G1" s="529"/>
    </row>
    <row r="2" spans="1:8" x14ac:dyDescent="0.3">
      <c r="A2" s="529"/>
      <c r="B2" s="529"/>
      <c r="C2" s="529"/>
      <c r="D2" s="529"/>
      <c r="F2" s="529"/>
      <c r="G2" s="529"/>
    </row>
    <row r="3" spans="1:8" x14ac:dyDescent="0.3">
      <c r="A3" s="529"/>
      <c r="B3" s="529"/>
      <c r="C3" s="529"/>
      <c r="D3" s="529"/>
      <c r="F3" s="529"/>
      <c r="G3" s="529"/>
    </row>
    <row r="4" spans="1:8" x14ac:dyDescent="0.3">
      <c r="A4" s="529"/>
      <c r="B4" s="529"/>
      <c r="C4" s="529"/>
      <c r="D4" s="529"/>
      <c r="F4" s="529"/>
      <c r="G4" s="529"/>
    </row>
    <row r="5" spans="1:8" x14ac:dyDescent="0.3">
      <c r="A5" s="529"/>
      <c r="B5" s="529"/>
      <c r="C5" s="529"/>
      <c r="D5" s="529"/>
      <c r="F5" s="529"/>
      <c r="G5" s="529"/>
    </row>
    <row r="6" spans="1:8" x14ac:dyDescent="0.3">
      <c r="A6" s="529"/>
      <c r="B6" s="529"/>
      <c r="C6" s="529"/>
      <c r="D6" s="529"/>
      <c r="F6" s="529"/>
      <c r="G6" s="529"/>
    </row>
    <row r="7" spans="1:8" x14ac:dyDescent="0.3">
      <c r="A7" s="529"/>
      <c r="B7" s="529"/>
      <c r="C7" s="529"/>
      <c r="D7" s="529"/>
      <c r="F7" s="529"/>
      <c r="G7" s="529"/>
    </row>
    <row r="8" spans="1:8" x14ac:dyDescent="0.3">
      <c r="A8" s="529"/>
      <c r="B8" s="529"/>
      <c r="C8" s="529"/>
      <c r="D8" s="529"/>
      <c r="F8" s="214"/>
      <c r="G8" s="214"/>
    </row>
    <row r="9" spans="1:8" x14ac:dyDescent="0.3">
      <c r="A9" s="529"/>
      <c r="B9" s="529"/>
      <c r="C9" s="529"/>
      <c r="D9" s="529"/>
      <c r="F9" s="214"/>
      <c r="G9" s="214"/>
    </row>
    <row r="10" spans="1:8" x14ac:dyDescent="0.3">
      <c r="A10" s="214"/>
      <c r="B10" s="214"/>
      <c r="C10" s="214"/>
      <c r="D10" s="214"/>
      <c r="E10" s="214"/>
      <c r="G10" s="214"/>
      <c r="H10" s="214"/>
    </row>
    <row r="11" spans="1:8" x14ac:dyDescent="0.3">
      <c r="A11" s="214"/>
      <c r="B11" s="214"/>
      <c r="C11" s="214"/>
      <c r="D11" s="214"/>
      <c r="E11" s="214"/>
      <c r="G11" s="214"/>
      <c r="H11" s="214"/>
    </row>
    <row r="12" spans="1:8" ht="15" customHeight="1" thickBot="1" x14ac:dyDescent="0.35">
      <c r="A12" t="s">
        <v>184</v>
      </c>
      <c r="C12" s="214"/>
    </row>
    <row r="13" spans="1:8" ht="14.4" customHeight="1" x14ac:dyDescent="0.3">
      <c r="A13" s="169" t="s">
        <v>169</v>
      </c>
      <c r="B13" s="168" t="s">
        <v>183</v>
      </c>
      <c r="C13" s="214"/>
    </row>
    <row r="14" spans="1:8" x14ac:dyDescent="0.3">
      <c r="A14" s="139" t="s">
        <v>167</v>
      </c>
      <c r="B14" s="130">
        <v>1500000</v>
      </c>
      <c r="C14" s="214"/>
    </row>
    <row r="15" spans="1:8" x14ac:dyDescent="0.3">
      <c r="A15" s="139" t="s">
        <v>172</v>
      </c>
      <c r="B15" s="130">
        <v>3510000</v>
      </c>
      <c r="C15" s="214"/>
    </row>
    <row r="16" spans="1:8" x14ac:dyDescent="0.3">
      <c r="A16" s="139" t="s">
        <v>165</v>
      </c>
      <c r="B16" s="130">
        <v>810000</v>
      </c>
      <c r="C16" s="214"/>
    </row>
    <row r="17" spans="1:8" x14ac:dyDescent="0.3">
      <c r="A17" s="139" t="s">
        <v>164</v>
      </c>
      <c r="B17" s="130">
        <v>2160000</v>
      </c>
      <c r="C17" s="214"/>
    </row>
    <row r="18" spans="1:8" x14ac:dyDescent="0.3">
      <c r="A18" s="139" t="s">
        <v>163</v>
      </c>
      <c r="B18" s="130">
        <v>1000000</v>
      </c>
      <c r="C18" s="214"/>
    </row>
    <row r="19" spans="1:8" x14ac:dyDescent="0.3">
      <c r="A19" s="139" t="s">
        <v>162</v>
      </c>
      <c r="B19" s="130">
        <v>1125000</v>
      </c>
      <c r="C19" s="214"/>
    </row>
    <row r="20" spans="1:8" x14ac:dyDescent="0.3">
      <c r="A20" s="139" t="s">
        <v>161</v>
      </c>
      <c r="B20" s="130">
        <v>2250000</v>
      </c>
      <c r="C20" s="214"/>
    </row>
    <row r="21" spans="1:8" x14ac:dyDescent="0.3">
      <c r="A21" s="139" t="s">
        <v>160</v>
      </c>
      <c r="B21" s="130">
        <v>1125000</v>
      </c>
      <c r="C21" s="214"/>
    </row>
    <row r="22" spans="1:8" x14ac:dyDescent="0.3">
      <c r="A22" s="139" t="s">
        <v>159</v>
      </c>
      <c r="B22" s="130">
        <v>600000</v>
      </c>
      <c r="C22" s="214"/>
    </row>
    <row r="23" spans="1:8" x14ac:dyDescent="0.3">
      <c r="A23" s="166" t="s">
        <v>92</v>
      </c>
      <c r="B23" s="132">
        <v>2700000</v>
      </c>
      <c r="C23" s="214"/>
    </row>
    <row r="24" spans="1:8" ht="15" thickBot="1" x14ac:dyDescent="0.35">
      <c r="A24" s="164" t="s">
        <v>42</v>
      </c>
      <c r="B24" s="126">
        <f>SUM(B14:B23)</f>
        <v>16780000</v>
      </c>
      <c r="C24" s="214"/>
    </row>
    <row r="25" spans="1:8" x14ac:dyDescent="0.3">
      <c r="C25" s="8"/>
      <c r="G25" s="63"/>
    </row>
    <row r="26" spans="1:8" ht="14.4" customHeight="1" thickBot="1" x14ac:dyDescent="0.35">
      <c r="A26" t="s">
        <v>177</v>
      </c>
      <c r="H26" s="144"/>
    </row>
    <row r="27" spans="1:8" x14ac:dyDescent="0.3">
      <c r="A27" s="169" t="s">
        <v>157</v>
      </c>
      <c r="B27" s="165" t="s">
        <v>290</v>
      </c>
      <c r="C27" s="165" t="s">
        <v>176</v>
      </c>
      <c r="D27" s="168" t="s">
        <v>175</v>
      </c>
      <c r="F27" s="151" t="s">
        <v>182</v>
      </c>
      <c r="G27" s="150" t="s">
        <v>181</v>
      </c>
      <c r="H27" s="144"/>
    </row>
    <row r="28" spans="1:8" x14ac:dyDescent="0.3">
      <c r="A28" s="167" t="s">
        <v>154</v>
      </c>
      <c r="B28" s="174">
        <f>0.55*G28</f>
        <v>0.13750000000000001</v>
      </c>
      <c r="C28" s="76">
        <v>18.5</v>
      </c>
      <c r="D28" s="145">
        <f>$B$24*B28</f>
        <v>2307250</v>
      </c>
      <c r="F28" s="149" t="s">
        <v>180</v>
      </c>
      <c r="G28" s="148">
        <v>0.25</v>
      </c>
      <c r="H28" s="144"/>
    </row>
    <row r="29" spans="1:8" x14ac:dyDescent="0.3">
      <c r="A29" s="167" t="s">
        <v>153</v>
      </c>
      <c r="B29" s="174">
        <f>0.55*G29</f>
        <v>0.35750000000000004</v>
      </c>
      <c r="C29" s="76">
        <v>18.5</v>
      </c>
      <c r="D29" s="145">
        <f t="shared" ref="D29:D30" si="0">$B$24*B29</f>
        <v>5998850.0000000009</v>
      </c>
      <c r="F29" s="149" t="s">
        <v>179</v>
      </c>
      <c r="G29" s="148">
        <v>0.65</v>
      </c>
      <c r="H29" s="144"/>
    </row>
    <row r="30" spans="1:8" ht="15" thickBot="1" x14ac:dyDescent="0.35">
      <c r="A30" s="167" t="s">
        <v>152</v>
      </c>
      <c r="B30" s="174">
        <f>0.55*G30</f>
        <v>5.5000000000000007E-2</v>
      </c>
      <c r="C30" s="76">
        <v>18.5</v>
      </c>
      <c r="D30" s="145">
        <f t="shared" si="0"/>
        <v>922900.00000000012</v>
      </c>
      <c r="F30" s="147" t="s">
        <v>178</v>
      </c>
      <c r="G30" s="146">
        <v>0.1</v>
      </c>
      <c r="H30" s="144"/>
    </row>
    <row r="31" spans="1:8" x14ac:dyDescent="0.3">
      <c r="A31" s="139" t="s">
        <v>155</v>
      </c>
      <c r="B31" s="8">
        <v>0.55000000000000004</v>
      </c>
      <c r="C31" s="8">
        <v>18.5</v>
      </c>
      <c r="D31" s="143">
        <f>$B$24*B31</f>
        <v>9229000</v>
      </c>
      <c r="H31" s="144"/>
    </row>
    <row r="32" spans="1:8" x14ac:dyDescent="0.3">
      <c r="A32" s="139" t="s">
        <v>151</v>
      </c>
      <c r="B32" s="8">
        <v>0.04</v>
      </c>
      <c r="C32" s="8">
        <v>8.9</v>
      </c>
      <c r="D32" s="143">
        <f>$B$24*B32</f>
        <v>671200</v>
      </c>
    </row>
    <row r="33" spans="1:9" x14ac:dyDescent="0.3">
      <c r="A33" s="139" t="s">
        <v>150</v>
      </c>
      <c r="B33" s="8">
        <v>7.0000000000000007E-2</v>
      </c>
      <c r="C33" s="8">
        <v>3.5</v>
      </c>
      <c r="D33" s="143">
        <f>$B$24*B33</f>
        <v>1174600</v>
      </c>
    </row>
    <row r="34" spans="1:9" x14ac:dyDescent="0.3">
      <c r="A34" s="166" t="s">
        <v>149</v>
      </c>
      <c r="B34" s="173">
        <v>0.31</v>
      </c>
      <c r="C34" s="173">
        <v>7.3</v>
      </c>
      <c r="D34" s="142">
        <f>$B$24*B34</f>
        <v>5201800</v>
      </c>
    </row>
    <row r="35" spans="1:9" ht="15" thickBot="1" x14ac:dyDescent="0.35">
      <c r="A35" s="164" t="s">
        <v>42</v>
      </c>
      <c r="B35" s="172">
        <f>SUM(B31:B34)</f>
        <v>0.9700000000000002</v>
      </c>
      <c r="C35" s="141"/>
      <c r="D35" s="136">
        <f>SUM(D31:D34)</f>
        <v>16276600</v>
      </c>
    </row>
    <row r="36" spans="1:9" ht="15" thickBot="1" x14ac:dyDescent="0.35">
      <c r="B36" s="107"/>
      <c r="C36" s="107"/>
      <c r="D36" s="8"/>
    </row>
    <row r="37" spans="1:9" x14ac:dyDescent="0.3">
      <c r="A37" s="140"/>
      <c r="B37" s="530" t="s">
        <v>174</v>
      </c>
      <c r="C37" s="530"/>
      <c r="D37" s="530"/>
      <c r="E37" s="530"/>
      <c r="F37" s="530"/>
      <c r="G37" s="530"/>
      <c r="H37" s="530"/>
      <c r="I37" s="531" t="s">
        <v>173</v>
      </c>
    </row>
    <row r="38" spans="1:9" x14ac:dyDescent="0.3">
      <c r="A38" s="129" t="s">
        <v>169</v>
      </c>
      <c r="B38" s="60" t="s">
        <v>154</v>
      </c>
      <c r="C38" s="60" t="s">
        <v>153</v>
      </c>
      <c r="D38" s="60" t="s">
        <v>152</v>
      </c>
      <c r="E38" s="60" t="s">
        <v>168</v>
      </c>
      <c r="F38" s="60" t="s">
        <v>151</v>
      </c>
      <c r="G38" s="60" t="s">
        <v>150</v>
      </c>
      <c r="H38" s="60" t="s">
        <v>149</v>
      </c>
      <c r="I38" s="532"/>
    </row>
    <row r="39" spans="1:9" x14ac:dyDescent="0.3">
      <c r="A39" s="139" t="s">
        <v>167</v>
      </c>
      <c r="B39" s="107">
        <f t="shared" ref="B39:B48" si="1">$B$28*B14</f>
        <v>206250.00000000003</v>
      </c>
      <c r="C39" s="107">
        <f t="shared" ref="C39:C48" si="2">$B$29*B14</f>
        <v>536250.00000000012</v>
      </c>
      <c r="D39" s="107">
        <f t="shared" ref="D39:D48" si="3">$B$30*B14</f>
        <v>82500.000000000015</v>
      </c>
      <c r="E39" s="107">
        <f t="shared" ref="E39:E48" si="4">SUM(B39:D39)</f>
        <v>825000.00000000012</v>
      </c>
      <c r="F39" s="107">
        <f t="shared" ref="F39:F48" si="5">B14*$B$32</f>
        <v>60000</v>
      </c>
      <c r="G39" s="107">
        <f t="shared" ref="G39:G48" si="6">B14*$B$33</f>
        <v>105000.00000000001</v>
      </c>
      <c r="H39" s="107">
        <f t="shared" ref="H39:H48" si="7">B14*$B$34</f>
        <v>465000</v>
      </c>
      <c r="I39" s="138">
        <f>SUM(E39:H39)</f>
        <v>1455000</v>
      </c>
    </row>
    <row r="40" spans="1:9" x14ac:dyDescent="0.3">
      <c r="A40" s="139" t="s">
        <v>172</v>
      </c>
      <c r="B40" s="107">
        <f t="shared" si="1"/>
        <v>482625.00000000006</v>
      </c>
      <c r="C40" s="107">
        <f t="shared" si="2"/>
        <v>1254825.0000000002</v>
      </c>
      <c r="D40" s="107">
        <f t="shared" si="3"/>
        <v>193050.00000000003</v>
      </c>
      <c r="E40" s="107">
        <f t="shared" si="4"/>
        <v>1930500.0000000002</v>
      </c>
      <c r="F40" s="107">
        <f t="shared" si="5"/>
        <v>140400</v>
      </c>
      <c r="G40" s="107">
        <f t="shared" si="6"/>
        <v>245700.00000000003</v>
      </c>
      <c r="H40" s="107">
        <f t="shared" si="7"/>
        <v>1088100</v>
      </c>
      <c r="I40" s="138">
        <f t="shared" ref="I40:I48" si="8">SUM(E40:H40)</f>
        <v>3404700.0000000005</v>
      </c>
    </row>
    <row r="41" spans="1:9" x14ac:dyDescent="0.3">
      <c r="A41" s="139" t="s">
        <v>165</v>
      </c>
      <c r="B41" s="107">
        <f t="shared" si="1"/>
        <v>111375.00000000001</v>
      </c>
      <c r="C41" s="107">
        <f t="shared" si="2"/>
        <v>289575.00000000006</v>
      </c>
      <c r="D41" s="107">
        <f t="shared" si="3"/>
        <v>44550.000000000007</v>
      </c>
      <c r="E41" s="107">
        <f t="shared" si="4"/>
        <v>445500.00000000006</v>
      </c>
      <c r="F41" s="107">
        <f t="shared" si="5"/>
        <v>32400</v>
      </c>
      <c r="G41" s="107">
        <f t="shared" si="6"/>
        <v>56700.000000000007</v>
      </c>
      <c r="H41" s="107">
        <f t="shared" si="7"/>
        <v>251100</v>
      </c>
      <c r="I41" s="138">
        <f t="shared" si="8"/>
        <v>785700.00000000012</v>
      </c>
    </row>
    <row r="42" spans="1:9" x14ac:dyDescent="0.3">
      <c r="A42" s="139" t="s">
        <v>164</v>
      </c>
      <c r="B42" s="107">
        <f t="shared" si="1"/>
        <v>297000</v>
      </c>
      <c r="C42" s="107">
        <f t="shared" si="2"/>
        <v>772200.00000000012</v>
      </c>
      <c r="D42" s="107">
        <f t="shared" si="3"/>
        <v>118800.00000000001</v>
      </c>
      <c r="E42" s="107">
        <f t="shared" si="4"/>
        <v>1188000</v>
      </c>
      <c r="F42" s="107">
        <f t="shared" si="5"/>
        <v>86400</v>
      </c>
      <c r="G42" s="107">
        <f t="shared" si="6"/>
        <v>151200</v>
      </c>
      <c r="H42" s="107">
        <f t="shared" si="7"/>
        <v>669600</v>
      </c>
      <c r="I42" s="138">
        <f t="shared" si="8"/>
        <v>2095200</v>
      </c>
    </row>
    <row r="43" spans="1:9" x14ac:dyDescent="0.3">
      <c r="A43" s="139" t="s">
        <v>163</v>
      </c>
      <c r="B43" s="107">
        <f t="shared" si="1"/>
        <v>137500</v>
      </c>
      <c r="C43" s="107">
        <f t="shared" si="2"/>
        <v>357500.00000000006</v>
      </c>
      <c r="D43" s="107">
        <f t="shared" si="3"/>
        <v>55000.000000000007</v>
      </c>
      <c r="E43" s="107">
        <f t="shared" si="4"/>
        <v>550000.00000000012</v>
      </c>
      <c r="F43" s="107">
        <f t="shared" si="5"/>
        <v>40000</v>
      </c>
      <c r="G43" s="107">
        <f t="shared" si="6"/>
        <v>70000</v>
      </c>
      <c r="H43" s="107">
        <f t="shared" si="7"/>
        <v>310000</v>
      </c>
      <c r="I43" s="138">
        <f t="shared" si="8"/>
        <v>970000.00000000012</v>
      </c>
    </row>
    <row r="44" spans="1:9" x14ac:dyDescent="0.3">
      <c r="A44" s="139" t="s">
        <v>162</v>
      </c>
      <c r="B44" s="107">
        <f t="shared" si="1"/>
        <v>154687.5</v>
      </c>
      <c r="C44" s="107">
        <f t="shared" si="2"/>
        <v>402187.50000000006</v>
      </c>
      <c r="D44" s="107">
        <f t="shared" si="3"/>
        <v>61875.000000000007</v>
      </c>
      <c r="E44" s="107">
        <f t="shared" si="4"/>
        <v>618750</v>
      </c>
      <c r="F44" s="107">
        <f t="shared" si="5"/>
        <v>45000</v>
      </c>
      <c r="G44" s="107">
        <f t="shared" si="6"/>
        <v>78750.000000000015</v>
      </c>
      <c r="H44" s="107">
        <f t="shared" si="7"/>
        <v>348750</v>
      </c>
      <c r="I44" s="138">
        <f t="shared" si="8"/>
        <v>1091250</v>
      </c>
    </row>
    <row r="45" spans="1:9" x14ac:dyDescent="0.3">
      <c r="A45" s="139" t="s">
        <v>161</v>
      </c>
      <c r="B45" s="107">
        <f t="shared" si="1"/>
        <v>309375</v>
      </c>
      <c r="C45" s="107">
        <f t="shared" si="2"/>
        <v>804375.00000000012</v>
      </c>
      <c r="D45" s="107">
        <f t="shared" si="3"/>
        <v>123750.00000000001</v>
      </c>
      <c r="E45" s="107">
        <f t="shared" si="4"/>
        <v>1237500</v>
      </c>
      <c r="F45" s="107">
        <f t="shared" si="5"/>
        <v>90000</v>
      </c>
      <c r="G45" s="107">
        <f t="shared" si="6"/>
        <v>157500.00000000003</v>
      </c>
      <c r="H45" s="107">
        <f t="shared" si="7"/>
        <v>697500</v>
      </c>
      <c r="I45" s="138">
        <f t="shared" si="8"/>
        <v>2182500</v>
      </c>
    </row>
    <row r="46" spans="1:9" x14ac:dyDescent="0.3">
      <c r="A46" s="139" t="s">
        <v>160</v>
      </c>
      <c r="B46" s="107">
        <f t="shared" si="1"/>
        <v>154687.5</v>
      </c>
      <c r="C46" s="107">
        <f t="shared" si="2"/>
        <v>402187.50000000006</v>
      </c>
      <c r="D46" s="107">
        <f t="shared" si="3"/>
        <v>61875.000000000007</v>
      </c>
      <c r="E46" s="107">
        <f t="shared" si="4"/>
        <v>618750</v>
      </c>
      <c r="F46" s="107">
        <f t="shared" si="5"/>
        <v>45000</v>
      </c>
      <c r="G46" s="107">
        <f t="shared" si="6"/>
        <v>78750.000000000015</v>
      </c>
      <c r="H46" s="107">
        <f t="shared" si="7"/>
        <v>348750</v>
      </c>
      <c r="I46" s="138">
        <f t="shared" si="8"/>
        <v>1091250</v>
      </c>
    </row>
    <row r="47" spans="1:9" x14ac:dyDescent="0.3">
      <c r="A47" s="139" t="s">
        <v>159</v>
      </c>
      <c r="B47" s="107">
        <f t="shared" si="1"/>
        <v>82500</v>
      </c>
      <c r="C47" s="107">
        <f t="shared" si="2"/>
        <v>214500.00000000003</v>
      </c>
      <c r="D47" s="107">
        <f t="shared" si="3"/>
        <v>33000.000000000007</v>
      </c>
      <c r="E47" s="107">
        <f t="shared" si="4"/>
        <v>330000</v>
      </c>
      <c r="F47" s="107">
        <f t="shared" si="5"/>
        <v>24000</v>
      </c>
      <c r="G47" s="107">
        <f t="shared" si="6"/>
        <v>42000.000000000007</v>
      </c>
      <c r="H47" s="107">
        <f t="shared" si="7"/>
        <v>186000</v>
      </c>
      <c r="I47" s="138">
        <f t="shared" si="8"/>
        <v>582000</v>
      </c>
    </row>
    <row r="48" spans="1:9" x14ac:dyDescent="0.3">
      <c r="A48" s="166" t="s">
        <v>92</v>
      </c>
      <c r="B48" s="133">
        <f t="shared" si="1"/>
        <v>371250.00000000006</v>
      </c>
      <c r="C48" s="133">
        <f t="shared" si="2"/>
        <v>965250.00000000012</v>
      </c>
      <c r="D48" s="133">
        <f t="shared" si="3"/>
        <v>148500.00000000003</v>
      </c>
      <c r="E48" s="133">
        <f t="shared" si="4"/>
        <v>1485000.0000000002</v>
      </c>
      <c r="F48" s="133">
        <f t="shared" si="5"/>
        <v>108000</v>
      </c>
      <c r="G48" s="133">
        <f t="shared" si="6"/>
        <v>189000.00000000003</v>
      </c>
      <c r="H48" s="133">
        <f t="shared" si="7"/>
        <v>837000</v>
      </c>
      <c r="I48" s="137">
        <f t="shared" si="8"/>
        <v>2619000</v>
      </c>
    </row>
    <row r="49" spans="1:9" ht="15" thickBot="1" x14ac:dyDescent="0.35">
      <c r="A49" s="164" t="s">
        <v>42</v>
      </c>
      <c r="B49" s="131">
        <f t="shared" ref="B49:D49" si="9">SUM(B39:B48)</f>
        <v>2307250</v>
      </c>
      <c r="C49" s="131">
        <f t="shared" si="9"/>
        <v>5998850.0000000009</v>
      </c>
      <c r="D49" s="131">
        <f t="shared" si="9"/>
        <v>922900.00000000012</v>
      </c>
      <c r="E49" s="131">
        <f>SUM(E39:E48)</f>
        <v>9229000</v>
      </c>
      <c r="F49" s="131">
        <f>SUM(F39:F48)</f>
        <v>671200</v>
      </c>
      <c r="G49" s="131">
        <f>SUM(G39:G48)</f>
        <v>1174600</v>
      </c>
      <c r="H49" s="131">
        <f>SUM(H39:H48)</f>
        <v>5201800</v>
      </c>
      <c r="I49" s="136">
        <f>SUM(E49:H49)</f>
        <v>16276600</v>
      </c>
    </row>
    <row r="50" spans="1:9" ht="15" thickBot="1" x14ac:dyDescent="0.35"/>
    <row r="51" spans="1:9" x14ac:dyDescent="0.3">
      <c r="A51" s="140"/>
      <c r="B51" s="530" t="s">
        <v>171</v>
      </c>
      <c r="C51" s="530"/>
      <c r="D51" s="530"/>
      <c r="E51" s="530"/>
      <c r="F51" s="530"/>
      <c r="G51" s="530"/>
      <c r="H51" s="530"/>
      <c r="I51" s="531" t="s">
        <v>170</v>
      </c>
    </row>
    <row r="52" spans="1:9" x14ac:dyDescent="0.3">
      <c r="A52" s="129" t="s">
        <v>169</v>
      </c>
      <c r="B52" s="60" t="s">
        <v>154</v>
      </c>
      <c r="C52" s="60" t="s">
        <v>153</v>
      </c>
      <c r="D52" s="60" t="s">
        <v>152</v>
      </c>
      <c r="E52" s="60" t="s">
        <v>168</v>
      </c>
      <c r="F52" s="60" t="s">
        <v>151</v>
      </c>
      <c r="G52" s="60" t="s">
        <v>150</v>
      </c>
      <c r="H52" s="60" t="s">
        <v>149</v>
      </c>
      <c r="I52" s="532"/>
    </row>
    <row r="53" spans="1:9" x14ac:dyDescent="0.3">
      <c r="A53" s="139" t="s">
        <v>167</v>
      </c>
      <c r="B53" s="236">
        <f t="shared" ref="B53:D62" si="10">B39/$C$28</f>
        <v>11148.64864864865</v>
      </c>
      <c r="C53" s="236">
        <f t="shared" si="10"/>
        <v>28986.486486486494</v>
      </c>
      <c r="D53" s="236">
        <f t="shared" si="10"/>
        <v>4459.45945945946</v>
      </c>
      <c r="E53" s="107">
        <f>SUM(B53:D53)</f>
        <v>44594.594594594608</v>
      </c>
      <c r="F53" s="107">
        <f t="shared" ref="F53:F62" si="11">F39/$C$32</f>
        <v>6741.5730337078649</v>
      </c>
      <c r="G53" s="107">
        <f t="shared" ref="G53:G62" si="12">G39/$C$33</f>
        <v>30000.000000000004</v>
      </c>
      <c r="H53" s="107">
        <f t="shared" ref="H53:H62" si="13">H39/$C$34</f>
        <v>63698.630136986299</v>
      </c>
      <c r="I53" s="237">
        <f>SUM(E53:H53)</f>
        <v>145034.79776528876</v>
      </c>
    </row>
    <row r="54" spans="1:9" x14ac:dyDescent="0.3">
      <c r="A54" s="139" t="s">
        <v>166</v>
      </c>
      <c r="B54" s="107">
        <f t="shared" si="10"/>
        <v>26087.83783783784</v>
      </c>
      <c r="C54" s="107">
        <f t="shared" si="10"/>
        <v>67828.378378378387</v>
      </c>
      <c r="D54" s="107">
        <f t="shared" si="10"/>
        <v>10435.135135135137</v>
      </c>
      <c r="E54" s="107">
        <f t="shared" ref="E54:E62" si="14">SUM(B54:D54)</f>
        <v>104351.35135135136</v>
      </c>
      <c r="F54" s="107">
        <f t="shared" si="11"/>
        <v>15775.280898876405</v>
      </c>
      <c r="G54" s="107">
        <f t="shared" si="12"/>
        <v>70200.000000000015</v>
      </c>
      <c r="H54" s="107">
        <f t="shared" si="13"/>
        <v>149054.79452054796</v>
      </c>
      <c r="I54" s="237">
        <f t="shared" ref="I54:I61" si="15">SUM(E54:H54)</f>
        <v>339381.42677077575</v>
      </c>
    </row>
    <row r="55" spans="1:9" x14ac:dyDescent="0.3">
      <c r="A55" s="139" t="s">
        <v>165</v>
      </c>
      <c r="B55" s="107">
        <f t="shared" si="10"/>
        <v>6020.2702702702709</v>
      </c>
      <c r="C55" s="107">
        <f t="shared" si="10"/>
        <v>15652.702702702705</v>
      </c>
      <c r="D55" s="107">
        <f t="shared" si="10"/>
        <v>2408.1081081081084</v>
      </c>
      <c r="E55" s="107">
        <f t="shared" si="14"/>
        <v>24081.081081081087</v>
      </c>
      <c r="F55" s="107">
        <f t="shared" si="11"/>
        <v>3640.4494382022472</v>
      </c>
      <c r="G55" s="107">
        <f t="shared" si="12"/>
        <v>16200.000000000002</v>
      </c>
      <c r="H55" s="107">
        <f t="shared" si="13"/>
        <v>34397.260273972606</v>
      </c>
      <c r="I55" s="237">
        <f t="shared" si="15"/>
        <v>78318.790793255932</v>
      </c>
    </row>
    <row r="56" spans="1:9" x14ac:dyDescent="0.3">
      <c r="A56" s="139" t="s">
        <v>164</v>
      </c>
      <c r="B56" s="107">
        <f t="shared" si="10"/>
        <v>16054.054054054053</v>
      </c>
      <c r="C56" s="107">
        <f t="shared" si="10"/>
        <v>41740.540540540547</v>
      </c>
      <c r="D56" s="107">
        <f t="shared" si="10"/>
        <v>6421.6216216216226</v>
      </c>
      <c r="E56" s="107">
        <f t="shared" si="14"/>
        <v>64216.21621621622</v>
      </c>
      <c r="F56" s="107">
        <f t="shared" si="11"/>
        <v>9707.8651685393252</v>
      </c>
      <c r="G56" s="107">
        <f t="shared" si="12"/>
        <v>43200</v>
      </c>
      <c r="H56" s="107">
        <f t="shared" si="13"/>
        <v>91726.027397260274</v>
      </c>
      <c r="I56" s="237">
        <f t="shared" si="15"/>
        <v>208850.1087820158</v>
      </c>
    </row>
    <row r="57" spans="1:9" x14ac:dyDescent="0.3">
      <c r="A57" s="139" t="s">
        <v>163</v>
      </c>
      <c r="B57" s="107">
        <f t="shared" si="10"/>
        <v>7432.4324324324325</v>
      </c>
      <c r="C57" s="107">
        <f t="shared" si="10"/>
        <v>19324.324324324327</v>
      </c>
      <c r="D57" s="107">
        <f t="shared" si="10"/>
        <v>2972.9729729729734</v>
      </c>
      <c r="E57" s="107">
        <f t="shared" si="14"/>
        <v>29729.729729729734</v>
      </c>
      <c r="F57" s="107">
        <f t="shared" si="11"/>
        <v>4494.3820224719102</v>
      </c>
      <c r="G57" s="107">
        <f t="shared" si="12"/>
        <v>20000</v>
      </c>
      <c r="H57" s="107">
        <f t="shared" si="13"/>
        <v>42465.753424657538</v>
      </c>
      <c r="I57" s="237">
        <f t="shared" si="15"/>
        <v>96689.865176859181</v>
      </c>
    </row>
    <row r="58" spans="1:9" x14ac:dyDescent="0.3">
      <c r="A58" s="139" t="s">
        <v>162</v>
      </c>
      <c r="B58" s="107">
        <f t="shared" si="10"/>
        <v>8361.4864864864867</v>
      </c>
      <c r="C58" s="107">
        <f t="shared" si="10"/>
        <v>21739.864864864867</v>
      </c>
      <c r="D58" s="107">
        <f t="shared" si="10"/>
        <v>3344.594594594595</v>
      </c>
      <c r="E58" s="107">
        <f t="shared" si="14"/>
        <v>33445.945945945947</v>
      </c>
      <c r="F58" s="107">
        <f t="shared" si="11"/>
        <v>5056.1797752808989</v>
      </c>
      <c r="G58" s="107">
        <f t="shared" si="12"/>
        <v>22500.000000000004</v>
      </c>
      <c r="H58" s="107">
        <f t="shared" si="13"/>
        <v>47773.972602739726</v>
      </c>
      <c r="I58" s="237">
        <f t="shared" si="15"/>
        <v>108776.09832396658</v>
      </c>
    </row>
    <row r="59" spans="1:9" x14ac:dyDescent="0.3">
      <c r="A59" s="139" t="s">
        <v>161</v>
      </c>
      <c r="B59" s="107">
        <f t="shared" si="10"/>
        <v>16722.972972972973</v>
      </c>
      <c r="C59" s="107">
        <f t="shared" si="10"/>
        <v>43479.729729729734</v>
      </c>
      <c r="D59" s="107">
        <f t="shared" si="10"/>
        <v>6689.1891891891901</v>
      </c>
      <c r="E59" s="107">
        <f t="shared" si="14"/>
        <v>66891.891891891893</v>
      </c>
      <c r="F59" s="107">
        <f t="shared" si="11"/>
        <v>10112.359550561798</v>
      </c>
      <c r="G59" s="107">
        <f t="shared" si="12"/>
        <v>45000.000000000007</v>
      </c>
      <c r="H59" s="107">
        <f t="shared" si="13"/>
        <v>95547.945205479453</v>
      </c>
      <c r="I59" s="237">
        <f t="shared" si="15"/>
        <v>217552.19664793316</v>
      </c>
    </row>
    <row r="60" spans="1:9" x14ac:dyDescent="0.3">
      <c r="A60" s="139" t="s">
        <v>160</v>
      </c>
      <c r="B60" s="107">
        <f t="shared" si="10"/>
        <v>8361.4864864864867</v>
      </c>
      <c r="C60" s="107">
        <f t="shared" si="10"/>
        <v>21739.864864864867</v>
      </c>
      <c r="D60" s="107">
        <f t="shared" si="10"/>
        <v>3344.594594594595</v>
      </c>
      <c r="E60" s="107">
        <f t="shared" si="14"/>
        <v>33445.945945945947</v>
      </c>
      <c r="F60" s="107">
        <f t="shared" si="11"/>
        <v>5056.1797752808989</v>
      </c>
      <c r="G60" s="107">
        <f t="shared" si="12"/>
        <v>22500.000000000004</v>
      </c>
      <c r="H60" s="107">
        <f t="shared" si="13"/>
        <v>47773.972602739726</v>
      </c>
      <c r="I60" s="237">
        <f t="shared" si="15"/>
        <v>108776.09832396658</v>
      </c>
    </row>
    <row r="61" spans="1:9" x14ac:dyDescent="0.3">
      <c r="A61" s="139" t="s">
        <v>159</v>
      </c>
      <c r="B61" s="107">
        <f t="shared" si="10"/>
        <v>4459.4594594594591</v>
      </c>
      <c r="C61" s="107">
        <f t="shared" si="10"/>
        <v>11594.594594594597</v>
      </c>
      <c r="D61" s="107">
        <f t="shared" si="10"/>
        <v>1783.7837837837842</v>
      </c>
      <c r="E61" s="107">
        <f t="shared" si="14"/>
        <v>17837.83783783784</v>
      </c>
      <c r="F61" s="107">
        <f t="shared" si="11"/>
        <v>2696.629213483146</v>
      </c>
      <c r="G61" s="107">
        <f t="shared" si="12"/>
        <v>12000.000000000002</v>
      </c>
      <c r="H61" s="107">
        <f t="shared" si="13"/>
        <v>25479.452054794521</v>
      </c>
      <c r="I61" s="237">
        <f t="shared" si="15"/>
        <v>58013.919106115507</v>
      </c>
    </row>
    <row r="62" spans="1:9" x14ac:dyDescent="0.3">
      <c r="A62" s="166" t="s">
        <v>92</v>
      </c>
      <c r="B62" s="133">
        <f t="shared" si="10"/>
        <v>20067.56756756757</v>
      </c>
      <c r="C62" s="133">
        <f t="shared" si="10"/>
        <v>52175.67567567568</v>
      </c>
      <c r="D62" s="133">
        <f t="shared" si="10"/>
        <v>8027.0270270270285</v>
      </c>
      <c r="E62" s="133">
        <f t="shared" si="14"/>
        <v>80270.270270270281</v>
      </c>
      <c r="F62" s="133">
        <f t="shared" si="11"/>
        <v>12134.831460674157</v>
      </c>
      <c r="G62" s="133">
        <f t="shared" si="12"/>
        <v>54000.000000000007</v>
      </c>
      <c r="H62" s="133">
        <f t="shared" si="13"/>
        <v>114657.53424657535</v>
      </c>
      <c r="I62" s="238">
        <f>SUM(E62:H62)</f>
        <v>261062.63597751979</v>
      </c>
    </row>
    <row r="63" spans="1:9" ht="15" thickBot="1" x14ac:dyDescent="0.35">
      <c r="A63" s="164" t="s">
        <v>42</v>
      </c>
      <c r="B63" s="131">
        <f t="shared" ref="B63:D63" si="16">SUM(B53:B62)</f>
        <v>124716.21621621623</v>
      </c>
      <c r="C63" s="131">
        <f t="shared" si="16"/>
        <v>324262.16216216225</v>
      </c>
      <c r="D63" s="131">
        <f t="shared" si="16"/>
        <v>49886.486486486501</v>
      </c>
      <c r="E63" s="131">
        <f>SUM(E53:E62)</f>
        <v>498864.86486486497</v>
      </c>
      <c r="F63" s="131">
        <f>SUM(F53:F62)</f>
        <v>75415.730337078654</v>
      </c>
      <c r="G63" s="131">
        <f>SUM(G53:G62)</f>
        <v>335600</v>
      </c>
      <c r="H63" s="131">
        <f>SUM(H53:H62)</f>
        <v>712575.34246575332</v>
      </c>
      <c r="I63" s="126">
        <f>SUM(I53:I62)</f>
        <v>1622455.9376676972</v>
      </c>
    </row>
    <row r="65" spans="1:12" ht="15" thickBot="1" x14ac:dyDescent="0.35">
      <c r="A65" t="s">
        <v>158</v>
      </c>
    </row>
    <row r="66" spans="1:12" x14ac:dyDescent="0.3">
      <c r="A66" s="169" t="s">
        <v>157</v>
      </c>
      <c r="B66" s="165" t="s">
        <v>156</v>
      </c>
      <c r="C66" s="165" t="s">
        <v>147</v>
      </c>
      <c r="D66" s="165" t="s">
        <v>146</v>
      </c>
      <c r="E66" s="165" t="s">
        <v>145</v>
      </c>
      <c r="F66" s="168" t="s">
        <v>144</v>
      </c>
    </row>
    <row r="67" spans="1:12" x14ac:dyDescent="0.3">
      <c r="A67" s="167" t="s">
        <v>154</v>
      </c>
      <c r="B67" s="135">
        <f>B63</f>
        <v>124716.21621621623</v>
      </c>
      <c r="C67" s="135">
        <f t="shared" ref="C67:C69" si="17">B67/0.85</f>
        <v>146724.96025437204</v>
      </c>
      <c r="D67" s="135">
        <f t="shared" ref="D67:D69" si="18">B67/0.66</f>
        <v>188963.96396396396</v>
      </c>
      <c r="E67" s="135">
        <f t="shared" ref="E67:E69" si="19">B67/0.5</f>
        <v>249432.43243243246</v>
      </c>
      <c r="F67" s="134">
        <f t="shared" ref="F67:F69" si="20">B67/0.33</f>
        <v>377927.92792792793</v>
      </c>
    </row>
    <row r="68" spans="1:12" x14ac:dyDescent="0.3">
      <c r="A68" s="167" t="s">
        <v>153</v>
      </c>
      <c r="B68" s="135">
        <f>C63</f>
        <v>324262.16216216225</v>
      </c>
      <c r="C68" s="135">
        <f t="shared" si="17"/>
        <v>381484.89666136738</v>
      </c>
      <c r="D68" s="135">
        <f t="shared" si="18"/>
        <v>491306.30630630639</v>
      </c>
      <c r="E68" s="135">
        <f t="shared" si="19"/>
        <v>648524.32432432449</v>
      </c>
      <c r="F68" s="134">
        <f t="shared" si="20"/>
        <v>982612.61261261278</v>
      </c>
    </row>
    <row r="69" spans="1:12" x14ac:dyDescent="0.3">
      <c r="A69" s="167" t="s">
        <v>152</v>
      </c>
      <c r="B69" s="135">
        <f>D63</f>
        <v>49886.486486486501</v>
      </c>
      <c r="C69" s="135">
        <f t="shared" si="17"/>
        <v>58689.984101748829</v>
      </c>
      <c r="D69" s="135">
        <f t="shared" si="18"/>
        <v>75585.585585585606</v>
      </c>
      <c r="E69" s="135">
        <f t="shared" si="19"/>
        <v>99772.972972973002</v>
      </c>
      <c r="F69" s="134">
        <f t="shared" si="20"/>
        <v>151171.17117117121</v>
      </c>
    </row>
    <row r="70" spans="1:12" x14ac:dyDescent="0.3">
      <c r="A70" s="139" t="s">
        <v>155</v>
      </c>
      <c r="B70" s="107">
        <f>SUM(B67:B69)</f>
        <v>498864.86486486497</v>
      </c>
      <c r="C70" s="107">
        <f>B70/0.85</f>
        <v>586899.84101748816</v>
      </c>
      <c r="D70" s="107">
        <f>B70/0.66</f>
        <v>755855.85585585597</v>
      </c>
      <c r="E70" s="107">
        <f>B70/0.5</f>
        <v>997729.72972972994</v>
      </c>
      <c r="F70" s="130">
        <f>B70/0.33</f>
        <v>1511711.7117117119</v>
      </c>
    </row>
    <row r="71" spans="1:12" x14ac:dyDescent="0.3">
      <c r="A71" s="139" t="s">
        <v>151</v>
      </c>
      <c r="B71" s="107">
        <f>F63</f>
        <v>75415.730337078654</v>
      </c>
      <c r="C71" s="107">
        <f t="shared" ref="C71:C73" si="21">B71/0.85</f>
        <v>88724.388631857248</v>
      </c>
      <c r="D71" s="107">
        <f>B71/0.66</f>
        <v>114266.25808648281</v>
      </c>
      <c r="E71" s="107">
        <f>B71/0.5</f>
        <v>150831.46067415731</v>
      </c>
      <c r="F71" s="130">
        <f>B71/0.33</f>
        <v>228532.51617296561</v>
      </c>
    </row>
    <row r="72" spans="1:12" x14ac:dyDescent="0.3">
      <c r="A72" s="139" t="s">
        <v>150</v>
      </c>
      <c r="B72" s="107">
        <f>G63</f>
        <v>335600</v>
      </c>
      <c r="C72" s="107">
        <f t="shared" si="21"/>
        <v>394823.5294117647</v>
      </c>
      <c r="D72" s="107">
        <f>B72/0.66</f>
        <v>508484.84848484845</v>
      </c>
      <c r="E72" s="107">
        <f>B72/0.5</f>
        <v>671200</v>
      </c>
      <c r="F72" s="130">
        <f>B72/0.33</f>
        <v>1016969.6969696969</v>
      </c>
    </row>
    <row r="73" spans="1:12" x14ac:dyDescent="0.3">
      <c r="A73" s="166" t="s">
        <v>149</v>
      </c>
      <c r="B73" s="133">
        <f>H63</f>
        <v>712575.34246575332</v>
      </c>
      <c r="C73" s="133">
        <f t="shared" si="21"/>
        <v>838323.93231265096</v>
      </c>
      <c r="D73" s="133">
        <f>B73/0.66</f>
        <v>1079659.609796596</v>
      </c>
      <c r="E73" s="133">
        <f>B73/0.5</f>
        <v>1425150.6849315066</v>
      </c>
      <c r="F73" s="132">
        <f>B73/0.33</f>
        <v>2159319.219593192</v>
      </c>
    </row>
    <row r="74" spans="1:12" ht="15" thickBot="1" x14ac:dyDescent="0.35">
      <c r="A74" s="164" t="s">
        <v>42</v>
      </c>
      <c r="B74" s="131">
        <f>SUM(B70:B73)</f>
        <v>1622455.937667697</v>
      </c>
      <c r="C74" s="131">
        <f>B74/0.85</f>
        <v>1908771.6913737613</v>
      </c>
      <c r="D74" s="131">
        <f>B74/0.66</f>
        <v>2458266.572223783</v>
      </c>
      <c r="E74" s="131">
        <f>B74/0.5</f>
        <v>3244911.8753353939</v>
      </c>
      <c r="F74" s="126">
        <f>B74/0.33</f>
        <v>4916533.144447566</v>
      </c>
    </row>
    <row r="76" spans="1:12" x14ac:dyDescent="0.3">
      <c r="A76" s="7"/>
      <c r="C76" s="208"/>
      <c r="D76" s="208"/>
      <c r="E76" s="208"/>
      <c r="F76" s="208"/>
      <c r="G76" s="208"/>
    </row>
    <row r="77" spans="1:12" ht="15" thickBot="1" x14ac:dyDescent="0.35">
      <c r="A77" s="524" t="s">
        <v>291</v>
      </c>
      <c r="B77" s="524"/>
      <c r="C77" s="524"/>
      <c r="D77" s="524"/>
      <c r="E77" s="524"/>
      <c r="F77" s="524"/>
      <c r="G77" s="524"/>
      <c r="H77" s="524"/>
      <c r="I77" s="524"/>
    </row>
    <row r="78" spans="1:12" x14ac:dyDescent="0.3">
      <c r="A78" s="239"/>
      <c r="B78" s="240"/>
      <c r="C78" s="241" t="s">
        <v>292</v>
      </c>
      <c r="D78" s="242"/>
      <c r="E78" s="242"/>
      <c r="F78" s="242"/>
      <c r="G78" s="242"/>
      <c r="H78" s="243"/>
      <c r="I78" s="525" t="s">
        <v>138</v>
      </c>
      <c r="J78" s="525"/>
      <c r="K78" s="244" t="s">
        <v>293</v>
      </c>
      <c r="L78" s="522" t="s">
        <v>294</v>
      </c>
    </row>
    <row r="79" spans="1:12" x14ac:dyDescent="0.3">
      <c r="A79" s="129" t="s">
        <v>169</v>
      </c>
      <c r="B79" s="59" t="s">
        <v>295</v>
      </c>
      <c r="C79" s="245" t="s">
        <v>249</v>
      </c>
      <c r="D79" s="173" t="s">
        <v>89</v>
      </c>
      <c r="E79" s="173" t="s">
        <v>90</v>
      </c>
      <c r="F79" s="173" t="s">
        <v>91</v>
      </c>
      <c r="G79" s="173" t="s">
        <v>296</v>
      </c>
      <c r="H79" s="246" t="s">
        <v>127</v>
      </c>
      <c r="I79" s="173" t="s">
        <v>92</v>
      </c>
      <c r="J79" s="173" t="s">
        <v>93</v>
      </c>
      <c r="K79" s="247" t="s">
        <v>297</v>
      </c>
      <c r="L79" s="523"/>
    </row>
    <row r="80" spans="1:12" x14ac:dyDescent="0.3">
      <c r="A80" s="139" t="s">
        <v>167</v>
      </c>
      <c r="B80" s="11">
        <f t="shared" ref="B80:B89" si="22">H53</f>
        <v>63698.630136986299</v>
      </c>
      <c r="C80" s="248"/>
      <c r="D80" s="249"/>
      <c r="E80" s="249"/>
      <c r="F80" s="249"/>
      <c r="G80" s="249"/>
      <c r="H80" s="250"/>
      <c r="I80" s="249"/>
      <c r="J80" s="251">
        <v>1</v>
      </c>
      <c r="K80" s="252"/>
      <c r="L80" s="253">
        <f t="shared" ref="L80:L90" si="23">SUM(C80:K80)</f>
        <v>1</v>
      </c>
    </row>
    <row r="81" spans="1:12" x14ac:dyDescent="0.3">
      <c r="A81" s="139" t="s">
        <v>166</v>
      </c>
      <c r="B81" s="11">
        <f t="shared" si="22"/>
        <v>149054.79452054796</v>
      </c>
      <c r="C81" s="248"/>
      <c r="D81" s="249"/>
      <c r="E81" s="249"/>
      <c r="F81" s="249"/>
      <c r="G81" s="249"/>
      <c r="H81" s="250"/>
      <c r="I81" s="249"/>
      <c r="J81" s="249"/>
      <c r="K81" s="254">
        <v>1</v>
      </c>
      <c r="L81" s="253">
        <f t="shared" si="23"/>
        <v>1</v>
      </c>
    </row>
    <row r="82" spans="1:12" x14ac:dyDescent="0.3">
      <c r="A82" s="139" t="s">
        <v>165</v>
      </c>
      <c r="B82" s="11">
        <f t="shared" si="22"/>
        <v>34397.260273972606</v>
      </c>
      <c r="C82" s="248"/>
      <c r="D82" s="249">
        <v>1</v>
      </c>
      <c r="E82" s="249"/>
      <c r="F82" s="249"/>
      <c r="G82" s="249"/>
      <c r="H82" s="250"/>
      <c r="I82" s="249"/>
      <c r="J82" s="249"/>
      <c r="K82" s="252"/>
      <c r="L82" s="253">
        <f t="shared" si="23"/>
        <v>1</v>
      </c>
    </row>
    <row r="83" spans="1:12" x14ac:dyDescent="0.3">
      <c r="A83" s="139" t="s">
        <v>164</v>
      </c>
      <c r="B83" s="11">
        <f t="shared" si="22"/>
        <v>91726.027397260274</v>
      </c>
      <c r="C83" s="248"/>
      <c r="D83" s="249"/>
      <c r="E83" s="251">
        <v>0.5</v>
      </c>
      <c r="F83" s="251">
        <v>0.5</v>
      </c>
      <c r="G83" s="251"/>
      <c r="H83" s="209"/>
      <c r="I83" s="249"/>
      <c r="J83" s="249"/>
      <c r="K83" s="252"/>
      <c r="L83" s="253">
        <f t="shared" si="23"/>
        <v>1</v>
      </c>
    </row>
    <row r="84" spans="1:12" x14ac:dyDescent="0.3">
      <c r="A84" s="139" t="s">
        <v>163</v>
      </c>
      <c r="B84" s="11">
        <f t="shared" si="22"/>
        <v>42465.753424657538</v>
      </c>
      <c r="C84" s="248"/>
      <c r="D84" s="249"/>
      <c r="E84" s="249"/>
      <c r="F84" s="251">
        <v>0.5</v>
      </c>
      <c r="G84" s="251"/>
      <c r="H84" s="209">
        <v>0.5</v>
      </c>
      <c r="I84" s="249"/>
      <c r="J84" s="249"/>
      <c r="K84" s="252"/>
      <c r="L84" s="253">
        <f t="shared" si="23"/>
        <v>1</v>
      </c>
    </row>
    <row r="85" spans="1:12" x14ac:dyDescent="0.3">
      <c r="A85" s="139" t="s">
        <v>162</v>
      </c>
      <c r="B85" s="11">
        <f t="shared" si="22"/>
        <v>47773.972602739726</v>
      </c>
      <c r="C85" s="248"/>
      <c r="D85" s="249"/>
      <c r="E85" s="249"/>
      <c r="F85" s="249"/>
      <c r="G85" s="251">
        <v>1</v>
      </c>
      <c r="H85" s="250"/>
      <c r="I85" s="249"/>
      <c r="J85" s="249"/>
      <c r="K85" s="252"/>
      <c r="L85" s="253">
        <f t="shared" si="23"/>
        <v>1</v>
      </c>
    </row>
    <row r="86" spans="1:12" x14ac:dyDescent="0.3">
      <c r="A86" s="139" t="s">
        <v>161</v>
      </c>
      <c r="B86" s="11">
        <f t="shared" si="22"/>
        <v>95547.945205479453</v>
      </c>
      <c r="C86" s="248"/>
      <c r="D86" s="249"/>
      <c r="E86" s="249"/>
      <c r="F86" s="251">
        <v>0.5</v>
      </c>
      <c r="G86" s="251"/>
      <c r="H86" s="209">
        <v>0.5</v>
      </c>
      <c r="I86" s="249"/>
      <c r="J86" s="249"/>
      <c r="K86" s="252"/>
      <c r="L86" s="253">
        <f t="shared" si="23"/>
        <v>1</v>
      </c>
    </row>
    <row r="87" spans="1:12" x14ac:dyDescent="0.3">
      <c r="A87" s="139" t="s">
        <v>160</v>
      </c>
      <c r="B87" s="11">
        <f t="shared" si="22"/>
        <v>47773.972602739726</v>
      </c>
      <c r="C87" s="248"/>
      <c r="D87" s="249"/>
      <c r="E87" s="249"/>
      <c r="F87" s="249"/>
      <c r="G87" s="249"/>
      <c r="H87" s="250">
        <v>1</v>
      </c>
      <c r="I87" s="249"/>
      <c r="J87" s="249"/>
      <c r="K87" s="252"/>
      <c r="L87" s="253">
        <f t="shared" si="23"/>
        <v>1</v>
      </c>
    </row>
    <row r="88" spans="1:12" x14ac:dyDescent="0.3">
      <c r="A88" s="139" t="s">
        <v>159</v>
      </c>
      <c r="B88" s="11">
        <f t="shared" si="22"/>
        <v>25479.452054794521</v>
      </c>
      <c r="C88" s="248"/>
      <c r="D88" s="249"/>
      <c r="E88" s="249"/>
      <c r="F88" s="249"/>
      <c r="G88" s="251">
        <v>1</v>
      </c>
      <c r="H88" s="250"/>
      <c r="I88" s="249"/>
      <c r="J88" s="249"/>
      <c r="K88" s="252"/>
      <c r="L88" s="253">
        <f t="shared" si="23"/>
        <v>1</v>
      </c>
    </row>
    <row r="89" spans="1:12" x14ac:dyDescent="0.3">
      <c r="A89" s="166" t="s">
        <v>92</v>
      </c>
      <c r="B89" s="255">
        <f t="shared" si="22"/>
        <v>114657.53424657535</v>
      </c>
      <c r="C89" s="256"/>
      <c r="D89" s="257"/>
      <c r="E89" s="257"/>
      <c r="F89" s="257"/>
      <c r="G89" s="257"/>
      <c r="H89" s="258"/>
      <c r="I89" s="259">
        <v>1</v>
      </c>
      <c r="J89" s="257"/>
      <c r="K89" s="260"/>
      <c r="L89" s="261">
        <f t="shared" si="23"/>
        <v>1</v>
      </c>
    </row>
    <row r="90" spans="1:12" ht="15" thickBot="1" x14ac:dyDescent="0.35">
      <c r="A90" s="164" t="s">
        <v>42</v>
      </c>
      <c r="B90" s="262">
        <f>SUM(B80:B89)</f>
        <v>712575.34246575332</v>
      </c>
      <c r="C90" s="263"/>
      <c r="D90" s="263"/>
      <c r="E90" s="263"/>
      <c r="F90" s="263"/>
      <c r="G90" s="263"/>
      <c r="H90" s="264"/>
      <c r="I90" s="263"/>
      <c r="J90" s="264"/>
      <c r="K90" s="264"/>
      <c r="L90" s="265">
        <f t="shared" si="23"/>
        <v>0</v>
      </c>
    </row>
    <row r="91" spans="1:12" x14ac:dyDescent="0.3">
      <c r="A91" s="7"/>
      <c r="B91" s="225"/>
      <c r="C91" s="266"/>
      <c r="D91" s="266"/>
      <c r="E91" s="266"/>
      <c r="F91" s="266"/>
      <c r="G91" s="266"/>
      <c r="H91" s="266"/>
      <c r="I91" s="266"/>
      <c r="J91" s="266"/>
      <c r="K91" s="162"/>
    </row>
    <row r="92" spans="1:12" ht="15" thickBot="1" x14ac:dyDescent="0.35">
      <c r="A92" s="524" t="s">
        <v>298</v>
      </c>
      <c r="B92" s="524"/>
      <c r="C92" s="524"/>
      <c r="D92" s="524"/>
      <c r="E92" s="524"/>
      <c r="F92" s="524"/>
      <c r="G92" s="524"/>
      <c r="H92" s="524"/>
      <c r="I92" s="524"/>
    </row>
    <row r="93" spans="1:12" x14ac:dyDescent="0.3">
      <c r="A93" s="239"/>
      <c r="B93" s="267"/>
      <c r="C93" s="242" t="s">
        <v>292</v>
      </c>
      <c r="D93" s="242"/>
      <c r="E93" s="242"/>
      <c r="F93" s="242"/>
      <c r="G93" s="242"/>
      <c r="H93" s="243"/>
      <c r="I93" s="525" t="s">
        <v>138</v>
      </c>
      <c r="J93" s="526"/>
      <c r="K93" s="268" t="s">
        <v>293</v>
      </c>
      <c r="L93" s="527" t="s">
        <v>294</v>
      </c>
    </row>
    <row r="94" spans="1:12" x14ac:dyDescent="0.3">
      <c r="A94" s="129" t="s">
        <v>169</v>
      </c>
      <c r="B94" s="269" t="s">
        <v>299</v>
      </c>
      <c r="C94" s="173" t="s">
        <v>249</v>
      </c>
      <c r="D94" s="173" t="s">
        <v>89</v>
      </c>
      <c r="E94" s="173" t="s">
        <v>90</v>
      </c>
      <c r="F94" s="173" t="s">
        <v>91</v>
      </c>
      <c r="G94" s="173" t="s">
        <v>296</v>
      </c>
      <c r="H94" s="246" t="s">
        <v>127</v>
      </c>
      <c r="I94" s="173" t="s">
        <v>92</v>
      </c>
      <c r="J94" s="246" t="s">
        <v>93</v>
      </c>
      <c r="K94" s="270" t="s">
        <v>297</v>
      </c>
      <c r="L94" s="528"/>
    </row>
    <row r="95" spans="1:12" x14ac:dyDescent="0.3">
      <c r="A95" s="139" t="s">
        <v>167</v>
      </c>
      <c r="B95" s="271">
        <f>B80</f>
        <v>63698.630136986299</v>
      </c>
      <c r="C95" s="272">
        <f t="shared" ref="C95:K104" si="24">$B80*C80</f>
        <v>0</v>
      </c>
      <c r="D95" s="272">
        <f t="shared" si="24"/>
        <v>0</v>
      </c>
      <c r="E95" s="272">
        <f t="shared" si="24"/>
        <v>0</v>
      </c>
      <c r="F95" s="272">
        <f t="shared" si="24"/>
        <v>0</v>
      </c>
      <c r="G95" s="272">
        <f t="shared" si="24"/>
        <v>0</v>
      </c>
      <c r="H95" s="273">
        <f t="shared" si="24"/>
        <v>0</v>
      </c>
      <c r="I95" s="272">
        <f t="shared" si="24"/>
        <v>0</v>
      </c>
      <c r="J95" s="273">
        <f t="shared" si="24"/>
        <v>63698.630136986299</v>
      </c>
      <c r="K95" s="273">
        <f t="shared" si="24"/>
        <v>0</v>
      </c>
      <c r="L95" s="143">
        <f t="shared" ref="L95:L105" si="25">SUM(C95:K95)</f>
        <v>63698.630136986299</v>
      </c>
    </row>
    <row r="96" spans="1:12" x14ac:dyDescent="0.3">
      <c r="A96" s="139" t="s">
        <v>166</v>
      </c>
      <c r="B96" s="271">
        <f t="shared" ref="B96:B104" si="26">B81</f>
        <v>149054.79452054796</v>
      </c>
      <c r="C96" s="272">
        <f t="shared" si="24"/>
        <v>0</v>
      </c>
      <c r="D96" s="272">
        <f t="shared" si="24"/>
        <v>0</v>
      </c>
      <c r="E96" s="272">
        <f t="shared" si="24"/>
        <v>0</v>
      </c>
      <c r="F96" s="272">
        <f t="shared" si="24"/>
        <v>0</v>
      </c>
      <c r="G96" s="272">
        <f t="shared" si="24"/>
        <v>0</v>
      </c>
      <c r="H96" s="273">
        <f t="shared" si="24"/>
        <v>0</v>
      </c>
      <c r="I96" s="272">
        <f t="shared" si="24"/>
        <v>0</v>
      </c>
      <c r="J96" s="273">
        <f t="shared" si="24"/>
        <v>0</v>
      </c>
      <c r="K96" s="273">
        <f t="shared" si="24"/>
        <v>149054.79452054796</v>
      </c>
      <c r="L96" s="143">
        <f t="shared" si="25"/>
        <v>149054.79452054796</v>
      </c>
    </row>
    <row r="97" spans="1:12" x14ac:dyDescent="0.3">
      <c r="A97" s="139" t="s">
        <v>165</v>
      </c>
      <c r="B97" s="271">
        <f t="shared" si="26"/>
        <v>34397.260273972606</v>
      </c>
      <c r="C97" s="272">
        <f t="shared" si="24"/>
        <v>0</v>
      </c>
      <c r="D97" s="272">
        <f t="shared" si="24"/>
        <v>34397.260273972606</v>
      </c>
      <c r="E97" s="272">
        <f t="shared" si="24"/>
        <v>0</v>
      </c>
      <c r="F97" s="272">
        <f t="shared" si="24"/>
        <v>0</v>
      </c>
      <c r="G97" s="272">
        <f t="shared" si="24"/>
        <v>0</v>
      </c>
      <c r="H97" s="273">
        <f t="shared" si="24"/>
        <v>0</v>
      </c>
      <c r="I97" s="272">
        <f t="shared" si="24"/>
        <v>0</v>
      </c>
      <c r="J97" s="273">
        <f t="shared" si="24"/>
        <v>0</v>
      </c>
      <c r="K97" s="273">
        <f t="shared" si="24"/>
        <v>0</v>
      </c>
      <c r="L97" s="143">
        <f t="shared" si="25"/>
        <v>34397.260273972606</v>
      </c>
    </row>
    <row r="98" spans="1:12" x14ac:dyDescent="0.3">
      <c r="A98" s="139" t="s">
        <v>164</v>
      </c>
      <c r="B98" s="271">
        <f t="shared" si="26"/>
        <v>91726.027397260274</v>
      </c>
      <c r="C98" s="272">
        <f t="shared" si="24"/>
        <v>0</v>
      </c>
      <c r="D98" s="272">
        <f t="shared" si="24"/>
        <v>0</v>
      </c>
      <c r="E98" s="272">
        <f t="shared" si="24"/>
        <v>45863.013698630137</v>
      </c>
      <c r="F98" s="272">
        <f t="shared" si="24"/>
        <v>45863.013698630137</v>
      </c>
      <c r="G98" s="272">
        <f t="shared" si="24"/>
        <v>0</v>
      </c>
      <c r="H98" s="273">
        <f t="shared" si="24"/>
        <v>0</v>
      </c>
      <c r="I98" s="272">
        <f t="shared" si="24"/>
        <v>0</v>
      </c>
      <c r="J98" s="273">
        <f t="shared" si="24"/>
        <v>0</v>
      </c>
      <c r="K98" s="273">
        <f t="shared" si="24"/>
        <v>0</v>
      </c>
      <c r="L98" s="143">
        <f t="shared" si="25"/>
        <v>91726.027397260274</v>
      </c>
    </row>
    <row r="99" spans="1:12" x14ac:dyDescent="0.3">
      <c r="A99" s="139" t="s">
        <v>163</v>
      </c>
      <c r="B99" s="271">
        <f t="shared" si="26"/>
        <v>42465.753424657538</v>
      </c>
      <c r="C99" s="272">
        <f t="shared" si="24"/>
        <v>0</v>
      </c>
      <c r="D99" s="272">
        <f t="shared" si="24"/>
        <v>0</v>
      </c>
      <c r="E99" s="272">
        <f t="shared" si="24"/>
        <v>0</v>
      </c>
      <c r="F99" s="272">
        <f t="shared" si="24"/>
        <v>21232.876712328769</v>
      </c>
      <c r="G99" s="272">
        <f t="shared" si="24"/>
        <v>0</v>
      </c>
      <c r="H99" s="273">
        <f t="shared" si="24"/>
        <v>21232.876712328769</v>
      </c>
      <c r="I99" s="272">
        <f t="shared" si="24"/>
        <v>0</v>
      </c>
      <c r="J99" s="273">
        <f t="shared" si="24"/>
        <v>0</v>
      </c>
      <c r="K99" s="273">
        <f t="shared" si="24"/>
        <v>0</v>
      </c>
      <c r="L99" s="143">
        <f t="shared" si="25"/>
        <v>42465.753424657538</v>
      </c>
    </row>
    <row r="100" spans="1:12" x14ac:dyDescent="0.3">
      <c r="A100" s="139" t="s">
        <v>162</v>
      </c>
      <c r="B100" s="271">
        <f t="shared" si="26"/>
        <v>47773.972602739726</v>
      </c>
      <c r="C100" s="272">
        <f t="shared" si="24"/>
        <v>0</v>
      </c>
      <c r="D100" s="272">
        <f t="shared" si="24"/>
        <v>0</v>
      </c>
      <c r="E100" s="272">
        <f t="shared" si="24"/>
        <v>0</v>
      </c>
      <c r="F100" s="272">
        <f t="shared" si="24"/>
        <v>0</v>
      </c>
      <c r="G100" s="272">
        <f t="shared" si="24"/>
        <v>47773.972602739726</v>
      </c>
      <c r="H100" s="273">
        <f t="shared" si="24"/>
        <v>0</v>
      </c>
      <c r="I100" s="272">
        <f t="shared" si="24"/>
        <v>0</v>
      </c>
      <c r="J100" s="273">
        <f t="shared" si="24"/>
        <v>0</v>
      </c>
      <c r="K100" s="273">
        <f t="shared" si="24"/>
        <v>0</v>
      </c>
      <c r="L100" s="143">
        <f t="shared" si="25"/>
        <v>47773.972602739726</v>
      </c>
    </row>
    <row r="101" spans="1:12" x14ac:dyDescent="0.3">
      <c r="A101" s="139" t="s">
        <v>161</v>
      </c>
      <c r="B101" s="271">
        <f t="shared" si="26"/>
        <v>95547.945205479453</v>
      </c>
      <c r="C101" s="272">
        <f t="shared" si="24"/>
        <v>0</v>
      </c>
      <c r="D101" s="272">
        <f t="shared" si="24"/>
        <v>0</v>
      </c>
      <c r="E101" s="272">
        <f t="shared" si="24"/>
        <v>0</v>
      </c>
      <c r="F101" s="272">
        <f t="shared" si="24"/>
        <v>47773.972602739726</v>
      </c>
      <c r="G101" s="272">
        <f t="shared" si="24"/>
        <v>0</v>
      </c>
      <c r="H101" s="273">
        <f t="shared" si="24"/>
        <v>47773.972602739726</v>
      </c>
      <c r="I101" s="272">
        <f t="shared" si="24"/>
        <v>0</v>
      </c>
      <c r="J101" s="273">
        <f t="shared" si="24"/>
        <v>0</v>
      </c>
      <c r="K101" s="273">
        <f t="shared" si="24"/>
        <v>0</v>
      </c>
      <c r="L101" s="143">
        <f t="shared" si="25"/>
        <v>95547.945205479453</v>
      </c>
    </row>
    <row r="102" spans="1:12" x14ac:dyDescent="0.3">
      <c r="A102" s="139" t="s">
        <v>160</v>
      </c>
      <c r="B102" s="271">
        <f t="shared" si="26"/>
        <v>47773.972602739726</v>
      </c>
      <c r="C102" s="272">
        <f t="shared" si="24"/>
        <v>0</v>
      </c>
      <c r="D102" s="272">
        <f t="shared" si="24"/>
        <v>0</v>
      </c>
      <c r="E102" s="272">
        <f t="shared" si="24"/>
        <v>0</v>
      </c>
      <c r="F102" s="272">
        <f t="shared" si="24"/>
        <v>0</v>
      </c>
      <c r="G102" s="272">
        <f t="shared" si="24"/>
        <v>0</v>
      </c>
      <c r="H102" s="273">
        <f t="shared" si="24"/>
        <v>47773.972602739726</v>
      </c>
      <c r="I102" s="272">
        <f t="shared" si="24"/>
        <v>0</v>
      </c>
      <c r="J102" s="273">
        <f t="shared" si="24"/>
        <v>0</v>
      </c>
      <c r="K102" s="273">
        <f t="shared" si="24"/>
        <v>0</v>
      </c>
      <c r="L102" s="143">
        <f t="shared" si="25"/>
        <v>47773.972602739726</v>
      </c>
    </row>
    <row r="103" spans="1:12" x14ac:dyDescent="0.3">
      <c r="A103" s="139" t="s">
        <v>159</v>
      </c>
      <c r="B103" s="271">
        <f t="shared" si="26"/>
        <v>25479.452054794521</v>
      </c>
      <c r="C103" s="272">
        <f t="shared" si="24"/>
        <v>0</v>
      </c>
      <c r="D103" s="272">
        <f t="shared" si="24"/>
        <v>0</v>
      </c>
      <c r="E103" s="272">
        <f t="shared" si="24"/>
        <v>0</v>
      </c>
      <c r="F103" s="272">
        <f t="shared" si="24"/>
        <v>0</v>
      </c>
      <c r="G103" s="272">
        <f t="shared" si="24"/>
        <v>25479.452054794521</v>
      </c>
      <c r="H103" s="273">
        <f t="shared" si="24"/>
        <v>0</v>
      </c>
      <c r="I103" s="272">
        <f t="shared" si="24"/>
        <v>0</v>
      </c>
      <c r="J103" s="273">
        <f t="shared" si="24"/>
        <v>0</v>
      </c>
      <c r="K103" s="273">
        <f t="shared" si="24"/>
        <v>0</v>
      </c>
      <c r="L103" s="143">
        <f t="shared" si="25"/>
        <v>25479.452054794521</v>
      </c>
    </row>
    <row r="104" spans="1:12" x14ac:dyDescent="0.3">
      <c r="A104" s="166" t="s">
        <v>92</v>
      </c>
      <c r="B104" s="255">
        <f t="shared" si="26"/>
        <v>114657.53424657535</v>
      </c>
      <c r="C104" s="274">
        <f t="shared" si="24"/>
        <v>0</v>
      </c>
      <c r="D104" s="274">
        <f t="shared" si="24"/>
        <v>0</v>
      </c>
      <c r="E104" s="274">
        <f t="shared" si="24"/>
        <v>0</v>
      </c>
      <c r="F104" s="274">
        <f t="shared" si="24"/>
        <v>0</v>
      </c>
      <c r="G104" s="274">
        <f t="shared" si="24"/>
        <v>0</v>
      </c>
      <c r="H104" s="275">
        <f t="shared" si="24"/>
        <v>0</v>
      </c>
      <c r="I104" s="274">
        <f t="shared" si="24"/>
        <v>114657.53424657535</v>
      </c>
      <c r="J104" s="275">
        <f t="shared" si="24"/>
        <v>0</v>
      </c>
      <c r="K104" s="275">
        <f t="shared" si="24"/>
        <v>0</v>
      </c>
      <c r="L104" s="142">
        <f t="shared" si="25"/>
        <v>114657.53424657535</v>
      </c>
    </row>
    <row r="105" spans="1:12" ht="15" thickBot="1" x14ac:dyDescent="0.35">
      <c r="A105" s="164" t="s">
        <v>42</v>
      </c>
      <c r="B105" s="262">
        <f>SUM(B95:B104)</f>
        <v>712575.34246575332</v>
      </c>
      <c r="C105" s="276">
        <f>SUM(C95:C104)</f>
        <v>0</v>
      </c>
      <c r="D105" s="276">
        <f t="shared" ref="D105:K105" si="27">SUM(D95:D104)</f>
        <v>34397.260273972606</v>
      </c>
      <c r="E105" s="276">
        <f t="shared" si="27"/>
        <v>45863.013698630137</v>
      </c>
      <c r="F105" s="276">
        <f t="shared" si="27"/>
        <v>114869.86301369863</v>
      </c>
      <c r="G105" s="276">
        <f t="shared" si="27"/>
        <v>73253.424657534255</v>
      </c>
      <c r="H105" s="277">
        <f t="shared" si="27"/>
        <v>116780.82191780822</v>
      </c>
      <c r="I105" s="276">
        <f t="shared" si="27"/>
        <v>114657.53424657535</v>
      </c>
      <c r="J105" s="277">
        <f t="shared" si="27"/>
        <v>63698.630136986299</v>
      </c>
      <c r="K105" s="277">
        <f t="shared" si="27"/>
        <v>149054.79452054796</v>
      </c>
      <c r="L105" s="278">
        <f t="shared" si="25"/>
        <v>712575.34246575343</v>
      </c>
    </row>
    <row r="106" spans="1:12" x14ac:dyDescent="0.3">
      <c r="A106" s="7"/>
      <c r="C106" s="208"/>
      <c r="D106" s="208"/>
      <c r="E106" s="208"/>
      <c r="F106" s="208"/>
      <c r="G106" s="208"/>
    </row>
    <row r="108" spans="1:12" ht="15" thickBot="1" x14ac:dyDescent="0.35">
      <c r="A108" t="s">
        <v>300</v>
      </c>
    </row>
    <row r="109" spans="1:12" x14ac:dyDescent="0.3">
      <c r="A109" s="279" t="s">
        <v>61</v>
      </c>
      <c r="B109" s="125" t="s">
        <v>1</v>
      </c>
      <c r="C109" s="125" t="s">
        <v>148</v>
      </c>
      <c r="D109" s="124" t="s">
        <v>147</v>
      </c>
      <c r="E109" s="124" t="s">
        <v>146</v>
      </c>
      <c r="F109" s="124" t="s">
        <v>145</v>
      </c>
      <c r="G109" s="123" t="s">
        <v>144</v>
      </c>
    </row>
    <row r="110" spans="1:12" x14ac:dyDescent="0.3">
      <c r="A110" s="533" t="s">
        <v>143</v>
      </c>
      <c r="B110" s="118" t="s">
        <v>142</v>
      </c>
      <c r="C110" s="117">
        <f>D105</f>
        <v>34397.260273972606</v>
      </c>
      <c r="D110" s="117">
        <f>C110/0.85</f>
        <v>40467.365028203065</v>
      </c>
      <c r="E110" s="117">
        <f>C110/0.66</f>
        <v>52117.061021170615</v>
      </c>
      <c r="F110" s="117">
        <f>C110/0.5</f>
        <v>68794.520547945212</v>
      </c>
      <c r="G110" s="116">
        <f>C110/0.33</f>
        <v>104234.12204234123</v>
      </c>
    </row>
    <row r="111" spans="1:12" x14ac:dyDescent="0.3">
      <c r="A111" s="533"/>
      <c r="B111" s="118" t="s">
        <v>141</v>
      </c>
      <c r="C111" s="117">
        <f>E105</f>
        <v>45863.013698630137</v>
      </c>
      <c r="D111" s="117">
        <f t="shared" ref="D111:D123" si="28">C111/0.85</f>
        <v>53956.486704270748</v>
      </c>
      <c r="E111" s="117">
        <f t="shared" ref="E111:E114" si="29">C111/0.66</f>
        <v>69489.414694894149</v>
      </c>
      <c r="F111" s="117">
        <f t="shared" ref="F111:F114" si="30">C111/0.5</f>
        <v>91726.027397260274</v>
      </c>
      <c r="G111" s="116">
        <f t="shared" ref="G111:G114" si="31">C111/0.33</f>
        <v>138978.8293897883</v>
      </c>
    </row>
    <row r="112" spans="1:12" x14ac:dyDescent="0.3">
      <c r="A112" s="533"/>
      <c r="B112" s="118" t="s">
        <v>140</v>
      </c>
      <c r="C112" s="117">
        <f>F105</f>
        <v>114869.86301369863</v>
      </c>
      <c r="D112" s="117">
        <f t="shared" si="28"/>
        <v>135141.01531023369</v>
      </c>
      <c r="E112" s="117">
        <f t="shared" si="29"/>
        <v>174045.24699045246</v>
      </c>
      <c r="F112" s="117">
        <f t="shared" si="30"/>
        <v>229739.72602739726</v>
      </c>
      <c r="G112" s="116">
        <f t="shared" si="31"/>
        <v>348090.49398090492</v>
      </c>
    </row>
    <row r="113" spans="1:7" x14ac:dyDescent="0.3">
      <c r="A113" s="213"/>
      <c r="B113" s="118" t="s">
        <v>301</v>
      </c>
      <c r="C113" s="117">
        <f>G105</f>
        <v>73253.424657534255</v>
      </c>
      <c r="D113" s="117">
        <f t="shared" si="28"/>
        <v>86180.499597099129</v>
      </c>
      <c r="E113" s="117">
        <f t="shared" si="29"/>
        <v>110990.03735990038</v>
      </c>
      <c r="F113" s="117">
        <f t="shared" si="30"/>
        <v>146506.84931506851</v>
      </c>
      <c r="G113" s="116">
        <f t="shared" si="31"/>
        <v>221980.07471980076</v>
      </c>
    </row>
    <row r="114" spans="1:7" x14ac:dyDescent="0.3">
      <c r="A114" s="213"/>
      <c r="B114" s="118" t="s">
        <v>302</v>
      </c>
      <c r="C114" s="117">
        <f>H105</f>
        <v>116780.82191780822</v>
      </c>
      <c r="D114" s="117">
        <f t="shared" si="28"/>
        <v>137389.20225624496</v>
      </c>
      <c r="E114" s="117">
        <f t="shared" si="29"/>
        <v>176940.63926940638</v>
      </c>
      <c r="F114" s="117">
        <f t="shared" si="30"/>
        <v>233561.64383561644</v>
      </c>
      <c r="G114" s="116">
        <f t="shared" si="31"/>
        <v>353881.27853881277</v>
      </c>
    </row>
    <row r="115" spans="1:7" x14ac:dyDescent="0.3">
      <c r="A115" s="115" t="s">
        <v>139</v>
      </c>
      <c r="B115" s="114"/>
      <c r="C115" s="113">
        <f>SUM(C110:C112)</f>
        <v>195130.13698630137</v>
      </c>
      <c r="D115" s="113">
        <f>SUM(D110:D114)</f>
        <v>453134.56889605161</v>
      </c>
      <c r="E115" s="113">
        <f>SUM(E110:E114)</f>
        <v>583582.39933582395</v>
      </c>
      <c r="F115" s="113">
        <f>SUM(F110:F114)</f>
        <v>770328.76712328766</v>
      </c>
      <c r="G115" s="112">
        <f>SUM(G110:G114)</f>
        <v>1167164.7986716479</v>
      </c>
    </row>
    <row r="116" spans="1:7" x14ac:dyDescent="0.3">
      <c r="A116" s="533" t="s">
        <v>138</v>
      </c>
      <c r="B116" s="118" t="s">
        <v>137</v>
      </c>
      <c r="C116" s="117">
        <f>I105</f>
        <v>114657.53424657535</v>
      </c>
      <c r="D116" s="117">
        <f t="shared" si="28"/>
        <v>134891.21676067688</v>
      </c>
      <c r="E116" s="117">
        <f t="shared" ref="E116:E117" si="32">C116/0.66</f>
        <v>173723.53673723538</v>
      </c>
      <c r="F116" s="117">
        <f t="shared" ref="F116:F117" si="33">C116/0.5</f>
        <v>229315.0684931507</v>
      </c>
      <c r="G116" s="116">
        <f t="shared" ref="G116:G117" si="34">C116/0.33</f>
        <v>347447.07347447076</v>
      </c>
    </row>
    <row r="117" spans="1:7" x14ac:dyDescent="0.3">
      <c r="A117" s="533"/>
      <c r="B117" s="118" t="s">
        <v>136</v>
      </c>
      <c r="C117" s="117">
        <f>J105</f>
        <v>63698.630136986299</v>
      </c>
      <c r="D117" s="117">
        <f t="shared" si="28"/>
        <v>74939.564867042704</v>
      </c>
      <c r="E117" s="117">
        <f t="shared" si="32"/>
        <v>96513.075965130745</v>
      </c>
      <c r="F117" s="117">
        <f t="shared" si="33"/>
        <v>127397.2602739726</v>
      </c>
      <c r="G117" s="116">
        <f t="shared" si="34"/>
        <v>193026.15193026149</v>
      </c>
    </row>
    <row r="118" spans="1:7" x14ac:dyDescent="0.3">
      <c r="A118" s="115" t="s">
        <v>135</v>
      </c>
      <c r="B118" s="114"/>
      <c r="C118" s="113">
        <f t="shared" ref="C118" si="35">SUM(C116:C117)</f>
        <v>178356.16438356164</v>
      </c>
      <c r="D118" s="113">
        <f t="shared" ref="D118:G118" si="36">SUM(D116:D117)</f>
        <v>209830.78162771958</v>
      </c>
      <c r="E118" s="113">
        <f t="shared" si="36"/>
        <v>270236.61270236614</v>
      </c>
      <c r="F118" s="113">
        <f t="shared" si="36"/>
        <v>356712.32876712328</v>
      </c>
      <c r="G118" s="112">
        <f t="shared" si="36"/>
        <v>540473.22540473228</v>
      </c>
    </row>
    <row r="119" spans="1:7" x14ac:dyDescent="0.3">
      <c r="A119" s="122" t="s">
        <v>134</v>
      </c>
      <c r="B119" s="121"/>
      <c r="C119" s="120">
        <f t="shared" ref="C119:G119" si="37">C118+C115</f>
        <v>373486.30136986298</v>
      </c>
      <c r="D119" s="120">
        <f t="shared" si="37"/>
        <v>662965.35052377125</v>
      </c>
      <c r="E119" s="120">
        <f t="shared" si="37"/>
        <v>853819.01203819015</v>
      </c>
      <c r="F119" s="120">
        <f t="shared" si="37"/>
        <v>1127041.0958904109</v>
      </c>
      <c r="G119" s="119">
        <f t="shared" si="37"/>
        <v>1707638.0240763803</v>
      </c>
    </row>
    <row r="120" spans="1:7" x14ac:dyDescent="0.3">
      <c r="A120" s="533" t="s">
        <v>133</v>
      </c>
      <c r="B120" s="118" t="s">
        <v>132</v>
      </c>
      <c r="C120" s="117">
        <f>(2421/(2421+832+3444+7908))*$H$54</f>
        <v>24708.090211177445</v>
      </c>
      <c r="D120" s="117">
        <f t="shared" si="28"/>
        <v>29068.341424914641</v>
      </c>
      <c r="E120" s="117">
        <f t="shared" ref="E120:E123" si="38">C120/0.66</f>
        <v>37436.500319965824</v>
      </c>
      <c r="F120" s="117">
        <f t="shared" ref="F120:F123" si="39">C120/0.5</f>
        <v>49416.18042235489</v>
      </c>
      <c r="G120" s="116">
        <f t="shared" ref="G120:G123" si="40">C120/0.33</f>
        <v>74873.000639931648</v>
      </c>
    </row>
    <row r="121" spans="1:7" x14ac:dyDescent="0.3">
      <c r="A121" s="533"/>
      <c r="B121" s="118" t="s">
        <v>131</v>
      </c>
      <c r="C121" s="117">
        <f>(832/(2421+832+3444+7908))*$H$54</f>
        <v>8491.1735050390907</v>
      </c>
      <c r="D121" s="117">
        <f t="shared" si="28"/>
        <v>9989.6158882812833</v>
      </c>
      <c r="E121" s="117">
        <f t="shared" si="38"/>
        <v>12865.414401574379</v>
      </c>
      <c r="F121" s="117">
        <f t="shared" si="39"/>
        <v>16982.347010078181</v>
      </c>
      <c r="G121" s="116">
        <f t="shared" si="40"/>
        <v>25730.828803148757</v>
      </c>
    </row>
    <row r="122" spans="1:7" x14ac:dyDescent="0.3">
      <c r="A122" s="533"/>
      <c r="B122" s="118" t="s">
        <v>130</v>
      </c>
      <c r="C122" s="117">
        <f>(3444/(2421+832+3444+7908))*$H$54</f>
        <v>35148.559556916618</v>
      </c>
      <c r="D122" s="117">
        <f t="shared" si="28"/>
        <v>41351.246537548963</v>
      </c>
      <c r="E122" s="117">
        <f t="shared" si="38"/>
        <v>53255.393268055479</v>
      </c>
      <c r="F122" s="117">
        <f t="shared" si="39"/>
        <v>70297.119113833236</v>
      </c>
      <c r="G122" s="116">
        <f t="shared" si="40"/>
        <v>106510.78653611096</v>
      </c>
    </row>
    <row r="123" spans="1:7" x14ac:dyDescent="0.3">
      <c r="A123" s="533"/>
      <c r="B123" s="118" t="s">
        <v>129</v>
      </c>
      <c r="C123" s="117">
        <f>(7908/(2421+832+3444+7908))*$H$54</f>
        <v>80706.971247414811</v>
      </c>
      <c r="D123" s="117">
        <f t="shared" si="28"/>
        <v>94949.377938135076</v>
      </c>
      <c r="E123" s="117">
        <f t="shared" si="38"/>
        <v>122283.28976881031</v>
      </c>
      <c r="F123" s="117">
        <f t="shared" si="39"/>
        <v>161413.94249482962</v>
      </c>
      <c r="G123" s="116">
        <f t="shared" si="40"/>
        <v>244566.57953762062</v>
      </c>
    </row>
    <row r="124" spans="1:7" x14ac:dyDescent="0.3">
      <c r="A124" s="115" t="s">
        <v>128</v>
      </c>
      <c r="B124" s="114"/>
      <c r="C124" s="113">
        <f t="shared" ref="C124" si="41">SUM(C120:C123)</f>
        <v>149054.79452054796</v>
      </c>
      <c r="D124" s="113">
        <f t="shared" ref="D124" si="42">SUM(D120:D123)</f>
        <v>175358.58178887996</v>
      </c>
      <c r="E124" s="113">
        <f>SUM(E120:E123)</f>
        <v>225840.59775840602</v>
      </c>
      <c r="F124" s="113">
        <f t="shared" ref="F124:G124" si="43">SUM(F120:F123)</f>
        <v>298109.58904109593</v>
      </c>
      <c r="G124" s="112">
        <f t="shared" si="43"/>
        <v>451681.19551681203</v>
      </c>
    </row>
    <row r="125" spans="1:7" ht="15" thickBot="1" x14ac:dyDescent="0.35">
      <c r="A125" s="163" t="s">
        <v>303</v>
      </c>
      <c r="B125" s="111"/>
      <c r="C125" s="110">
        <f t="shared" ref="C125" si="44">SUM(C115,C118,C124)</f>
        <v>522541.09589041094</v>
      </c>
      <c r="D125" s="109">
        <f>D115+D118+D124</f>
        <v>838323.93231265119</v>
      </c>
      <c r="E125" s="109">
        <f t="shared" ref="E125:G125" si="45">E115+E118+E124</f>
        <v>1079659.6097965962</v>
      </c>
      <c r="F125" s="109">
        <f t="shared" si="45"/>
        <v>1425150.6849315069</v>
      </c>
      <c r="G125" s="108">
        <f t="shared" si="45"/>
        <v>2159319.2195931925</v>
      </c>
    </row>
    <row r="128" spans="1:7" x14ac:dyDescent="0.3">
      <c r="C128" s="107"/>
      <c r="D128" s="107"/>
      <c r="E128" s="107"/>
      <c r="F128" s="107"/>
      <c r="G128" s="107"/>
    </row>
    <row r="129" spans="2:6" x14ac:dyDescent="0.3">
      <c r="B129" s="162"/>
      <c r="F129" s="106"/>
    </row>
    <row r="130" spans="2:6" x14ac:dyDescent="0.3">
      <c r="B130" s="162"/>
    </row>
  </sheetData>
  <mergeCells count="15">
    <mergeCell ref="A110:A112"/>
    <mergeCell ref="A116:A117"/>
    <mergeCell ref="A120:A123"/>
    <mergeCell ref="A77:I77"/>
    <mergeCell ref="I78:J78"/>
    <mergeCell ref="L78:L79"/>
    <mergeCell ref="A92:I92"/>
    <mergeCell ref="I93:J93"/>
    <mergeCell ref="L93:L94"/>
    <mergeCell ref="A1:D9"/>
    <mergeCell ref="F1:G7"/>
    <mergeCell ref="B37:H37"/>
    <mergeCell ref="I37:I38"/>
    <mergeCell ref="B51:H51"/>
    <mergeCell ref="I51:I5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85"/>
  <sheetViews>
    <sheetView topLeftCell="A52" zoomScale="80" zoomScaleNormal="80" workbookViewId="0">
      <selection activeCell="Q14" sqref="Q14"/>
    </sheetView>
  </sheetViews>
  <sheetFormatPr defaultColWidth="8.88671875" defaultRowHeight="14.4" x14ac:dyDescent="0.3"/>
  <cols>
    <col min="2" max="2" width="21.33203125" customWidth="1"/>
    <col min="3" max="3" width="10.109375" customWidth="1"/>
    <col min="4" max="4" width="13.5546875" customWidth="1"/>
    <col min="5" max="5" width="17.44140625" customWidth="1"/>
    <col min="6" max="6" width="18.33203125" customWidth="1"/>
    <col min="7" max="7" width="13.6640625" customWidth="1"/>
    <col min="9" max="9" width="15.6640625" bestFit="1" customWidth="1"/>
    <col min="10" max="10" width="14.88671875" customWidth="1"/>
    <col min="11" max="11" width="15.33203125" customWidth="1"/>
    <col min="12" max="12" width="16.6640625" bestFit="1" customWidth="1"/>
    <col min="13" max="14" width="12.5546875" bestFit="1" customWidth="1"/>
  </cols>
  <sheetData>
    <row r="1" spans="2:14" x14ac:dyDescent="0.3">
      <c r="B1" s="534" t="s">
        <v>233</v>
      </c>
      <c r="C1" s="534"/>
      <c r="D1" s="534"/>
      <c r="E1" s="534"/>
      <c r="F1" s="534"/>
      <c r="G1" s="534"/>
      <c r="I1" s="534" t="s">
        <v>234</v>
      </c>
      <c r="J1" s="534"/>
      <c r="K1" s="534"/>
      <c r="L1" s="534"/>
      <c r="M1" s="534"/>
      <c r="N1" s="534"/>
    </row>
    <row r="2" spans="2:14" x14ac:dyDescent="0.3">
      <c r="B2" s="534"/>
      <c r="C2" s="534"/>
      <c r="D2" s="534"/>
      <c r="E2" s="534"/>
      <c r="F2" s="534"/>
      <c r="G2" s="534"/>
      <c r="I2" s="534"/>
      <c r="J2" s="534"/>
      <c r="K2" s="534"/>
      <c r="L2" s="534"/>
      <c r="M2" s="534"/>
      <c r="N2" s="534"/>
    </row>
    <row r="3" spans="2:14" x14ac:dyDescent="0.3">
      <c r="B3" s="534"/>
      <c r="C3" s="534"/>
      <c r="D3" s="534"/>
      <c r="E3" s="534"/>
      <c r="F3" s="534"/>
      <c r="G3" s="534"/>
      <c r="I3" s="534"/>
      <c r="J3" s="534"/>
      <c r="K3" s="534"/>
      <c r="L3" s="534"/>
      <c r="M3" s="534"/>
      <c r="N3" s="534"/>
    </row>
    <row r="4" spans="2:14" x14ac:dyDescent="0.3">
      <c r="B4" s="59" t="s">
        <v>235</v>
      </c>
      <c r="C4" s="60" t="s">
        <v>236</v>
      </c>
      <c r="D4" s="60" t="s">
        <v>16</v>
      </c>
      <c r="E4" s="60" t="s">
        <v>237</v>
      </c>
      <c r="F4" s="60" t="s">
        <v>18</v>
      </c>
      <c r="G4" s="60" t="s">
        <v>42</v>
      </c>
      <c r="I4" s="59" t="s">
        <v>235</v>
      </c>
      <c r="J4" s="60" t="s">
        <v>236</v>
      </c>
      <c r="K4" s="60" t="s">
        <v>16</v>
      </c>
      <c r="L4" s="60" t="s">
        <v>237</v>
      </c>
      <c r="M4" s="60" t="s">
        <v>18</v>
      </c>
      <c r="N4" s="60" t="s">
        <v>42</v>
      </c>
    </row>
    <row r="5" spans="2:14" x14ac:dyDescent="0.3">
      <c r="B5" s="7" t="s">
        <v>89</v>
      </c>
      <c r="C5" s="71">
        <v>0</v>
      </c>
      <c r="D5" s="208">
        <f>SUM(D6:D8)</f>
        <v>88554</v>
      </c>
      <c r="E5" s="208">
        <f>SUM(E6:E8)</f>
        <v>178873</v>
      </c>
      <c r="F5" s="208">
        <f t="shared" ref="F5" si="0">SUM(F6:F8)</f>
        <v>531963</v>
      </c>
      <c r="G5" s="208">
        <f>SUM(G6:G8)</f>
        <v>799390</v>
      </c>
      <c r="I5" s="215" t="s">
        <v>89</v>
      </c>
      <c r="J5" s="208">
        <v>0</v>
      </c>
      <c r="K5" s="208">
        <v>261476</v>
      </c>
      <c r="L5" s="208">
        <v>102103</v>
      </c>
      <c r="M5" s="208">
        <v>1663945</v>
      </c>
      <c r="N5" s="208">
        <v>2027524</v>
      </c>
    </row>
    <row r="6" spans="2:14" x14ac:dyDescent="0.3">
      <c r="B6" t="s">
        <v>238</v>
      </c>
      <c r="C6" s="8">
        <v>0</v>
      </c>
      <c r="D6" s="216">
        <v>43404</v>
      </c>
      <c r="E6" s="216">
        <v>117544</v>
      </c>
      <c r="F6" s="216">
        <v>304175</v>
      </c>
      <c r="G6" s="216">
        <v>465123</v>
      </c>
      <c r="I6" s="103" t="s">
        <v>238</v>
      </c>
      <c r="J6" s="107">
        <v>0</v>
      </c>
      <c r="K6" s="107">
        <v>117571</v>
      </c>
      <c r="L6" s="107">
        <v>83154</v>
      </c>
      <c r="M6" s="107">
        <v>844640</v>
      </c>
      <c r="N6" s="107">
        <v>1045365</v>
      </c>
    </row>
    <row r="7" spans="2:14" x14ac:dyDescent="0.3">
      <c r="B7" t="s">
        <v>239</v>
      </c>
      <c r="C7" s="8">
        <v>0</v>
      </c>
      <c r="D7" s="216">
        <v>18481</v>
      </c>
      <c r="E7" s="216">
        <v>21135</v>
      </c>
      <c r="F7" s="216">
        <v>135846</v>
      </c>
      <c r="G7" s="216">
        <v>175462</v>
      </c>
      <c r="I7" s="103" t="s">
        <v>239</v>
      </c>
      <c r="J7" s="107">
        <v>0</v>
      </c>
      <c r="K7" s="107">
        <v>74909</v>
      </c>
      <c r="L7" s="107">
        <v>13347</v>
      </c>
      <c r="M7" s="107">
        <v>257401</v>
      </c>
      <c r="N7" s="107">
        <v>345657</v>
      </c>
    </row>
    <row r="8" spans="2:14" x14ac:dyDescent="0.3">
      <c r="B8" t="s">
        <v>240</v>
      </c>
      <c r="C8" s="8">
        <v>0</v>
      </c>
      <c r="D8" s="216">
        <v>26669</v>
      </c>
      <c r="E8" s="216">
        <v>40194</v>
      </c>
      <c r="F8" s="216">
        <v>91942</v>
      </c>
      <c r="G8" s="216">
        <v>158805</v>
      </c>
      <c r="I8" s="103" t="s">
        <v>240</v>
      </c>
      <c r="J8" s="107">
        <v>0</v>
      </c>
      <c r="K8" s="107">
        <v>68996</v>
      </c>
      <c r="L8" s="107">
        <v>5602</v>
      </c>
      <c r="M8" s="107">
        <v>561904</v>
      </c>
      <c r="N8" s="107">
        <v>636502</v>
      </c>
    </row>
    <row r="9" spans="2:14" x14ac:dyDescent="0.3">
      <c r="B9" s="7" t="s">
        <v>92</v>
      </c>
      <c r="C9" s="71">
        <v>0</v>
      </c>
      <c r="D9" s="217">
        <f t="shared" ref="D9:F9" si="1">SUM(D10:D12)</f>
        <v>77550</v>
      </c>
      <c r="E9" s="217">
        <f>SUM(E10:E12)</f>
        <v>465127</v>
      </c>
      <c r="F9" s="217">
        <f t="shared" si="1"/>
        <v>1640345</v>
      </c>
      <c r="G9" s="217">
        <f>SUM(G10:G12)</f>
        <v>2183022</v>
      </c>
      <c r="I9" s="7" t="s">
        <v>92</v>
      </c>
      <c r="J9" s="208">
        <v>0</v>
      </c>
      <c r="K9" s="208">
        <v>902839</v>
      </c>
      <c r="L9" s="208">
        <v>1064519</v>
      </c>
      <c r="M9" s="208">
        <v>2482480</v>
      </c>
      <c r="N9" s="208">
        <v>4449838</v>
      </c>
    </row>
    <row r="10" spans="2:14" x14ac:dyDescent="0.3">
      <c r="B10" t="s">
        <v>241</v>
      </c>
      <c r="C10" s="8">
        <v>0</v>
      </c>
      <c r="D10" s="216">
        <v>46397</v>
      </c>
      <c r="E10" s="216">
        <v>143787</v>
      </c>
      <c r="F10" s="216">
        <v>970756</v>
      </c>
      <c r="G10" s="216">
        <v>1160940</v>
      </c>
      <c r="I10" t="s">
        <v>241</v>
      </c>
      <c r="J10" s="107">
        <v>0</v>
      </c>
      <c r="K10" s="107">
        <v>475230</v>
      </c>
      <c r="L10" s="107">
        <v>396268</v>
      </c>
      <c r="M10" s="107">
        <v>1276267</v>
      </c>
      <c r="N10" s="107">
        <v>2147765</v>
      </c>
    </row>
    <row r="11" spans="2:14" x14ac:dyDescent="0.3">
      <c r="B11" t="s">
        <v>242</v>
      </c>
      <c r="C11" s="8">
        <v>0</v>
      </c>
      <c r="D11" s="216">
        <v>20310</v>
      </c>
      <c r="E11" s="216">
        <v>293922</v>
      </c>
      <c r="F11" s="216">
        <v>526758</v>
      </c>
      <c r="G11" s="216">
        <v>840990</v>
      </c>
      <c r="I11" t="s">
        <v>242</v>
      </c>
      <c r="J11" s="107">
        <v>0</v>
      </c>
      <c r="K11" s="107">
        <v>337550</v>
      </c>
      <c r="L11" s="107">
        <v>618305</v>
      </c>
      <c r="M11" s="107">
        <v>791180</v>
      </c>
      <c r="N11" s="107">
        <v>1747035</v>
      </c>
    </row>
    <row r="12" spans="2:14" x14ac:dyDescent="0.3">
      <c r="B12" t="s">
        <v>243</v>
      </c>
      <c r="C12" s="8">
        <v>0</v>
      </c>
      <c r="D12" s="216">
        <v>10843</v>
      </c>
      <c r="E12" s="216">
        <v>27418</v>
      </c>
      <c r="F12" s="216">
        <v>142831</v>
      </c>
      <c r="G12" s="216">
        <v>181092</v>
      </c>
      <c r="I12" t="s">
        <v>243</v>
      </c>
      <c r="J12" s="107">
        <v>0</v>
      </c>
      <c r="K12" s="107">
        <v>90059</v>
      </c>
      <c r="L12" s="107">
        <v>49946</v>
      </c>
      <c r="M12" s="107">
        <v>415033</v>
      </c>
      <c r="N12" s="107">
        <v>555038</v>
      </c>
    </row>
    <row r="13" spans="2:14" x14ac:dyDescent="0.3">
      <c r="B13" s="7" t="s">
        <v>244</v>
      </c>
      <c r="C13" s="71">
        <v>0</v>
      </c>
      <c r="D13" s="217">
        <f>SUM(D14:D20)</f>
        <v>68275</v>
      </c>
      <c r="E13" s="217">
        <f>SUM(E14:E20)</f>
        <v>71983</v>
      </c>
      <c r="F13" s="217">
        <f t="shared" ref="F13" si="2">SUM(F14:F20)</f>
        <v>113847</v>
      </c>
      <c r="G13" s="217">
        <f>SUM(G14:G20)</f>
        <v>254105</v>
      </c>
      <c r="I13" s="7" t="s">
        <v>244</v>
      </c>
      <c r="J13" s="208">
        <v>0</v>
      </c>
      <c r="K13" s="208">
        <v>551709</v>
      </c>
      <c r="L13" s="208">
        <v>50887</v>
      </c>
      <c r="M13" s="208">
        <v>1094241</v>
      </c>
      <c r="N13" s="208">
        <v>1696837</v>
      </c>
    </row>
    <row r="14" spans="2:14" x14ac:dyDescent="0.3">
      <c r="B14" t="s">
        <v>245</v>
      </c>
      <c r="C14" s="8">
        <v>0</v>
      </c>
      <c r="D14" s="216">
        <v>790</v>
      </c>
      <c r="E14" s="216">
        <v>400</v>
      </c>
      <c r="F14" s="216"/>
      <c r="G14" s="216">
        <v>1190</v>
      </c>
      <c r="I14" t="s">
        <v>245</v>
      </c>
      <c r="J14" s="107">
        <v>0</v>
      </c>
      <c r="K14" s="107">
        <v>2211</v>
      </c>
      <c r="L14" s="107"/>
      <c r="M14" s="107">
        <v>1460</v>
      </c>
      <c r="N14" s="107">
        <v>3671</v>
      </c>
    </row>
    <row r="15" spans="2:14" x14ac:dyDescent="0.3">
      <c r="B15" t="s">
        <v>246</v>
      </c>
      <c r="C15" s="8">
        <v>0</v>
      </c>
      <c r="D15" s="216">
        <v>28482</v>
      </c>
      <c r="E15" s="216">
        <v>24466</v>
      </c>
      <c r="F15" s="216">
        <v>54833</v>
      </c>
      <c r="G15" s="216">
        <v>107781</v>
      </c>
      <c r="I15" t="s">
        <v>246</v>
      </c>
      <c r="J15" s="107">
        <v>0</v>
      </c>
      <c r="K15" s="107">
        <v>90601</v>
      </c>
      <c r="L15" s="107">
        <v>5410</v>
      </c>
      <c r="M15" s="107">
        <v>343561</v>
      </c>
      <c r="N15" s="107">
        <v>439572</v>
      </c>
    </row>
    <row r="16" spans="2:14" x14ac:dyDescent="0.3">
      <c r="B16" t="s">
        <v>109</v>
      </c>
      <c r="C16" s="8">
        <v>0</v>
      </c>
      <c r="D16" s="216">
        <v>19875</v>
      </c>
      <c r="E16" s="216">
        <v>8044</v>
      </c>
      <c r="F16" s="216">
        <v>18086</v>
      </c>
      <c r="G16" s="216">
        <v>46005</v>
      </c>
      <c r="I16" t="s">
        <v>109</v>
      </c>
      <c r="J16" s="107">
        <v>0</v>
      </c>
      <c r="K16" s="107">
        <v>221860</v>
      </c>
      <c r="L16" s="107"/>
      <c r="M16" s="107">
        <v>178872</v>
      </c>
      <c r="N16" s="107">
        <v>400732</v>
      </c>
    </row>
    <row r="17" spans="2:14" x14ac:dyDescent="0.3">
      <c r="B17" t="s">
        <v>247</v>
      </c>
      <c r="C17" s="8">
        <v>0</v>
      </c>
      <c r="D17" s="216">
        <v>13813</v>
      </c>
      <c r="E17" s="216">
        <v>23679</v>
      </c>
      <c r="F17" s="216">
        <v>19678</v>
      </c>
      <c r="G17" s="216">
        <v>57170</v>
      </c>
      <c r="I17" t="s">
        <v>247</v>
      </c>
      <c r="J17" s="107">
        <v>0</v>
      </c>
      <c r="K17" s="107">
        <v>172968</v>
      </c>
      <c r="L17" s="107">
        <v>41112</v>
      </c>
      <c r="M17" s="107">
        <v>273216</v>
      </c>
      <c r="N17" s="107">
        <v>487296</v>
      </c>
    </row>
    <row r="18" spans="2:14" x14ac:dyDescent="0.3">
      <c r="B18" t="s">
        <v>248</v>
      </c>
      <c r="C18" s="8">
        <v>0</v>
      </c>
      <c r="D18" s="216"/>
      <c r="E18" s="216"/>
      <c r="F18" s="216"/>
      <c r="G18" s="216">
        <v>0</v>
      </c>
      <c r="I18" t="s">
        <v>248</v>
      </c>
      <c r="J18" s="107">
        <v>0</v>
      </c>
      <c r="K18" s="107">
        <v>7308</v>
      </c>
      <c r="L18" s="107"/>
      <c r="M18" s="107">
        <v>40312</v>
      </c>
      <c r="N18" s="107">
        <v>47620</v>
      </c>
    </row>
    <row r="19" spans="2:14" x14ac:dyDescent="0.3">
      <c r="B19" t="s">
        <v>249</v>
      </c>
      <c r="C19" s="8">
        <v>0</v>
      </c>
      <c r="D19" s="216">
        <v>385</v>
      </c>
      <c r="E19" s="216">
        <v>1540</v>
      </c>
      <c r="F19" s="216">
        <v>1540</v>
      </c>
      <c r="G19" s="216">
        <v>3465</v>
      </c>
      <c r="I19" t="s">
        <v>249</v>
      </c>
      <c r="J19" s="107">
        <v>0</v>
      </c>
      <c r="K19" s="107">
        <v>41804</v>
      </c>
      <c r="L19" s="107">
        <v>1811</v>
      </c>
      <c r="M19" s="107">
        <v>145910</v>
      </c>
      <c r="N19" s="107">
        <v>189525</v>
      </c>
    </row>
    <row r="20" spans="2:14" x14ac:dyDescent="0.3">
      <c r="B20" s="85" t="s">
        <v>250</v>
      </c>
      <c r="C20" s="173">
        <v>0</v>
      </c>
      <c r="D20" s="218">
        <v>4930</v>
      </c>
      <c r="E20" s="218">
        <v>13854</v>
      </c>
      <c r="F20" s="218">
        <v>19710</v>
      </c>
      <c r="G20" s="218">
        <v>38494</v>
      </c>
      <c r="I20" t="s">
        <v>250</v>
      </c>
      <c r="J20" s="107">
        <v>0</v>
      </c>
      <c r="K20" s="107">
        <v>14957</v>
      </c>
      <c r="L20" s="107">
        <v>2554</v>
      </c>
      <c r="M20" s="107">
        <v>110910</v>
      </c>
      <c r="N20" s="107">
        <v>128421</v>
      </c>
    </row>
    <row r="21" spans="2:14" x14ac:dyDescent="0.3">
      <c r="B21" s="7" t="s">
        <v>94</v>
      </c>
      <c r="C21" s="71">
        <v>0</v>
      </c>
      <c r="D21" s="217">
        <v>234379</v>
      </c>
      <c r="E21" s="217">
        <v>715983</v>
      </c>
      <c r="F21" s="217">
        <v>2286155</v>
      </c>
      <c r="G21" s="217">
        <v>3236517</v>
      </c>
      <c r="I21" s="59" t="s">
        <v>110</v>
      </c>
      <c r="J21" s="128">
        <v>0</v>
      </c>
      <c r="K21" s="128">
        <v>381555</v>
      </c>
      <c r="L21" s="128">
        <v>99525</v>
      </c>
      <c r="M21" s="128">
        <v>1020491</v>
      </c>
      <c r="N21" s="128">
        <f>SUM(J21:M21)</f>
        <v>1501571</v>
      </c>
    </row>
    <row r="22" spans="2:14" x14ac:dyDescent="0.3">
      <c r="I22" s="7" t="s">
        <v>94</v>
      </c>
      <c r="J22" s="208">
        <v>0</v>
      </c>
      <c r="K22" s="208">
        <f t="shared" ref="K22:M22" si="3">SUM(K5,K9,K13,K21)</f>
        <v>2097579</v>
      </c>
      <c r="L22" s="208">
        <f t="shared" si="3"/>
        <v>1317034</v>
      </c>
      <c r="M22" s="208">
        <f t="shared" si="3"/>
        <v>6261157</v>
      </c>
      <c r="N22" s="208">
        <f>SUM(N5,N9,N13,N21)</f>
        <v>9675770</v>
      </c>
    </row>
    <row r="23" spans="2:14" x14ac:dyDescent="0.3">
      <c r="N23" s="11"/>
    </row>
    <row r="26" spans="2:14" x14ac:dyDescent="0.3">
      <c r="B26" t="s">
        <v>251</v>
      </c>
      <c r="C26" s="219"/>
      <c r="D26" s="219"/>
      <c r="E26" s="219"/>
      <c r="F26" s="219"/>
      <c r="G26" s="219"/>
      <c r="I26" t="s">
        <v>252</v>
      </c>
    </row>
    <row r="27" spans="2:14" ht="15" thickBot="1" x14ac:dyDescent="0.35">
      <c r="B27" s="141" t="s">
        <v>235</v>
      </c>
      <c r="C27" s="172" t="s">
        <v>236</v>
      </c>
      <c r="D27" s="172" t="s">
        <v>16</v>
      </c>
      <c r="E27" s="172" t="s">
        <v>237</v>
      </c>
      <c r="F27" s="172" t="s">
        <v>18</v>
      </c>
      <c r="G27" s="172" t="s">
        <v>42</v>
      </c>
      <c r="I27" s="141" t="s">
        <v>235</v>
      </c>
      <c r="J27" s="172" t="s">
        <v>236</v>
      </c>
      <c r="K27" s="172" t="s">
        <v>16</v>
      </c>
      <c r="L27" s="172" t="s">
        <v>237</v>
      </c>
      <c r="M27" s="172" t="s">
        <v>18</v>
      </c>
      <c r="N27" s="172" t="s">
        <v>42</v>
      </c>
    </row>
    <row r="28" spans="2:14" x14ac:dyDescent="0.3">
      <c r="B28" s="7" t="s">
        <v>89</v>
      </c>
      <c r="C28" s="217">
        <f t="shared" ref="C28:C42" si="4">C7/10000</f>
        <v>0</v>
      </c>
      <c r="D28" s="217">
        <f t="shared" ref="D28:D44" si="5">D5/10000</f>
        <v>8.8553999999999995</v>
      </c>
      <c r="E28" s="217">
        <f t="shared" ref="E28:G28" si="6">E5/10000</f>
        <v>17.8873</v>
      </c>
      <c r="F28" s="217">
        <f t="shared" si="6"/>
        <v>53.196300000000001</v>
      </c>
      <c r="G28" s="217">
        <f t="shared" si="6"/>
        <v>79.938999999999993</v>
      </c>
      <c r="I28" s="215" t="s">
        <v>89</v>
      </c>
      <c r="J28" s="208">
        <v>0</v>
      </c>
      <c r="K28" s="208">
        <f t="shared" ref="K28:K44" si="7">K5/10000</f>
        <v>26.147600000000001</v>
      </c>
      <c r="L28" s="208">
        <f t="shared" ref="L28:N28" si="8">L5/10000</f>
        <v>10.2103</v>
      </c>
      <c r="M28" s="208">
        <f t="shared" si="8"/>
        <v>166.39449999999999</v>
      </c>
      <c r="N28" s="208">
        <f t="shared" si="8"/>
        <v>202.75239999999999</v>
      </c>
    </row>
    <row r="29" spans="2:14" x14ac:dyDescent="0.3">
      <c r="B29" t="s">
        <v>238</v>
      </c>
      <c r="C29" s="220">
        <f t="shared" si="4"/>
        <v>0</v>
      </c>
      <c r="D29" s="220">
        <f t="shared" si="5"/>
        <v>4.3403999999999998</v>
      </c>
      <c r="E29" s="220">
        <f t="shared" ref="E29:G44" si="9">E6/10000</f>
        <v>11.7544</v>
      </c>
      <c r="F29" s="220">
        <f t="shared" si="9"/>
        <v>30.4175</v>
      </c>
      <c r="G29" s="220">
        <f t="shared" si="9"/>
        <v>46.512300000000003</v>
      </c>
      <c r="I29" s="103" t="s">
        <v>238</v>
      </c>
      <c r="J29" s="107">
        <v>0</v>
      </c>
      <c r="K29" s="107">
        <f t="shared" si="7"/>
        <v>11.757099999999999</v>
      </c>
      <c r="L29" s="107">
        <f t="shared" ref="L29:N44" si="10">L6/10000</f>
        <v>8.3154000000000003</v>
      </c>
      <c r="M29" s="107">
        <f t="shared" si="10"/>
        <v>84.463999999999999</v>
      </c>
      <c r="N29" s="107">
        <f t="shared" si="10"/>
        <v>104.5365</v>
      </c>
    </row>
    <row r="30" spans="2:14" x14ac:dyDescent="0.3">
      <c r="B30" t="s">
        <v>239</v>
      </c>
      <c r="C30" s="220">
        <f t="shared" si="4"/>
        <v>0</v>
      </c>
      <c r="D30" s="220">
        <f t="shared" si="5"/>
        <v>1.8481000000000001</v>
      </c>
      <c r="E30" s="220">
        <f t="shared" si="9"/>
        <v>2.1135000000000002</v>
      </c>
      <c r="F30" s="220">
        <f t="shared" si="9"/>
        <v>13.5846</v>
      </c>
      <c r="G30" s="220">
        <f t="shared" si="9"/>
        <v>17.546199999999999</v>
      </c>
      <c r="I30" s="103" t="s">
        <v>239</v>
      </c>
      <c r="J30" s="107">
        <v>0</v>
      </c>
      <c r="K30" s="107">
        <f t="shared" si="7"/>
        <v>7.4908999999999999</v>
      </c>
      <c r="L30" s="107">
        <f t="shared" si="10"/>
        <v>1.3347</v>
      </c>
      <c r="M30" s="107">
        <f t="shared" si="10"/>
        <v>25.740100000000002</v>
      </c>
      <c r="N30" s="107">
        <f t="shared" si="10"/>
        <v>34.5657</v>
      </c>
    </row>
    <row r="31" spans="2:14" x14ac:dyDescent="0.3">
      <c r="B31" s="85" t="s">
        <v>240</v>
      </c>
      <c r="C31" s="221">
        <f t="shared" si="4"/>
        <v>0</v>
      </c>
      <c r="D31" s="221">
        <f t="shared" si="5"/>
        <v>2.6669</v>
      </c>
      <c r="E31" s="221">
        <f t="shared" si="9"/>
        <v>4.0194000000000001</v>
      </c>
      <c r="F31" s="221">
        <f t="shared" si="9"/>
        <v>9.1942000000000004</v>
      </c>
      <c r="G31" s="221">
        <f t="shared" si="9"/>
        <v>15.8805</v>
      </c>
      <c r="I31" s="222" t="s">
        <v>240</v>
      </c>
      <c r="J31" s="133">
        <v>0</v>
      </c>
      <c r="K31" s="133">
        <f t="shared" si="7"/>
        <v>6.8996000000000004</v>
      </c>
      <c r="L31" s="133">
        <f t="shared" si="10"/>
        <v>0.56020000000000003</v>
      </c>
      <c r="M31" s="133">
        <f t="shared" si="10"/>
        <v>56.190399999999997</v>
      </c>
      <c r="N31" s="133">
        <f t="shared" si="10"/>
        <v>63.650199999999998</v>
      </c>
    </row>
    <row r="32" spans="2:14" x14ac:dyDescent="0.3">
      <c r="B32" s="7" t="s">
        <v>92</v>
      </c>
      <c r="C32" s="217">
        <f t="shared" si="4"/>
        <v>0</v>
      </c>
      <c r="D32" s="217">
        <f t="shared" si="5"/>
        <v>7.7549999999999999</v>
      </c>
      <c r="E32" s="217">
        <f t="shared" si="9"/>
        <v>46.512700000000002</v>
      </c>
      <c r="F32" s="217">
        <f t="shared" si="9"/>
        <v>164.03450000000001</v>
      </c>
      <c r="G32" s="217">
        <f t="shared" si="9"/>
        <v>218.3022</v>
      </c>
      <c r="I32" s="7" t="s">
        <v>92</v>
      </c>
      <c r="J32" s="208">
        <v>0</v>
      </c>
      <c r="K32" s="208">
        <f t="shared" si="7"/>
        <v>90.283900000000003</v>
      </c>
      <c r="L32" s="208">
        <f t="shared" si="10"/>
        <v>106.45189999999999</v>
      </c>
      <c r="M32" s="208">
        <f t="shared" si="10"/>
        <v>248.24799999999999</v>
      </c>
      <c r="N32" s="208">
        <f t="shared" si="10"/>
        <v>444.98379999999997</v>
      </c>
    </row>
    <row r="33" spans="2:14" x14ac:dyDescent="0.3">
      <c r="B33" t="s">
        <v>241</v>
      </c>
      <c r="C33" s="220">
        <f t="shared" si="4"/>
        <v>0</v>
      </c>
      <c r="D33" s="220">
        <f t="shared" si="5"/>
        <v>4.6397000000000004</v>
      </c>
      <c r="E33" s="220">
        <f t="shared" si="9"/>
        <v>14.3787</v>
      </c>
      <c r="F33" s="220">
        <f t="shared" si="9"/>
        <v>97.075599999999994</v>
      </c>
      <c r="G33" s="220">
        <f t="shared" si="9"/>
        <v>116.09399999999999</v>
      </c>
      <c r="I33" t="s">
        <v>241</v>
      </c>
      <c r="J33" s="107">
        <v>0</v>
      </c>
      <c r="K33" s="107">
        <f t="shared" si="7"/>
        <v>47.523000000000003</v>
      </c>
      <c r="L33" s="107">
        <f t="shared" si="10"/>
        <v>39.626800000000003</v>
      </c>
      <c r="M33" s="107">
        <f t="shared" si="10"/>
        <v>127.6267</v>
      </c>
      <c r="N33" s="107">
        <f t="shared" si="10"/>
        <v>214.7765</v>
      </c>
    </row>
    <row r="34" spans="2:14" x14ac:dyDescent="0.3">
      <c r="B34" t="s">
        <v>242</v>
      </c>
      <c r="C34" s="220">
        <f t="shared" si="4"/>
        <v>0</v>
      </c>
      <c r="D34" s="220">
        <f t="shared" si="5"/>
        <v>2.0310000000000001</v>
      </c>
      <c r="E34" s="220">
        <f t="shared" si="9"/>
        <v>29.392199999999999</v>
      </c>
      <c r="F34" s="220">
        <f t="shared" si="9"/>
        <v>52.675800000000002</v>
      </c>
      <c r="G34" s="220">
        <f t="shared" si="9"/>
        <v>84.099000000000004</v>
      </c>
      <c r="I34" t="s">
        <v>242</v>
      </c>
      <c r="J34" s="107">
        <v>0</v>
      </c>
      <c r="K34" s="107">
        <f t="shared" si="7"/>
        <v>33.755000000000003</v>
      </c>
      <c r="L34" s="107">
        <f t="shared" si="10"/>
        <v>61.830500000000001</v>
      </c>
      <c r="M34" s="107">
        <f t="shared" si="10"/>
        <v>79.117999999999995</v>
      </c>
      <c r="N34" s="107">
        <f t="shared" si="10"/>
        <v>174.70349999999999</v>
      </c>
    </row>
    <row r="35" spans="2:14" x14ac:dyDescent="0.3">
      <c r="B35" s="85" t="s">
        <v>243</v>
      </c>
      <c r="C35" s="221">
        <f t="shared" si="4"/>
        <v>0</v>
      </c>
      <c r="D35" s="221">
        <f t="shared" si="5"/>
        <v>1.0843</v>
      </c>
      <c r="E35" s="221">
        <f t="shared" si="9"/>
        <v>2.7418</v>
      </c>
      <c r="F35" s="221">
        <f t="shared" si="9"/>
        <v>14.283099999999999</v>
      </c>
      <c r="G35" s="221">
        <f t="shared" si="9"/>
        <v>18.109200000000001</v>
      </c>
      <c r="I35" s="85" t="s">
        <v>243</v>
      </c>
      <c r="J35" s="133">
        <v>0</v>
      </c>
      <c r="K35" s="133">
        <f t="shared" si="7"/>
        <v>9.0059000000000005</v>
      </c>
      <c r="L35" s="133">
        <f t="shared" si="10"/>
        <v>4.9946000000000002</v>
      </c>
      <c r="M35" s="133">
        <f t="shared" si="10"/>
        <v>41.503300000000003</v>
      </c>
      <c r="N35" s="133">
        <f t="shared" si="10"/>
        <v>55.503799999999998</v>
      </c>
    </row>
    <row r="36" spans="2:14" x14ac:dyDescent="0.3">
      <c r="B36" s="7" t="s">
        <v>244</v>
      </c>
      <c r="C36" s="217">
        <f t="shared" si="4"/>
        <v>0</v>
      </c>
      <c r="D36" s="217">
        <f t="shared" si="5"/>
        <v>6.8274999999999997</v>
      </c>
      <c r="E36" s="217">
        <f t="shared" si="9"/>
        <v>7.1982999999999997</v>
      </c>
      <c r="F36" s="217">
        <f t="shared" si="9"/>
        <v>11.3847</v>
      </c>
      <c r="G36" s="217">
        <f t="shared" si="9"/>
        <v>25.410499999999999</v>
      </c>
      <c r="I36" s="7" t="s">
        <v>244</v>
      </c>
      <c r="J36" s="208">
        <v>0</v>
      </c>
      <c r="K36" s="208">
        <f t="shared" si="7"/>
        <v>55.170900000000003</v>
      </c>
      <c r="L36" s="208">
        <f t="shared" si="10"/>
        <v>5.0887000000000002</v>
      </c>
      <c r="M36" s="208">
        <f t="shared" si="10"/>
        <v>109.4241</v>
      </c>
      <c r="N36" s="208">
        <f t="shared" si="10"/>
        <v>169.68369999999999</v>
      </c>
    </row>
    <row r="37" spans="2:14" x14ac:dyDescent="0.3">
      <c r="B37" t="s">
        <v>245</v>
      </c>
      <c r="C37" s="220">
        <f t="shared" si="4"/>
        <v>0</v>
      </c>
      <c r="D37" s="220">
        <f t="shared" si="5"/>
        <v>7.9000000000000001E-2</v>
      </c>
      <c r="E37" s="220">
        <f t="shared" si="9"/>
        <v>0.04</v>
      </c>
      <c r="F37" s="220">
        <f t="shared" si="9"/>
        <v>0</v>
      </c>
      <c r="G37" s="220">
        <f t="shared" si="9"/>
        <v>0.11899999999999999</v>
      </c>
      <c r="I37" t="s">
        <v>245</v>
      </c>
      <c r="J37" s="107">
        <v>0</v>
      </c>
      <c r="K37" s="107">
        <f t="shared" si="7"/>
        <v>0.22109999999999999</v>
      </c>
      <c r="L37" s="107">
        <f t="shared" si="10"/>
        <v>0</v>
      </c>
      <c r="M37" s="107">
        <f t="shared" si="10"/>
        <v>0.14599999999999999</v>
      </c>
      <c r="N37" s="107">
        <f t="shared" si="10"/>
        <v>0.36709999999999998</v>
      </c>
    </row>
    <row r="38" spans="2:14" x14ac:dyDescent="0.3">
      <c r="B38" t="s">
        <v>246</v>
      </c>
      <c r="C38" s="220">
        <f t="shared" si="4"/>
        <v>0</v>
      </c>
      <c r="D38" s="220">
        <f t="shared" si="5"/>
        <v>2.8481999999999998</v>
      </c>
      <c r="E38" s="220">
        <f t="shared" si="9"/>
        <v>2.4466000000000001</v>
      </c>
      <c r="F38" s="220">
        <f t="shared" si="9"/>
        <v>5.4832999999999998</v>
      </c>
      <c r="G38" s="220">
        <f t="shared" si="9"/>
        <v>10.7781</v>
      </c>
      <c r="I38" t="s">
        <v>246</v>
      </c>
      <c r="J38" s="107">
        <v>0</v>
      </c>
      <c r="K38" s="107">
        <f t="shared" si="7"/>
        <v>9.0601000000000003</v>
      </c>
      <c r="L38" s="107">
        <f t="shared" si="10"/>
        <v>0.54100000000000004</v>
      </c>
      <c r="M38" s="107">
        <f t="shared" si="10"/>
        <v>34.356099999999998</v>
      </c>
      <c r="N38" s="107">
        <f t="shared" si="10"/>
        <v>43.9572</v>
      </c>
    </row>
    <row r="39" spans="2:14" x14ac:dyDescent="0.3">
      <c r="B39" t="s">
        <v>109</v>
      </c>
      <c r="C39" s="220">
        <f t="shared" si="4"/>
        <v>0</v>
      </c>
      <c r="D39" s="220">
        <f t="shared" si="5"/>
        <v>1.9875</v>
      </c>
      <c r="E39" s="220">
        <f t="shared" si="9"/>
        <v>0.8044</v>
      </c>
      <c r="F39" s="220">
        <f t="shared" si="9"/>
        <v>1.8086</v>
      </c>
      <c r="G39" s="220">
        <f t="shared" si="9"/>
        <v>4.6005000000000003</v>
      </c>
      <c r="I39" t="s">
        <v>109</v>
      </c>
      <c r="J39" s="107">
        <v>0</v>
      </c>
      <c r="K39" s="107">
        <f t="shared" si="7"/>
        <v>22.186</v>
      </c>
      <c r="L39" s="107">
        <f t="shared" si="10"/>
        <v>0</v>
      </c>
      <c r="M39" s="107">
        <f t="shared" si="10"/>
        <v>17.8872</v>
      </c>
      <c r="N39" s="107">
        <f t="shared" si="10"/>
        <v>40.0732</v>
      </c>
    </row>
    <row r="40" spans="2:14" x14ac:dyDescent="0.3">
      <c r="B40" t="s">
        <v>247</v>
      </c>
      <c r="C40" s="220">
        <f t="shared" si="4"/>
        <v>0</v>
      </c>
      <c r="D40" s="220">
        <f t="shared" si="5"/>
        <v>1.3813</v>
      </c>
      <c r="E40" s="220">
        <f t="shared" si="9"/>
        <v>2.3679000000000001</v>
      </c>
      <c r="F40" s="220">
        <f t="shared" si="9"/>
        <v>1.9678</v>
      </c>
      <c r="G40" s="220">
        <f t="shared" si="9"/>
        <v>5.7169999999999996</v>
      </c>
      <c r="I40" t="s">
        <v>247</v>
      </c>
      <c r="J40" s="107">
        <v>0</v>
      </c>
      <c r="K40" s="107">
        <f t="shared" si="7"/>
        <v>17.296800000000001</v>
      </c>
      <c r="L40" s="107">
        <f t="shared" si="10"/>
        <v>4.1112000000000002</v>
      </c>
      <c r="M40" s="107">
        <f t="shared" si="10"/>
        <v>27.3216</v>
      </c>
      <c r="N40" s="107">
        <f t="shared" si="10"/>
        <v>48.729599999999998</v>
      </c>
    </row>
    <row r="41" spans="2:14" x14ac:dyDescent="0.3">
      <c r="B41" t="s">
        <v>248</v>
      </c>
      <c r="C41" s="220">
        <f t="shared" si="4"/>
        <v>0</v>
      </c>
      <c r="D41" s="220">
        <f t="shared" si="5"/>
        <v>0</v>
      </c>
      <c r="E41" s="220">
        <f t="shared" si="9"/>
        <v>0</v>
      </c>
      <c r="F41" s="220">
        <f t="shared" si="9"/>
        <v>0</v>
      </c>
      <c r="G41" s="220">
        <f t="shared" si="9"/>
        <v>0</v>
      </c>
      <c r="I41" t="s">
        <v>248</v>
      </c>
      <c r="J41" s="107">
        <v>0</v>
      </c>
      <c r="K41" s="107">
        <f t="shared" si="7"/>
        <v>0.73080000000000001</v>
      </c>
      <c r="L41" s="107">
        <f t="shared" si="10"/>
        <v>0</v>
      </c>
      <c r="M41" s="107">
        <f t="shared" si="10"/>
        <v>4.0312000000000001</v>
      </c>
      <c r="N41" s="107">
        <f t="shared" si="10"/>
        <v>4.7619999999999996</v>
      </c>
    </row>
    <row r="42" spans="2:14" x14ac:dyDescent="0.3">
      <c r="B42" t="s">
        <v>249</v>
      </c>
      <c r="C42" s="220">
        <f t="shared" si="4"/>
        <v>0</v>
      </c>
      <c r="D42" s="220">
        <f t="shared" si="5"/>
        <v>3.85E-2</v>
      </c>
      <c r="E42" s="220">
        <f t="shared" si="9"/>
        <v>0.154</v>
      </c>
      <c r="F42" s="220">
        <f t="shared" si="9"/>
        <v>0.154</v>
      </c>
      <c r="G42" s="220">
        <f t="shared" si="9"/>
        <v>0.34649999999999997</v>
      </c>
      <c r="I42" t="s">
        <v>249</v>
      </c>
      <c r="J42" s="107">
        <v>0</v>
      </c>
      <c r="K42" s="107">
        <f t="shared" si="7"/>
        <v>4.1803999999999997</v>
      </c>
      <c r="L42" s="107">
        <f t="shared" si="10"/>
        <v>0.18110000000000001</v>
      </c>
      <c r="M42" s="107">
        <f t="shared" si="10"/>
        <v>14.590999999999999</v>
      </c>
      <c r="N42" s="107">
        <f t="shared" si="10"/>
        <v>18.952500000000001</v>
      </c>
    </row>
    <row r="43" spans="2:14" ht="15" thickBot="1" x14ac:dyDescent="0.35">
      <c r="B43" s="127" t="s">
        <v>250</v>
      </c>
      <c r="C43" s="223">
        <f t="shared" ref="C43" si="11">C23/10000</f>
        <v>0</v>
      </c>
      <c r="D43" s="223">
        <f t="shared" si="5"/>
        <v>0.49299999999999999</v>
      </c>
      <c r="E43" s="223">
        <f t="shared" si="9"/>
        <v>1.3854</v>
      </c>
      <c r="F43" s="223">
        <f t="shared" si="9"/>
        <v>1.9710000000000001</v>
      </c>
      <c r="G43" s="223">
        <f t="shared" si="9"/>
        <v>3.8494000000000002</v>
      </c>
      <c r="I43" t="s">
        <v>250</v>
      </c>
      <c r="J43" s="107">
        <v>0</v>
      </c>
      <c r="K43" s="107">
        <f t="shared" si="7"/>
        <v>1.4957</v>
      </c>
      <c r="L43" s="107">
        <f t="shared" si="10"/>
        <v>0.25540000000000002</v>
      </c>
      <c r="M43" s="107">
        <f t="shared" si="10"/>
        <v>11.090999999999999</v>
      </c>
      <c r="N43" s="107">
        <f t="shared" si="10"/>
        <v>12.8421</v>
      </c>
    </row>
    <row r="44" spans="2:14" ht="15" thickBot="1" x14ac:dyDescent="0.35">
      <c r="B44" s="7" t="s">
        <v>94</v>
      </c>
      <c r="C44" s="217">
        <f>C24/10000</f>
        <v>0</v>
      </c>
      <c r="D44" s="217">
        <f t="shared" si="5"/>
        <v>23.437899999999999</v>
      </c>
      <c r="E44" s="217">
        <f t="shared" si="9"/>
        <v>71.598299999999995</v>
      </c>
      <c r="F44" s="217">
        <f t="shared" si="9"/>
        <v>228.6155</v>
      </c>
      <c r="G44" s="217">
        <f t="shared" si="9"/>
        <v>323.65170000000001</v>
      </c>
      <c r="I44" s="141" t="s">
        <v>110</v>
      </c>
      <c r="J44" s="131">
        <v>0</v>
      </c>
      <c r="K44" s="131">
        <f t="shared" si="7"/>
        <v>38.155500000000004</v>
      </c>
      <c r="L44" s="131">
        <f t="shared" si="10"/>
        <v>9.9525000000000006</v>
      </c>
      <c r="M44" s="131">
        <f t="shared" si="10"/>
        <v>102.0491</v>
      </c>
      <c r="N44" s="131">
        <f t="shared" si="10"/>
        <v>150.15710000000001</v>
      </c>
    </row>
    <row r="45" spans="2:14" x14ac:dyDescent="0.3">
      <c r="I45" s="7" t="s">
        <v>94</v>
      </c>
      <c r="J45" s="208">
        <v>0</v>
      </c>
      <c r="K45" s="208">
        <f t="shared" ref="K45:N45" si="12">K22/10000</f>
        <v>209.75790000000001</v>
      </c>
      <c r="L45" s="208">
        <f t="shared" si="12"/>
        <v>131.70339999999999</v>
      </c>
      <c r="M45" s="208">
        <f t="shared" si="12"/>
        <v>626.11569999999995</v>
      </c>
      <c r="N45" s="208">
        <f t="shared" si="12"/>
        <v>967.577</v>
      </c>
    </row>
    <row r="46" spans="2:14" x14ac:dyDescent="0.3">
      <c r="B46" s="7"/>
      <c r="C46" s="219"/>
      <c r="D46" s="224"/>
      <c r="E46" s="224"/>
      <c r="F46" s="224"/>
      <c r="G46" s="224"/>
      <c r="I46" s="7"/>
      <c r="J46" s="7"/>
      <c r="K46" s="225"/>
      <c r="L46" s="225"/>
      <c r="M46" s="225"/>
      <c r="N46" s="225"/>
    </row>
    <row r="47" spans="2:14" x14ac:dyDescent="0.3">
      <c r="B47" s="7"/>
      <c r="C47" s="219"/>
      <c r="D47" s="224"/>
      <c r="E47" s="535" t="s">
        <v>253</v>
      </c>
      <c r="F47" s="536"/>
      <c r="G47" s="536"/>
      <c r="H47" s="536"/>
      <c r="I47" s="536"/>
      <c r="J47" s="536"/>
      <c r="K47" s="536"/>
      <c r="L47" s="225"/>
      <c r="M47" s="225"/>
      <c r="N47" s="225"/>
    </row>
    <row r="48" spans="2:14" x14ac:dyDescent="0.3">
      <c r="B48" s="7"/>
      <c r="C48" s="219"/>
      <c r="D48" s="224"/>
      <c r="E48" s="536"/>
      <c r="F48" s="536"/>
      <c r="G48" s="536"/>
      <c r="H48" s="536"/>
      <c r="I48" s="536"/>
      <c r="J48" s="536"/>
      <c r="K48" s="536"/>
      <c r="L48" s="225"/>
      <c r="M48" s="225"/>
      <c r="N48" s="225"/>
    </row>
    <row r="49" spans="2:14" x14ac:dyDescent="0.3">
      <c r="B49" s="7"/>
      <c r="C49" s="219"/>
      <c r="D49" s="224"/>
      <c r="E49" s="224"/>
      <c r="F49" s="224"/>
      <c r="G49" s="537" t="s">
        <v>254</v>
      </c>
      <c r="I49" s="539" t="s">
        <v>255</v>
      </c>
      <c r="J49" s="7"/>
      <c r="K49" s="225"/>
      <c r="L49" s="225"/>
      <c r="M49" s="225"/>
      <c r="N49" s="225"/>
    </row>
    <row r="50" spans="2:14" x14ac:dyDescent="0.3">
      <c r="B50" s="7"/>
      <c r="C50" s="219"/>
      <c r="D50" s="224"/>
      <c r="E50" s="224"/>
      <c r="F50" s="59"/>
      <c r="G50" s="538"/>
      <c r="H50" s="85"/>
      <c r="I50" s="540"/>
      <c r="J50" s="7"/>
      <c r="K50" s="225"/>
      <c r="L50" s="225"/>
      <c r="M50" s="225"/>
      <c r="N50" s="225"/>
    </row>
    <row r="51" spans="2:14" x14ac:dyDescent="0.3">
      <c r="D51" s="224"/>
      <c r="E51" s="224"/>
      <c r="F51" t="s">
        <v>256</v>
      </c>
      <c r="G51" s="226">
        <v>38865</v>
      </c>
      <c r="I51" s="11">
        <v>235109</v>
      </c>
      <c r="J51" s="7"/>
      <c r="K51" s="225"/>
      <c r="L51" s="225"/>
      <c r="M51" s="225"/>
      <c r="N51" s="225"/>
    </row>
    <row r="52" spans="2:14" x14ac:dyDescent="0.3">
      <c r="D52" s="224"/>
      <c r="E52" s="224"/>
      <c r="F52" t="s">
        <v>257</v>
      </c>
      <c r="G52" s="226">
        <v>188848</v>
      </c>
      <c r="I52" s="11">
        <v>704395</v>
      </c>
      <c r="J52" s="7"/>
      <c r="K52" s="225"/>
      <c r="L52" s="225"/>
      <c r="M52" s="225"/>
      <c r="N52" s="225"/>
    </row>
    <row r="53" spans="2:14" x14ac:dyDescent="0.3">
      <c r="D53" s="224"/>
      <c r="E53" s="224"/>
      <c r="F53" t="s">
        <v>258</v>
      </c>
      <c r="G53" s="226">
        <v>282331</v>
      </c>
      <c r="I53" s="11">
        <v>1246808</v>
      </c>
      <c r="J53" s="7"/>
      <c r="K53" s="225"/>
      <c r="L53" s="225"/>
      <c r="M53" s="225"/>
      <c r="N53" s="225"/>
    </row>
    <row r="54" spans="2:14" x14ac:dyDescent="0.3">
      <c r="D54" s="224"/>
      <c r="E54" s="224"/>
      <c r="F54" t="s">
        <v>259</v>
      </c>
      <c r="G54" s="226">
        <v>105681</v>
      </c>
      <c r="I54" s="11">
        <v>530158</v>
      </c>
      <c r="J54" s="7"/>
      <c r="K54" s="225"/>
      <c r="L54" s="225"/>
      <c r="M54" s="225"/>
      <c r="N54" s="225"/>
    </row>
    <row r="55" spans="2:14" x14ac:dyDescent="0.3">
      <c r="D55" s="224"/>
      <c r="E55" s="224"/>
      <c r="F55" t="s">
        <v>260</v>
      </c>
      <c r="G55" s="226">
        <v>49673</v>
      </c>
      <c r="I55" s="11">
        <v>169150</v>
      </c>
      <c r="J55" s="7"/>
      <c r="K55" s="225"/>
      <c r="L55" s="225"/>
      <c r="M55" s="225"/>
      <c r="N55" s="225"/>
    </row>
    <row r="56" spans="2:14" x14ac:dyDescent="0.3">
      <c r="D56" s="224"/>
      <c r="E56" s="224"/>
      <c r="F56" s="224"/>
      <c r="G56" s="224"/>
      <c r="I56" s="7"/>
      <c r="J56" s="7"/>
      <c r="K56" s="225"/>
      <c r="L56" s="225"/>
      <c r="M56" s="225"/>
      <c r="N56" s="225"/>
    </row>
    <row r="58" spans="2:14" ht="14.4" customHeight="1" x14ac:dyDescent="0.3">
      <c r="D58" s="534" t="s">
        <v>261</v>
      </c>
      <c r="E58" s="534"/>
      <c r="F58" s="534"/>
      <c r="G58" s="534"/>
      <c r="H58" s="534"/>
      <c r="I58" s="534"/>
      <c r="J58" s="534"/>
      <c r="K58" s="534"/>
    </row>
    <row r="59" spans="2:14" x14ac:dyDescent="0.3">
      <c r="D59" s="534"/>
      <c r="E59" s="534"/>
      <c r="F59" s="534"/>
      <c r="G59" s="534"/>
      <c r="H59" s="534"/>
      <c r="I59" s="534"/>
      <c r="J59" s="534"/>
      <c r="K59" s="534"/>
    </row>
    <row r="60" spans="2:14" x14ac:dyDescent="0.3">
      <c r="D60" s="534"/>
      <c r="E60" s="534"/>
      <c r="F60" s="534"/>
      <c r="G60" s="534"/>
      <c r="H60" s="534"/>
      <c r="I60" s="534"/>
      <c r="J60" s="534"/>
      <c r="K60" s="534"/>
    </row>
    <row r="61" spans="2:14" x14ac:dyDescent="0.3">
      <c r="D61" s="534"/>
      <c r="E61" s="534"/>
      <c r="F61" s="534"/>
      <c r="G61" s="534"/>
      <c r="H61" s="534"/>
      <c r="I61" s="534"/>
      <c r="J61" s="534"/>
      <c r="K61" s="534"/>
    </row>
    <row r="62" spans="2:14" x14ac:dyDescent="0.3">
      <c r="D62" s="539" t="s">
        <v>262</v>
      </c>
      <c r="E62" s="475" t="s">
        <v>263</v>
      </c>
      <c r="F62" s="475"/>
      <c r="G62" s="475"/>
      <c r="H62" s="8"/>
      <c r="I62" s="475" t="s">
        <v>264</v>
      </c>
      <c r="J62" s="475"/>
      <c r="K62" s="475"/>
    </row>
    <row r="63" spans="2:14" x14ac:dyDescent="0.3">
      <c r="D63" s="539"/>
      <c r="E63" s="475"/>
      <c r="F63" s="475"/>
      <c r="G63" s="475"/>
      <c r="H63" s="8"/>
      <c r="I63" s="475"/>
      <c r="J63" s="475"/>
      <c r="K63" s="475"/>
    </row>
    <row r="64" spans="2:14" x14ac:dyDescent="0.3">
      <c r="D64" s="539"/>
      <c r="E64" s="541" t="s">
        <v>265</v>
      </c>
      <c r="F64" s="541" t="s">
        <v>266</v>
      </c>
      <c r="G64" s="541" t="s">
        <v>267</v>
      </c>
      <c r="H64" s="227"/>
      <c r="I64" s="541" t="s">
        <v>265</v>
      </c>
      <c r="J64" s="541" t="s">
        <v>266</v>
      </c>
      <c r="K64" s="541" t="s">
        <v>267</v>
      </c>
    </row>
    <row r="65" spans="3:13" x14ac:dyDescent="0.3">
      <c r="D65" s="540"/>
      <c r="E65" s="542"/>
      <c r="F65" s="542"/>
      <c r="G65" s="542"/>
      <c r="H65" s="228"/>
      <c r="I65" s="542"/>
      <c r="J65" s="542"/>
      <c r="K65" s="542"/>
    </row>
    <row r="66" spans="3:13" x14ac:dyDescent="0.3">
      <c r="D66" t="s">
        <v>268</v>
      </c>
      <c r="E66" s="8">
        <v>500</v>
      </c>
      <c r="F66" s="8">
        <v>23</v>
      </c>
      <c r="G66" s="23" t="s">
        <v>269</v>
      </c>
      <c r="H66" s="23"/>
      <c r="I66" s="8">
        <v>500</v>
      </c>
      <c r="J66" s="8">
        <v>141</v>
      </c>
      <c r="K66" s="23" t="s">
        <v>270</v>
      </c>
    </row>
    <row r="67" spans="3:13" x14ac:dyDescent="0.3">
      <c r="D67" t="s">
        <v>271</v>
      </c>
      <c r="E67" s="8">
        <v>750</v>
      </c>
      <c r="F67" s="8">
        <v>44</v>
      </c>
      <c r="G67" s="23" t="s">
        <v>272</v>
      </c>
      <c r="H67" s="23"/>
      <c r="I67" s="8">
        <v>1000</v>
      </c>
      <c r="J67" s="8">
        <v>371</v>
      </c>
      <c r="K67" s="23" t="s">
        <v>273</v>
      </c>
    </row>
    <row r="68" spans="3:13" x14ac:dyDescent="0.3">
      <c r="D68" t="s">
        <v>274</v>
      </c>
      <c r="E68" s="8">
        <v>1000</v>
      </c>
      <c r="F68" s="8">
        <v>69</v>
      </c>
      <c r="G68" s="23" t="s">
        <v>275</v>
      </c>
      <c r="H68" s="23"/>
      <c r="I68" s="8">
        <v>1500</v>
      </c>
      <c r="J68" s="8">
        <v>784</v>
      </c>
      <c r="K68" s="23" t="s">
        <v>276</v>
      </c>
    </row>
    <row r="69" spans="3:13" x14ac:dyDescent="0.3">
      <c r="D69" t="s">
        <v>277</v>
      </c>
      <c r="E69" s="8">
        <v>2000</v>
      </c>
      <c r="F69" s="8">
        <v>145</v>
      </c>
      <c r="G69" s="23" t="s">
        <v>278</v>
      </c>
      <c r="H69" s="23"/>
      <c r="I69" s="8">
        <v>2250</v>
      </c>
      <c r="J69" s="8">
        <v>1165</v>
      </c>
      <c r="K69" s="23" t="s">
        <v>279</v>
      </c>
    </row>
    <row r="70" spans="3:13" x14ac:dyDescent="0.3">
      <c r="E70" s="8"/>
      <c r="F70" s="8"/>
      <c r="G70" s="23"/>
      <c r="H70" s="23"/>
      <c r="I70" s="8"/>
      <c r="J70" s="8"/>
      <c r="K70" s="23"/>
    </row>
    <row r="71" spans="3:13" x14ac:dyDescent="0.3">
      <c r="E71" s="8"/>
      <c r="F71" s="8"/>
      <c r="G71" s="23"/>
      <c r="H71" s="23"/>
      <c r="I71" s="8"/>
      <c r="J71" s="8"/>
      <c r="K71" s="23"/>
    </row>
    <row r="72" spans="3:13" ht="14.4" customHeight="1" x14ac:dyDescent="0.3">
      <c r="C72" s="534" t="s">
        <v>280</v>
      </c>
      <c r="D72" s="534"/>
      <c r="E72" s="534"/>
      <c r="F72" s="534"/>
      <c r="G72" s="534"/>
      <c r="H72" s="534"/>
      <c r="I72" s="534"/>
      <c r="J72" s="534"/>
      <c r="K72" s="534"/>
      <c r="L72" s="534"/>
      <c r="M72" s="534"/>
    </row>
    <row r="73" spans="3:13" x14ac:dyDescent="0.3">
      <c r="C73" s="534"/>
      <c r="D73" s="534"/>
      <c r="E73" s="534"/>
      <c r="F73" s="534"/>
      <c r="G73" s="534"/>
      <c r="H73" s="534"/>
      <c r="I73" s="534"/>
      <c r="J73" s="534"/>
      <c r="K73" s="534"/>
      <c r="L73" s="534"/>
      <c r="M73" s="534"/>
    </row>
    <row r="74" spans="3:13" x14ac:dyDescent="0.3">
      <c r="C74" s="534"/>
      <c r="D74" s="534"/>
      <c r="E74" s="534"/>
      <c r="F74" s="534"/>
      <c r="G74" s="534"/>
      <c r="H74" s="534"/>
      <c r="I74" s="534"/>
      <c r="J74" s="534"/>
      <c r="K74" s="534"/>
      <c r="L74" s="534"/>
      <c r="M74" s="534"/>
    </row>
    <row r="75" spans="3:13" x14ac:dyDescent="0.3">
      <c r="C75" s="549" t="s">
        <v>61</v>
      </c>
      <c r="D75" s="549" t="s">
        <v>1</v>
      </c>
      <c r="E75" s="551" t="s">
        <v>281</v>
      </c>
      <c r="F75" s="551" t="s">
        <v>282</v>
      </c>
      <c r="G75" s="539" t="s">
        <v>283</v>
      </c>
      <c r="I75" s="553" t="s">
        <v>61</v>
      </c>
      <c r="J75" s="553" t="s">
        <v>1</v>
      </c>
      <c r="K75" s="555" t="s">
        <v>284</v>
      </c>
      <c r="L75" s="555" t="s">
        <v>285</v>
      </c>
      <c r="M75" s="557" t="s">
        <v>283</v>
      </c>
    </row>
    <row r="76" spans="3:13" x14ac:dyDescent="0.3">
      <c r="C76" s="549"/>
      <c r="D76" s="549"/>
      <c r="E76" s="551"/>
      <c r="F76" s="551"/>
      <c r="G76" s="539"/>
      <c r="I76" s="553"/>
      <c r="J76" s="553"/>
      <c r="K76" s="555"/>
      <c r="L76" s="555"/>
      <c r="M76" s="557"/>
    </row>
    <row r="77" spans="3:13" x14ac:dyDescent="0.3">
      <c r="C77" s="550"/>
      <c r="D77" s="550"/>
      <c r="E77" s="552"/>
      <c r="F77" s="552"/>
      <c r="G77" s="540"/>
      <c r="I77" s="554"/>
      <c r="J77" s="554"/>
      <c r="K77" s="556"/>
      <c r="L77" s="556"/>
      <c r="M77" s="558"/>
    </row>
    <row r="78" spans="3:13" ht="14.4" customHeight="1" x14ac:dyDescent="0.3">
      <c r="C78" s="543" t="s">
        <v>286</v>
      </c>
      <c r="D78" t="s">
        <v>249</v>
      </c>
      <c r="E78" s="229">
        <f>G42</f>
        <v>0.34649999999999997</v>
      </c>
      <c r="F78" s="8" t="s">
        <v>287</v>
      </c>
      <c r="G78" s="8">
        <v>0</v>
      </c>
      <c r="I78" s="545" t="s">
        <v>286</v>
      </c>
      <c r="J78" s="118" t="s">
        <v>249</v>
      </c>
      <c r="K78" s="230">
        <f>N42</f>
        <v>18.952500000000001</v>
      </c>
      <c r="L78" s="231" t="s">
        <v>287</v>
      </c>
      <c r="M78" s="231">
        <v>0</v>
      </c>
    </row>
    <row r="79" spans="3:13" x14ac:dyDescent="0.3">
      <c r="C79" s="543"/>
      <c r="D79" t="s">
        <v>89</v>
      </c>
      <c r="E79" s="229">
        <f>G28</f>
        <v>79.938999999999993</v>
      </c>
      <c r="F79" s="8" t="s">
        <v>274</v>
      </c>
      <c r="G79" s="8">
        <f>E68</f>
        <v>1000</v>
      </c>
      <c r="I79" s="545"/>
      <c r="J79" s="118" t="s">
        <v>89</v>
      </c>
      <c r="K79" s="230">
        <f>N28</f>
        <v>202.75239999999999</v>
      </c>
      <c r="L79" s="231" t="s">
        <v>268</v>
      </c>
      <c r="M79" s="231">
        <v>500</v>
      </c>
    </row>
    <row r="80" spans="3:13" x14ac:dyDescent="0.3">
      <c r="C80" s="543"/>
      <c r="D80" t="s">
        <v>90</v>
      </c>
      <c r="E80" s="229">
        <f>(G36-G42)+(G51/10000)</f>
        <v>28.950499999999998</v>
      </c>
      <c r="F80" s="8" t="s">
        <v>268</v>
      </c>
      <c r="G80" s="8">
        <f>E66</f>
        <v>500</v>
      </c>
      <c r="I80" s="545"/>
      <c r="J80" s="118" t="s">
        <v>90</v>
      </c>
      <c r="K80" s="230">
        <f>(N36-N42)+(I51/10000)</f>
        <v>174.24209999999999</v>
      </c>
      <c r="L80" s="231" t="s">
        <v>268</v>
      </c>
      <c r="M80" s="231">
        <f>I66</f>
        <v>500</v>
      </c>
    </row>
    <row r="81" spans="3:13" x14ac:dyDescent="0.3">
      <c r="C81" s="543"/>
      <c r="D81" t="s">
        <v>288</v>
      </c>
      <c r="E81" s="229">
        <f>SUM(G52:G55)/10000</f>
        <v>62.653300000000002</v>
      </c>
      <c r="F81" s="8" t="s">
        <v>274</v>
      </c>
      <c r="G81" s="8">
        <v>1000</v>
      </c>
      <c r="I81" s="545"/>
      <c r="J81" s="118" t="s">
        <v>91</v>
      </c>
      <c r="K81" s="230">
        <f>SUM(I52:I55)/10000</f>
        <v>265.05110000000002</v>
      </c>
      <c r="L81" s="231" t="s">
        <v>271</v>
      </c>
      <c r="M81" s="231">
        <f>I67</f>
        <v>1000</v>
      </c>
    </row>
    <row r="82" spans="3:13" x14ac:dyDescent="0.3">
      <c r="C82" s="544"/>
      <c r="D82" s="85" t="s">
        <v>127</v>
      </c>
      <c r="E82" s="232" t="s">
        <v>77</v>
      </c>
      <c r="F82" s="173" t="s">
        <v>77</v>
      </c>
      <c r="G82" s="173" t="s">
        <v>77</v>
      </c>
      <c r="I82" s="545"/>
      <c r="J82" s="118" t="s">
        <v>289</v>
      </c>
      <c r="K82" s="230">
        <f>N44</f>
        <v>150.15710000000001</v>
      </c>
      <c r="L82" s="231" t="s">
        <v>268</v>
      </c>
      <c r="M82" s="231">
        <v>500</v>
      </c>
    </row>
    <row r="83" spans="3:13" x14ac:dyDescent="0.3">
      <c r="C83" s="547" t="s">
        <v>92</v>
      </c>
      <c r="D83" t="s">
        <v>92</v>
      </c>
      <c r="E83" s="229">
        <f>G34+G35</f>
        <v>102.20820000000001</v>
      </c>
      <c r="F83" s="8" t="s">
        <v>274</v>
      </c>
      <c r="G83" s="8">
        <f>E68</f>
        <v>1000</v>
      </c>
      <c r="I83" s="546"/>
      <c r="J83" s="233" t="s">
        <v>127</v>
      </c>
      <c r="K83" s="234" t="s">
        <v>77</v>
      </c>
      <c r="L83" s="235" t="s">
        <v>77</v>
      </c>
      <c r="M83" s="235" t="s">
        <v>77</v>
      </c>
    </row>
    <row r="84" spans="3:13" x14ac:dyDescent="0.3">
      <c r="C84" s="547"/>
      <c r="D84" t="s">
        <v>93</v>
      </c>
      <c r="E84" s="229">
        <f>G33</f>
        <v>116.09399999999999</v>
      </c>
      <c r="F84" s="8" t="s">
        <v>274</v>
      </c>
      <c r="G84" s="8">
        <f>E68</f>
        <v>1000</v>
      </c>
      <c r="I84" s="548" t="s">
        <v>92</v>
      </c>
      <c r="J84" s="118" t="s">
        <v>92</v>
      </c>
      <c r="K84" s="230">
        <f>N34+N35</f>
        <v>230.20729999999998</v>
      </c>
      <c r="L84" s="231" t="s">
        <v>271</v>
      </c>
      <c r="M84" s="231">
        <f>I67</f>
        <v>1000</v>
      </c>
    </row>
    <row r="85" spans="3:13" x14ac:dyDescent="0.3">
      <c r="I85" s="548"/>
      <c r="J85" s="118" t="s">
        <v>93</v>
      </c>
      <c r="K85" s="230">
        <f>N33</f>
        <v>214.7765</v>
      </c>
      <c r="L85" s="231" t="s">
        <v>271</v>
      </c>
      <c r="M85" s="231">
        <f>I67</f>
        <v>1000</v>
      </c>
    </row>
  </sheetData>
  <mergeCells count="30">
    <mergeCell ref="C78:C82"/>
    <mergeCell ref="I78:I83"/>
    <mergeCell ref="C83:C84"/>
    <mergeCell ref="I84:I85"/>
    <mergeCell ref="C72:M74"/>
    <mergeCell ref="C75:C77"/>
    <mergeCell ref="D75:D77"/>
    <mergeCell ref="E75:E77"/>
    <mergeCell ref="F75:F77"/>
    <mergeCell ref="G75:G77"/>
    <mergeCell ref="I75:I77"/>
    <mergeCell ref="J75:J77"/>
    <mergeCell ref="K75:K77"/>
    <mergeCell ref="L75:L77"/>
    <mergeCell ref="M75:M77"/>
    <mergeCell ref="D62:D65"/>
    <mergeCell ref="E62:G63"/>
    <mergeCell ref="I62:K63"/>
    <mergeCell ref="E64:E65"/>
    <mergeCell ref="F64:F65"/>
    <mergeCell ref="G64:G65"/>
    <mergeCell ref="I64:I65"/>
    <mergeCell ref="J64:J65"/>
    <mergeCell ref="K64:K65"/>
    <mergeCell ref="D58:K61"/>
    <mergeCell ref="B1:G3"/>
    <mergeCell ref="I1:N3"/>
    <mergeCell ref="E47:K48"/>
    <mergeCell ref="G49:G50"/>
    <mergeCell ref="I49:I5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34"/>
  <sheetViews>
    <sheetView topLeftCell="A10" workbookViewId="0">
      <selection activeCell="C30" sqref="C30"/>
    </sheetView>
  </sheetViews>
  <sheetFormatPr defaultColWidth="9.109375" defaultRowHeight="14.4" x14ac:dyDescent="0.3"/>
  <cols>
    <col min="2" max="2" width="18.44140625" customWidth="1"/>
    <col min="3" max="3" width="30.33203125" bestFit="1" customWidth="1"/>
    <col min="4" max="4" width="27.44140625" bestFit="1" customWidth="1"/>
    <col min="5" max="5" width="21.88671875" bestFit="1" customWidth="1"/>
    <col min="6" max="6" width="16.44140625" customWidth="1"/>
    <col min="7" max="7" width="17.5546875" customWidth="1"/>
    <col min="8" max="8" width="15.33203125" customWidth="1"/>
    <col min="9" max="9" width="12.6640625" bestFit="1" customWidth="1"/>
    <col min="10" max="10" width="11.5546875" bestFit="1" customWidth="1"/>
    <col min="11" max="11" width="10.44140625" bestFit="1" customWidth="1"/>
  </cols>
  <sheetData>
    <row r="1" spans="2:11" ht="30" customHeight="1" x14ac:dyDescent="0.3">
      <c r="B1" s="559" t="s">
        <v>214</v>
      </c>
      <c r="C1" s="559"/>
      <c r="D1" s="559"/>
      <c r="E1" s="559"/>
      <c r="F1" s="559"/>
      <c r="G1" s="559"/>
      <c r="H1" s="559"/>
      <c r="I1" s="559"/>
      <c r="J1" s="559"/>
      <c r="K1" s="559"/>
    </row>
    <row r="2" spans="2:11" ht="35.25" customHeight="1" thickBot="1" x14ac:dyDescent="0.35">
      <c r="B2" s="560"/>
      <c r="C2" s="560"/>
      <c r="D2" s="560"/>
      <c r="E2" s="560"/>
      <c r="F2" s="560"/>
      <c r="G2" s="560"/>
      <c r="H2" s="560"/>
      <c r="I2" s="560"/>
      <c r="J2" s="560"/>
      <c r="K2" s="560"/>
    </row>
    <row r="3" spans="2:11" x14ac:dyDescent="0.3">
      <c r="B3" s="279" t="s">
        <v>169</v>
      </c>
      <c r="C3" s="125" t="s">
        <v>212</v>
      </c>
      <c r="D3" s="125" t="s">
        <v>211</v>
      </c>
      <c r="E3" s="125" t="s">
        <v>210</v>
      </c>
      <c r="F3" s="125" t="s">
        <v>209</v>
      </c>
      <c r="G3" s="125" t="s">
        <v>208</v>
      </c>
      <c r="H3" s="125" t="s">
        <v>207</v>
      </c>
      <c r="I3" s="125" t="s">
        <v>206</v>
      </c>
      <c r="J3" s="125" t="s">
        <v>205</v>
      </c>
      <c r="K3" s="280" t="s">
        <v>204</v>
      </c>
    </row>
    <row r="4" spans="2:11" x14ac:dyDescent="0.3">
      <c r="B4" s="171" t="s">
        <v>167</v>
      </c>
      <c r="C4" s="184">
        <v>2467</v>
      </c>
      <c r="D4" s="185">
        <f>800/365</f>
        <v>2.1917808219178081</v>
      </c>
      <c r="E4" s="184">
        <f t="shared" ref="E4:E10" si="0">D4*C4*365</f>
        <v>1973600</v>
      </c>
      <c r="F4" s="184">
        <f t="shared" ref="F4:F10" si="1">(E4*$C$27)/$D$27/0.8</f>
        <v>18335.81081081081</v>
      </c>
      <c r="G4" s="184">
        <f t="shared" ref="G4:G10" si="2">(E4*$C$28)/$D$28/0.8</f>
        <v>47673.108108108114</v>
      </c>
      <c r="H4" s="184">
        <f t="shared" ref="H4:H10" si="3">(E4*$C$29)/$D$29/0.8</f>
        <v>7334.3243243243251</v>
      </c>
      <c r="I4" s="184">
        <f t="shared" ref="I4:I10" si="4">(E4*$C$31)/$D$31/0.8</f>
        <v>11087.6404494382</v>
      </c>
      <c r="J4" s="184">
        <f t="shared" ref="J4:J10" si="5">(E4*$C$32)/$D$32/0.8</f>
        <v>49340</v>
      </c>
      <c r="K4" s="183">
        <f t="shared" ref="K4:K10" si="6">(E4*$C$33)/$D$33/0.8</f>
        <v>104763.01369863014</v>
      </c>
    </row>
    <row r="5" spans="2:11" x14ac:dyDescent="0.3">
      <c r="B5" s="171" t="s">
        <v>203</v>
      </c>
      <c r="C5" s="184">
        <v>10000</v>
      </c>
      <c r="D5" s="189">
        <v>1.25</v>
      </c>
      <c r="E5" s="184">
        <f t="shared" si="0"/>
        <v>4562500</v>
      </c>
      <c r="F5" s="184">
        <f t="shared" si="1"/>
        <v>42388.091216216213</v>
      </c>
      <c r="G5" s="184">
        <f t="shared" si="2"/>
        <v>110209.03716216217</v>
      </c>
      <c r="H5" s="184">
        <f t="shared" si="3"/>
        <v>16955.236486486487</v>
      </c>
      <c r="I5" s="184">
        <f t="shared" si="4"/>
        <v>25632.022471910113</v>
      </c>
      <c r="J5" s="184">
        <f t="shared" si="5"/>
        <v>114062.50000000001</v>
      </c>
      <c r="K5" s="183">
        <f t="shared" si="6"/>
        <v>242187.5</v>
      </c>
    </row>
    <row r="6" spans="2:11" x14ac:dyDescent="0.3">
      <c r="B6" s="190" t="s">
        <v>162</v>
      </c>
      <c r="C6" s="191">
        <v>400</v>
      </c>
      <c r="D6" s="189">
        <v>1.75</v>
      </c>
      <c r="E6" s="184">
        <f t="shared" si="0"/>
        <v>255500</v>
      </c>
      <c r="F6" s="184">
        <f t="shared" si="1"/>
        <v>2373.7331081081079</v>
      </c>
      <c r="G6" s="184">
        <f t="shared" si="2"/>
        <v>6171.7060810810817</v>
      </c>
      <c r="H6" s="184">
        <f t="shared" si="3"/>
        <v>949.49324324324334</v>
      </c>
      <c r="I6" s="184">
        <f t="shared" si="4"/>
        <v>1435.3932584269662</v>
      </c>
      <c r="J6" s="184">
        <f t="shared" si="5"/>
        <v>6387.5</v>
      </c>
      <c r="K6" s="183">
        <f t="shared" si="6"/>
        <v>13562.5</v>
      </c>
    </row>
    <row r="7" spans="2:11" x14ac:dyDescent="0.3">
      <c r="B7" s="190" t="s">
        <v>161</v>
      </c>
      <c r="C7" s="191">
        <v>250</v>
      </c>
      <c r="D7" s="189">
        <v>1.75</v>
      </c>
      <c r="E7" s="184">
        <f t="shared" si="0"/>
        <v>159687.5</v>
      </c>
      <c r="F7" s="184">
        <f t="shared" si="1"/>
        <v>1483.5831925675673</v>
      </c>
      <c r="G7" s="184">
        <f t="shared" si="2"/>
        <v>3857.3163006756758</v>
      </c>
      <c r="H7" s="184">
        <f t="shared" si="3"/>
        <v>593.43327702702709</v>
      </c>
      <c r="I7" s="184">
        <f t="shared" si="4"/>
        <v>897.12078651685385</v>
      </c>
      <c r="J7" s="184">
        <f t="shared" si="5"/>
        <v>3992.1875000000005</v>
      </c>
      <c r="K7" s="183">
        <f t="shared" si="6"/>
        <v>8476.5625</v>
      </c>
    </row>
    <row r="8" spans="2:11" x14ac:dyDescent="0.3">
      <c r="B8" s="170" t="s">
        <v>92</v>
      </c>
      <c r="C8" s="187">
        <v>2900</v>
      </c>
      <c r="D8" s="188">
        <v>2</v>
      </c>
      <c r="E8" s="187">
        <f t="shared" si="0"/>
        <v>2117000</v>
      </c>
      <c r="F8" s="187">
        <f t="shared" si="1"/>
        <v>19668.074324324323</v>
      </c>
      <c r="G8" s="187">
        <f t="shared" si="2"/>
        <v>51136.993243243247</v>
      </c>
      <c r="H8" s="187">
        <f t="shared" si="3"/>
        <v>7867.22972972973</v>
      </c>
      <c r="I8" s="187">
        <f t="shared" si="4"/>
        <v>11893.258426966291</v>
      </c>
      <c r="J8" s="187">
        <f t="shared" si="5"/>
        <v>52925</v>
      </c>
      <c r="K8" s="186">
        <f t="shared" si="6"/>
        <v>112375</v>
      </c>
    </row>
    <row r="9" spans="2:11" x14ac:dyDescent="0.3">
      <c r="B9" s="171" t="s">
        <v>202</v>
      </c>
      <c r="C9" s="184">
        <v>1500</v>
      </c>
      <c r="D9" s="185">
        <v>1.25</v>
      </c>
      <c r="E9" s="184">
        <f t="shared" si="0"/>
        <v>684375</v>
      </c>
      <c r="F9" s="184">
        <f t="shared" si="1"/>
        <v>6358.2136824324334</v>
      </c>
      <c r="G9" s="184">
        <f t="shared" si="2"/>
        <v>16531.355574324327</v>
      </c>
      <c r="H9" s="184">
        <f t="shared" si="3"/>
        <v>2543.2854729729734</v>
      </c>
      <c r="I9" s="184">
        <f t="shared" si="4"/>
        <v>3844.8033707865161</v>
      </c>
      <c r="J9" s="184">
        <f t="shared" si="5"/>
        <v>17109.375</v>
      </c>
      <c r="K9" s="183">
        <f t="shared" si="6"/>
        <v>36328.125</v>
      </c>
    </row>
    <row r="10" spans="2:11" x14ac:dyDescent="0.3">
      <c r="B10" s="281" t="s">
        <v>201</v>
      </c>
      <c r="C10" s="282">
        <v>5000</v>
      </c>
      <c r="D10" s="283">
        <v>1.75</v>
      </c>
      <c r="E10" s="187">
        <f t="shared" si="0"/>
        <v>3193750</v>
      </c>
      <c r="F10" s="187">
        <f t="shared" si="1"/>
        <v>29671.663851351354</v>
      </c>
      <c r="G10" s="187">
        <f t="shared" si="2"/>
        <v>77146.326013513521</v>
      </c>
      <c r="H10" s="187">
        <f t="shared" si="3"/>
        <v>11868.665540540542</v>
      </c>
      <c r="I10" s="187">
        <f t="shared" si="4"/>
        <v>17942.415730337078</v>
      </c>
      <c r="J10" s="187">
        <f t="shared" si="5"/>
        <v>79843.75</v>
      </c>
      <c r="K10" s="186">
        <f t="shared" si="6"/>
        <v>169531.25</v>
      </c>
    </row>
    <row r="11" spans="2:11" x14ac:dyDescent="0.3">
      <c r="B11" s="284" t="s">
        <v>304</v>
      </c>
      <c r="C11" s="561" t="s">
        <v>305</v>
      </c>
      <c r="D11" s="561"/>
      <c r="E11" s="285">
        <f>0.125*SUM(E4:E10)</f>
        <v>1618301.5625</v>
      </c>
      <c r="F11" s="285">
        <f t="shared" ref="F11:K11" si="7">0.125*SUM(F4:F10)</f>
        <v>15034.896273226354</v>
      </c>
      <c r="G11" s="285">
        <f t="shared" si="7"/>
        <v>39090.730310388521</v>
      </c>
      <c r="H11" s="285">
        <f t="shared" si="7"/>
        <v>6013.9585092905409</v>
      </c>
      <c r="I11" s="285">
        <f t="shared" si="7"/>
        <v>9091.5818117977524</v>
      </c>
      <c r="J11" s="285">
        <f t="shared" si="7"/>
        <v>40457.5390625</v>
      </c>
      <c r="K11" s="285">
        <f t="shared" si="7"/>
        <v>85902.993899828769</v>
      </c>
    </row>
    <row r="12" spans="2:11" ht="15" thickBot="1" x14ac:dyDescent="0.35">
      <c r="B12" s="163" t="s">
        <v>42</v>
      </c>
      <c r="C12" s="182"/>
      <c r="D12" s="182"/>
      <c r="E12" s="181">
        <f t="shared" ref="E12:K12" si="8">SUM(E4:E11)</f>
        <v>14564714.0625</v>
      </c>
      <c r="F12" s="181">
        <f t="shared" si="8"/>
        <v>135314.06645903719</v>
      </c>
      <c r="G12" s="181">
        <f t="shared" si="8"/>
        <v>351816.57279349666</v>
      </c>
      <c r="H12" s="181">
        <f t="shared" si="8"/>
        <v>54125.626583614867</v>
      </c>
      <c r="I12" s="181">
        <f t="shared" si="8"/>
        <v>81824.236306179766</v>
      </c>
      <c r="J12" s="181">
        <f t="shared" si="8"/>
        <v>364117.8515625</v>
      </c>
      <c r="K12" s="180">
        <f t="shared" si="8"/>
        <v>773126.94509845891</v>
      </c>
    </row>
    <row r="13" spans="2:11" x14ac:dyDescent="0.3">
      <c r="F13" s="11"/>
      <c r="G13" s="11"/>
      <c r="H13" s="11"/>
    </row>
    <row r="14" spans="2:11" ht="15" thickBot="1" x14ac:dyDescent="0.35">
      <c r="B14" t="s">
        <v>306</v>
      </c>
      <c r="F14" s="11"/>
      <c r="G14" s="11"/>
      <c r="H14" s="11"/>
    </row>
    <row r="15" spans="2:11" x14ac:dyDescent="0.3">
      <c r="B15" s="169" t="s">
        <v>307</v>
      </c>
      <c r="C15" s="165" t="s">
        <v>209</v>
      </c>
      <c r="D15" s="165" t="s">
        <v>208</v>
      </c>
      <c r="E15" s="165" t="s">
        <v>207</v>
      </c>
      <c r="F15" s="286" t="s">
        <v>206</v>
      </c>
      <c r="G15" s="286" t="s">
        <v>205</v>
      </c>
      <c r="H15" s="287" t="s">
        <v>204</v>
      </c>
    </row>
    <row r="16" spans="2:11" x14ac:dyDescent="0.3">
      <c r="B16" s="288">
        <v>0.05</v>
      </c>
      <c r="C16" s="289">
        <f>F$12*$B$16</f>
        <v>6765.7033229518602</v>
      </c>
      <c r="D16" s="289">
        <f t="shared" ref="D16:H16" si="9">G$12*$B$16</f>
        <v>17590.828639674834</v>
      </c>
      <c r="E16" s="289">
        <f t="shared" si="9"/>
        <v>2706.2813291807433</v>
      </c>
      <c r="F16" s="289">
        <f t="shared" si="9"/>
        <v>4091.2118153089887</v>
      </c>
      <c r="G16" s="289">
        <f t="shared" si="9"/>
        <v>18205.892578125</v>
      </c>
      <c r="H16" s="290">
        <f t="shared" si="9"/>
        <v>38656.347254922948</v>
      </c>
    </row>
    <row r="17" spans="2:12" x14ac:dyDescent="0.3">
      <c r="B17" s="288">
        <v>0.1</v>
      </c>
      <c r="C17" s="289">
        <f>F$12*$B$17</f>
        <v>13531.40664590372</v>
      </c>
      <c r="D17" s="289">
        <f t="shared" ref="D17:H17" si="10">G$12*$B$17</f>
        <v>35181.657279349667</v>
      </c>
      <c r="E17" s="289">
        <f t="shared" si="10"/>
        <v>5412.5626583614867</v>
      </c>
      <c r="F17" s="289">
        <f t="shared" si="10"/>
        <v>8182.4236306179773</v>
      </c>
      <c r="G17" s="289">
        <f t="shared" si="10"/>
        <v>36411.78515625</v>
      </c>
      <c r="H17" s="290">
        <f t="shared" si="10"/>
        <v>77312.694509845896</v>
      </c>
    </row>
    <row r="18" spans="2:12" x14ac:dyDescent="0.3">
      <c r="B18" s="288">
        <v>0.25</v>
      </c>
      <c r="C18" s="289">
        <f>F$12*$B$18</f>
        <v>33828.516614759297</v>
      </c>
      <c r="D18" s="289">
        <f t="shared" ref="D18:H18" si="11">G$12*$B$18</f>
        <v>87954.143198374164</v>
      </c>
      <c r="E18" s="289">
        <f t="shared" si="11"/>
        <v>13531.406645903717</v>
      </c>
      <c r="F18" s="289">
        <f t="shared" si="11"/>
        <v>20456.059076544941</v>
      </c>
      <c r="G18" s="289">
        <f t="shared" si="11"/>
        <v>91029.462890625</v>
      </c>
      <c r="H18" s="290">
        <f t="shared" si="11"/>
        <v>193281.73627461473</v>
      </c>
    </row>
    <row r="19" spans="2:12" x14ac:dyDescent="0.3">
      <c r="B19" s="288">
        <v>0.33</v>
      </c>
      <c r="C19" s="289">
        <f>F$12*$B$19</f>
        <v>44653.641931482278</v>
      </c>
      <c r="D19" s="289">
        <f t="shared" ref="D19:H19" si="12">G$12*$B$19</f>
        <v>116099.4690218539</v>
      </c>
      <c r="E19" s="289">
        <f t="shared" si="12"/>
        <v>17861.456772592908</v>
      </c>
      <c r="F19" s="289">
        <f t="shared" si="12"/>
        <v>27001.997981039323</v>
      </c>
      <c r="G19" s="289">
        <f t="shared" si="12"/>
        <v>120158.89101562501</v>
      </c>
      <c r="H19" s="290">
        <f t="shared" si="12"/>
        <v>255131.89188249144</v>
      </c>
    </row>
    <row r="20" spans="2:12" x14ac:dyDescent="0.3">
      <c r="B20" s="288">
        <v>0.5</v>
      </c>
      <c r="C20" s="289">
        <f>F$12*$B$20</f>
        <v>67657.033229518594</v>
      </c>
      <c r="D20" s="289">
        <f t="shared" ref="D20:H20" si="13">G$12*$B$20</f>
        <v>175908.28639674833</v>
      </c>
      <c r="E20" s="289">
        <f t="shared" si="13"/>
        <v>27062.813291807433</v>
      </c>
      <c r="F20" s="289">
        <f t="shared" si="13"/>
        <v>40912.118153089883</v>
      </c>
      <c r="G20" s="289">
        <f t="shared" si="13"/>
        <v>182058.92578125</v>
      </c>
      <c r="H20" s="290">
        <f t="shared" si="13"/>
        <v>386563.47254922945</v>
      </c>
    </row>
    <row r="21" spans="2:12" x14ac:dyDescent="0.3">
      <c r="B21" s="288">
        <v>0.75</v>
      </c>
      <c r="C21" s="289">
        <f>F$12*$B$21</f>
        <v>101485.54984427789</v>
      </c>
      <c r="D21" s="289">
        <f t="shared" ref="D21:H21" si="14">G$12*$B$21</f>
        <v>263862.42959512246</v>
      </c>
      <c r="E21" s="289">
        <f t="shared" si="14"/>
        <v>40594.219937711154</v>
      </c>
      <c r="F21" s="289">
        <f t="shared" si="14"/>
        <v>61368.177229634821</v>
      </c>
      <c r="G21" s="289">
        <f t="shared" si="14"/>
        <v>273088.388671875</v>
      </c>
      <c r="H21" s="290">
        <f t="shared" si="14"/>
        <v>579845.20882384421</v>
      </c>
    </row>
    <row r="22" spans="2:12" ht="15" thickBot="1" x14ac:dyDescent="0.35">
      <c r="B22" s="291">
        <v>1</v>
      </c>
      <c r="C22" s="292">
        <f>F$12*$B$22</f>
        <v>135314.06645903719</v>
      </c>
      <c r="D22" s="292">
        <f t="shared" ref="D22:H22" si="15">G$12*$B$22</f>
        <v>351816.57279349666</v>
      </c>
      <c r="E22" s="292">
        <f t="shared" si="15"/>
        <v>54125.626583614867</v>
      </c>
      <c r="F22" s="292">
        <f t="shared" si="15"/>
        <v>81824.236306179766</v>
      </c>
      <c r="G22" s="292">
        <f t="shared" si="15"/>
        <v>364117.8515625</v>
      </c>
      <c r="H22" s="293">
        <f t="shared" si="15"/>
        <v>773126.94509845891</v>
      </c>
    </row>
    <row r="23" spans="2:12" x14ac:dyDescent="0.3">
      <c r="F23" s="11"/>
      <c r="G23" s="11"/>
      <c r="H23" s="11"/>
    </row>
    <row r="25" spans="2:12" ht="15" thickBot="1" x14ac:dyDescent="0.35">
      <c r="B25" t="s">
        <v>177</v>
      </c>
    </row>
    <row r="26" spans="2:12" x14ac:dyDescent="0.3">
      <c r="B26" s="169" t="s">
        <v>157</v>
      </c>
      <c r="C26" s="165" t="s">
        <v>290</v>
      </c>
      <c r="D26" s="168" t="s">
        <v>176</v>
      </c>
      <c r="F26" s="179"/>
      <c r="G26" s="179"/>
      <c r="H26" s="179"/>
      <c r="I26" s="179"/>
      <c r="J26" s="179"/>
      <c r="K26" s="179"/>
      <c r="L26" s="63"/>
    </row>
    <row r="27" spans="2:12" x14ac:dyDescent="0.3">
      <c r="B27" s="167" t="s">
        <v>154</v>
      </c>
      <c r="C27" s="174">
        <f>0.25*C30</f>
        <v>0.13750000000000001</v>
      </c>
      <c r="D27" s="178">
        <v>18.5</v>
      </c>
      <c r="F27" s="179"/>
      <c r="G27" s="179"/>
      <c r="H27" s="179"/>
      <c r="I27" s="179"/>
      <c r="J27" s="179"/>
      <c r="K27" s="179"/>
      <c r="L27" s="162"/>
    </row>
    <row r="28" spans="2:12" x14ac:dyDescent="0.3">
      <c r="B28" s="167" t="s">
        <v>153</v>
      </c>
      <c r="C28" s="174">
        <f>0.65*C30</f>
        <v>0.35750000000000004</v>
      </c>
      <c r="D28" s="178">
        <v>18.5</v>
      </c>
      <c r="F28" s="11"/>
      <c r="G28" s="11"/>
      <c r="H28" s="11"/>
    </row>
    <row r="29" spans="2:12" x14ac:dyDescent="0.3">
      <c r="B29" s="167" t="s">
        <v>152</v>
      </c>
      <c r="C29" s="174">
        <f>0.1*C30</f>
        <v>5.5000000000000007E-2</v>
      </c>
      <c r="D29" s="178">
        <v>18.5</v>
      </c>
      <c r="F29" s="11"/>
      <c r="G29" s="11"/>
      <c r="H29" s="11"/>
    </row>
    <row r="30" spans="2:12" x14ac:dyDescent="0.3">
      <c r="B30" s="139" t="s">
        <v>155</v>
      </c>
      <c r="C30" s="8">
        <v>0.55000000000000004</v>
      </c>
      <c r="D30" s="177">
        <v>18.5</v>
      </c>
      <c r="F30" s="11"/>
      <c r="G30" s="11"/>
      <c r="H30" s="11"/>
    </row>
    <row r="31" spans="2:12" x14ac:dyDescent="0.3">
      <c r="B31" s="139" t="s">
        <v>151</v>
      </c>
      <c r="C31" s="8">
        <v>0.04</v>
      </c>
      <c r="D31" s="177">
        <v>8.9</v>
      </c>
      <c r="F31" s="11"/>
      <c r="G31" s="11"/>
      <c r="H31" s="11"/>
    </row>
    <row r="32" spans="2:12" x14ac:dyDescent="0.3">
      <c r="B32" s="139" t="s">
        <v>150</v>
      </c>
      <c r="C32" s="8">
        <v>7.0000000000000007E-2</v>
      </c>
      <c r="D32" s="177">
        <v>3.5</v>
      </c>
      <c r="F32" s="11"/>
      <c r="G32" s="11"/>
      <c r="H32" s="11"/>
    </row>
    <row r="33" spans="2:8" x14ac:dyDescent="0.3">
      <c r="B33" s="166" t="s">
        <v>149</v>
      </c>
      <c r="C33" s="173">
        <v>0.31</v>
      </c>
      <c r="D33" s="176">
        <v>7.3</v>
      </c>
      <c r="F33" s="11"/>
      <c r="G33" s="11"/>
      <c r="H33" s="11"/>
    </row>
    <row r="34" spans="2:8" ht="15" thickBot="1" x14ac:dyDescent="0.35">
      <c r="B34" s="164" t="s">
        <v>42</v>
      </c>
      <c r="C34" s="172">
        <f>SUM(C30:C33)</f>
        <v>0.9700000000000002</v>
      </c>
      <c r="D34" s="175"/>
      <c r="F34" s="11"/>
      <c r="G34" s="11"/>
      <c r="H34" s="11"/>
    </row>
  </sheetData>
  <mergeCells count="2">
    <mergeCell ref="B1:K2"/>
    <mergeCell ref="C11:D1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0"/>
  <sheetViews>
    <sheetView workbookViewId="0">
      <pane xSplit="2" ySplit="4" topLeftCell="C5" activePane="bottomRight" state="frozen"/>
      <selection pane="topRight" activeCell="D1" sqref="D1"/>
      <selection pane="bottomLeft" activeCell="A5" sqref="A5"/>
      <selection pane="bottomRight" activeCell="U7" sqref="U7:V13"/>
    </sheetView>
  </sheetViews>
  <sheetFormatPr defaultColWidth="8.88671875" defaultRowHeight="14.4" x14ac:dyDescent="0.3"/>
  <cols>
    <col min="1" max="1" width="14.109375" customWidth="1"/>
    <col min="2" max="2" width="18.109375" customWidth="1"/>
    <col min="3" max="4" width="9.109375"/>
    <col min="5" max="5" width="11.6640625" customWidth="1"/>
    <col min="6" max="11" width="9.109375"/>
    <col min="12" max="12" width="2.33203125" customWidth="1"/>
    <col min="17" max="17" width="8.6640625" customWidth="1"/>
    <col min="21" max="21" width="16.44140625" customWidth="1"/>
  </cols>
  <sheetData>
    <row r="1" spans="1:21" s="56" customFormat="1" ht="18" x14ac:dyDescent="0.35">
      <c r="A1" s="3" t="str">
        <f>Summary!A1</f>
        <v>Upper Columbia River Steelhead</v>
      </c>
      <c r="B1" s="12"/>
      <c r="C1" s="12"/>
      <c r="D1" s="12"/>
      <c r="E1" s="12"/>
      <c r="F1" s="12"/>
      <c r="G1" s="12"/>
      <c r="H1" s="12"/>
      <c r="I1" s="12"/>
      <c r="J1" s="12"/>
      <c r="K1" s="12"/>
    </row>
    <row r="2" spans="1:21" s="56" customFormat="1" x14ac:dyDescent="0.3">
      <c r="A2" s="1" t="s">
        <v>26</v>
      </c>
      <c r="B2" s="12"/>
      <c r="C2" s="12"/>
      <c r="D2" s="12"/>
      <c r="E2" s="12"/>
      <c r="F2" s="12"/>
      <c r="G2" s="12"/>
      <c r="H2" s="12"/>
      <c r="I2" s="12"/>
      <c r="J2" s="12"/>
      <c r="K2" s="12"/>
      <c r="M2" s="61" t="s">
        <v>76</v>
      </c>
      <c r="N2" s="61"/>
      <c r="O2" s="61"/>
      <c r="P2" s="61"/>
      <c r="Q2" s="61"/>
    </row>
    <row r="3" spans="1:21" s="61" customFormat="1" ht="18" x14ac:dyDescent="0.35">
      <c r="A3" s="13"/>
      <c r="B3" s="14"/>
      <c r="C3" s="15" t="s">
        <v>25</v>
      </c>
      <c r="D3" s="15"/>
      <c r="E3" s="15" t="s">
        <v>7</v>
      </c>
      <c r="F3" s="15"/>
      <c r="G3" s="15"/>
      <c r="H3" s="15" t="s">
        <v>10</v>
      </c>
      <c r="I3" s="15"/>
      <c r="J3" s="15"/>
      <c r="K3" s="15"/>
      <c r="M3" s="16" t="s">
        <v>16</v>
      </c>
      <c r="N3" s="16"/>
      <c r="O3" s="16" t="s">
        <v>17</v>
      </c>
      <c r="P3" s="16"/>
      <c r="Q3" s="16" t="s">
        <v>18</v>
      </c>
      <c r="R3" s="14"/>
      <c r="U3" s="61" t="s">
        <v>75</v>
      </c>
    </row>
    <row r="4" spans="1:21" ht="30.6" x14ac:dyDescent="0.3">
      <c r="A4" s="27" t="s">
        <v>28</v>
      </c>
      <c r="B4" s="28" t="s">
        <v>37</v>
      </c>
      <c r="C4" s="16" t="s">
        <v>3</v>
      </c>
      <c r="D4" s="16" t="s">
        <v>4</v>
      </c>
      <c r="E4" s="16" t="s">
        <v>20</v>
      </c>
      <c r="F4" s="16" t="s">
        <v>21</v>
      </c>
      <c r="G4" s="16" t="s">
        <v>27</v>
      </c>
      <c r="H4" s="16" t="s">
        <v>22</v>
      </c>
      <c r="I4" s="16" t="s">
        <v>23</v>
      </c>
      <c r="J4" s="16" t="s">
        <v>24</v>
      </c>
      <c r="K4" s="16" t="s">
        <v>12</v>
      </c>
    </row>
    <row r="5" spans="1:21" x14ac:dyDescent="0.3">
      <c r="A5" s="18" t="s">
        <v>29</v>
      </c>
      <c r="B5" s="17" t="s">
        <v>40</v>
      </c>
      <c r="C5" s="23" t="s">
        <v>43</v>
      </c>
      <c r="H5" s="23" t="s">
        <v>43</v>
      </c>
      <c r="I5" s="23" t="s">
        <v>43</v>
      </c>
      <c r="J5" s="23" t="s">
        <v>43</v>
      </c>
      <c r="K5" s="23" t="s">
        <v>43</v>
      </c>
      <c r="M5" s="63"/>
      <c r="N5" s="63"/>
      <c r="O5" s="63"/>
      <c r="P5" s="63"/>
      <c r="Q5" s="64"/>
    </row>
    <row r="6" spans="1:21" x14ac:dyDescent="0.3">
      <c r="A6" s="18"/>
      <c r="B6" s="17" t="s">
        <v>41</v>
      </c>
      <c r="H6" s="23" t="s">
        <v>43</v>
      </c>
      <c r="I6" s="23" t="s">
        <v>43</v>
      </c>
      <c r="J6" s="23" t="s">
        <v>43</v>
      </c>
      <c r="K6" s="23" t="s">
        <v>43</v>
      </c>
      <c r="M6" s="63"/>
      <c r="N6" s="63"/>
      <c r="O6" s="63"/>
      <c r="P6" s="63"/>
      <c r="Q6" s="64"/>
      <c r="U6" s="18"/>
    </row>
    <row r="7" spans="1:21" x14ac:dyDescent="0.3">
      <c r="A7" s="18" t="s">
        <v>30</v>
      </c>
      <c r="B7" s="17" t="s">
        <v>40</v>
      </c>
      <c r="C7" s="23" t="s">
        <v>43</v>
      </c>
      <c r="H7" s="23" t="s">
        <v>43</v>
      </c>
      <c r="I7" s="23" t="s">
        <v>43</v>
      </c>
      <c r="J7" s="23" t="s">
        <v>43</v>
      </c>
      <c r="K7" s="23" t="s">
        <v>43</v>
      </c>
      <c r="M7" s="63"/>
      <c r="N7" s="63"/>
      <c r="O7" s="63"/>
      <c r="P7" s="63"/>
      <c r="Q7" s="64"/>
    </row>
    <row r="8" spans="1:21" x14ac:dyDescent="0.3">
      <c r="A8" s="18"/>
      <c r="B8" s="17" t="s">
        <v>41</v>
      </c>
      <c r="H8" s="23" t="s">
        <v>43</v>
      </c>
      <c r="I8" s="23" t="s">
        <v>43</v>
      </c>
      <c r="J8" s="23" t="s">
        <v>43</v>
      </c>
      <c r="K8" s="23" t="s">
        <v>43</v>
      </c>
      <c r="M8" s="63"/>
      <c r="N8" s="63"/>
      <c r="O8" s="63"/>
      <c r="P8" s="63"/>
      <c r="Q8" s="64"/>
    </row>
    <row r="9" spans="1:21" x14ac:dyDescent="0.3">
      <c r="A9" s="18" t="s">
        <v>31</v>
      </c>
      <c r="B9" s="17" t="s">
        <v>40</v>
      </c>
      <c r="C9" s="35">
        <v>5.8000000000000003E-2</v>
      </c>
      <c r="H9" s="23" t="s">
        <v>43</v>
      </c>
      <c r="I9" s="23" t="s">
        <v>43</v>
      </c>
      <c r="J9" s="8" t="s">
        <v>52</v>
      </c>
      <c r="K9" s="23" t="s">
        <v>43</v>
      </c>
      <c r="M9" s="63"/>
      <c r="N9" s="63"/>
      <c r="O9" s="63"/>
      <c r="P9" s="63"/>
      <c r="Q9" s="64"/>
    </row>
    <row r="10" spans="1:21" x14ac:dyDescent="0.3">
      <c r="A10" s="18"/>
      <c r="B10" s="17" t="s">
        <v>41</v>
      </c>
      <c r="H10" s="23" t="s">
        <v>43</v>
      </c>
      <c r="I10" s="23" t="s">
        <v>43</v>
      </c>
      <c r="J10" s="23" t="s">
        <v>43</v>
      </c>
      <c r="K10" s="23" t="s">
        <v>43</v>
      </c>
      <c r="M10" s="63"/>
      <c r="N10" s="63"/>
      <c r="O10" s="63"/>
      <c r="P10" s="63"/>
      <c r="Q10" s="64"/>
    </row>
    <row r="11" spans="1:21" x14ac:dyDescent="0.3">
      <c r="A11" s="18" t="s">
        <v>32</v>
      </c>
      <c r="B11" s="17" t="s">
        <v>40</v>
      </c>
      <c r="C11" s="35">
        <v>1.0999999999999999E-2</v>
      </c>
      <c r="D11" s="8" t="s">
        <v>54</v>
      </c>
      <c r="H11" s="23" t="s">
        <v>43</v>
      </c>
      <c r="I11" s="23" t="s">
        <v>43</v>
      </c>
      <c r="J11" s="8" t="s">
        <v>50</v>
      </c>
      <c r="K11" s="23" t="s">
        <v>43</v>
      </c>
      <c r="M11" s="63"/>
      <c r="N11" s="63"/>
      <c r="O11" s="63"/>
      <c r="P11" s="63"/>
      <c r="Q11" s="64"/>
    </row>
    <row r="12" spans="1:21" x14ac:dyDescent="0.3">
      <c r="A12" s="18"/>
      <c r="B12" s="17" t="s">
        <v>41</v>
      </c>
      <c r="H12" s="23" t="s">
        <v>43</v>
      </c>
      <c r="I12" s="23" t="s">
        <v>43</v>
      </c>
      <c r="J12" s="23" t="s">
        <v>43</v>
      </c>
      <c r="K12" s="23" t="s">
        <v>43</v>
      </c>
      <c r="M12" s="63"/>
      <c r="N12" s="63"/>
      <c r="O12" s="63"/>
      <c r="P12" s="63"/>
      <c r="Q12" s="64"/>
    </row>
    <row r="13" spans="1:21" x14ac:dyDescent="0.3">
      <c r="A13" s="18" t="s">
        <v>33</v>
      </c>
      <c r="B13" s="17" t="s">
        <v>40</v>
      </c>
      <c r="C13" s="35">
        <v>1.0999999999999999E-2</v>
      </c>
      <c r="D13" s="8" t="s">
        <v>51</v>
      </c>
      <c r="H13" s="23" t="s">
        <v>43</v>
      </c>
      <c r="I13" s="23" t="s">
        <v>43</v>
      </c>
      <c r="J13" s="8" t="s">
        <v>50</v>
      </c>
      <c r="K13" s="23" t="s">
        <v>43</v>
      </c>
      <c r="M13" s="63"/>
      <c r="N13" s="63"/>
      <c r="O13" s="63"/>
      <c r="P13" s="63"/>
      <c r="Q13" s="64"/>
    </row>
    <row r="14" spans="1:21" x14ac:dyDescent="0.3">
      <c r="A14" s="18"/>
      <c r="B14" s="17" t="s">
        <v>41</v>
      </c>
      <c r="H14" s="23" t="s">
        <v>43</v>
      </c>
      <c r="I14" s="23" t="s">
        <v>43</v>
      </c>
      <c r="J14" s="23" t="s">
        <v>43</v>
      </c>
      <c r="K14" s="23" t="s">
        <v>43</v>
      </c>
      <c r="M14" s="63"/>
      <c r="N14" s="63"/>
      <c r="O14" s="63"/>
      <c r="P14" s="63"/>
      <c r="Q14" s="64"/>
    </row>
    <row r="15" spans="1:21" x14ac:dyDescent="0.3">
      <c r="A15" s="18" t="s">
        <v>34</v>
      </c>
      <c r="B15" s="17" t="s">
        <v>40</v>
      </c>
      <c r="C15" s="35">
        <v>1.0999999999999999E-2</v>
      </c>
      <c r="D15" s="8" t="s">
        <v>53</v>
      </c>
      <c r="H15" s="23" t="s">
        <v>43</v>
      </c>
      <c r="I15" s="23" t="s">
        <v>43</v>
      </c>
      <c r="J15" s="8" t="s">
        <v>50</v>
      </c>
      <c r="K15" s="23" t="s">
        <v>43</v>
      </c>
      <c r="M15" s="63"/>
      <c r="N15" s="63"/>
      <c r="O15" s="63"/>
      <c r="P15" s="63"/>
      <c r="Q15" s="64"/>
      <c r="U15" s="18"/>
    </row>
    <row r="16" spans="1:21" x14ac:dyDescent="0.3">
      <c r="A16" s="18"/>
      <c r="B16" s="17" t="s">
        <v>41</v>
      </c>
      <c r="H16" s="23" t="s">
        <v>43</v>
      </c>
      <c r="I16" s="23" t="s">
        <v>43</v>
      </c>
      <c r="J16" s="23" t="s">
        <v>43</v>
      </c>
      <c r="K16" s="23" t="s">
        <v>43</v>
      </c>
      <c r="M16" s="63"/>
      <c r="N16" s="63"/>
      <c r="O16" s="63"/>
      <c r="P16" s="63"/>
      <c r="Q16" s="64"/>
    </row>
    <row r="17" spans="1:21" x14ac:dyDescent="0.3">
      <c r="A17" s="18" t="s">
        <v>35</v>
      </c>
      <c r="B17" s="17" t="s">
        <v>40</v>
      </c>
      <c r="C17" s="23">
        <v>0</v>
      </c>
      <c r="D17" s="23" t="s">
        <v>43</v>
      </c>
      <c r="E17" s="23" t="s">
        <v>43</v>
      </c>
      <c r="F17" s="23" t="s">
        <v>43</v>
      </c>
      <c r="G17" s="23" t="s">
        <v>43</v>
      </c>
      <c r="H17" s="23" t="s">
        <v>43</v>
      </c>
      <c r="I17" s="23" t="s">
        <v>43</v>
      </c>
      <c r="J17" s="23" t="s">
        <v>43</v>
      </c>
      <c r="K17" s="23" t="s">
        <v>43</v>
      </c>
      <c r="M17" s="63"/>
      <c r="N17" s="63"/>
      <c r="O17" s="63"/>
      <c r="P17" s="63"/>
      <c r="Q17" s="64"/>
      <c r="U17" s="18"/>
    </row>
    <row r="18" spans="1:21" x14ac:dyDescent="0.3">
      <c r="A18" s="18"/>
      <c r="B18" s="17" t="s">
        <v>41</v>
      </c>
      <c r="C18" s="23">
        <v>0</v>
      </c>
      <c r="D18" s="23" t="s">
        <v>43</v>
      </c>
      <c r="E18" s="23" t="s">
        <v>43</v>
      </c>
      <c r="F18" s="23" t="s">
        <v>43</v>
      </c>
      <c r="G18" s="23" t="s">
        <v>43</v>
      </c>
      <c r="H18" s="23" t="s">
        <v>43</v>
      </c>
      <c r="I18" s="23" t="s">
        <v>43</v>
      </c>
      <c r="J18" s="23" t="s">
        <v>43</v>
      </c>
      <c r="K18" s="23" t="s">
        <v>43</v>
      </c>
      <c r="M18" s="63"/>
      <c r="N18" s="63"/>
      <c r="O18" s="63"/>
      <c r="P18" s="63"/>
      <c r="Q18" s="64"/>
    </row>
    <row r="19" spans="1:21" x14ac:dyDescent="0.3">
      <c r="A19" s="18" t="s">
        <v>36</v>
      </c>
      <c r="B19" s="17" t="s">
        <v>40</v>
      </c>
      <c r="C19" s="23">
        <v>0</v>
      </c>
      <c r="D19" s="23" t="s">
        <v>43</v>
      </c>
      <c r="E19" s="23" t="s">
        <v>43</v>
      </c>
      <c r="F19" s="23" t="s">
        <v>43</v>
      </c>
      <c r="G19" s="23" t="s">
        <v>43</v>
      </c>
      <c r="H19" s="23" t="s">
        <v>43</v>
      </c>
      <c r="I19" s="23" t="s">
        <v>43</v>
      </c>
      <c r="J19" s="23" t="s">
        <v>43</v>
      </c>
      <c r="K19" s="23" t="s">
        <v>43</v>
      </c>
      <c r="M19" s="63"/>
      <c r="N19" s="63"/>
      <c r="O19" s="63"/>
      <c r="P19" s="63"/>
      <c r="Q19" s="64"/>
      <c r="U19" s="18"/>
    </row>
    <row r="20" spans="1:21" x14ac:dyDescent="0.3">
      <c r="B20" s="17" t="s">
        <v>41</v>
      </c>
      <c r="C20" s="23">
        <v>0</v>
      </c>
      <c r="D20" s="23" t="s">
        <v>43</v>
      </c>
      <c r="E20" s="23" t="s">
        <v>43</v>
      </c>
      <c r="F20" s="23" t="s">
        <v>43</v>
      </c>
      <c r="G20" s="23" t="s">
        <v>43</v>
      </c>
      <c r="H20" s="23" t="s">
        <v>43</v>
      </c>
      <c r="I20" s="23" t="s">
        <v>43</v>
      </c>
      <c r="J20" s="23" t="s">
        <v>43</v>
      </c>
      <c r="K20" s="23" t="s">
        <v>43</v>
      </c>
      <c r="M20" s="63"/>
      <c r="N20" s="63"/>
      <c r="O20" s="63"/>
      <c r="P20" s="63"/>
      <c r="Q20" s="64"/>
    </row>
    <row r="21" spans="1:21" s="40" customFormat="1" x14ac:dyDescent="0.3">
      <c r="A21" s="19" t="s">
        <v>42</v>
      </c>
      <c r="B21" s="20" t="s">
        <v>40</v>
      </c>
      <c r="C21" s="47">
        <f>C9+C11</f>
        <v>6.9000000000000006E-2</v>
      </c>
      <c r="D21" s="34"/>
      <c r="E21" s="46"/>
      <c r="F21" s="19"/>
      <c r="G21" s="19"/>
      <c r="H21" s="19"/>
      <c r="I21" s="19"/>
      <c r="J21" s="19"/>
      <c r="K21" s="19"/>
      <c r="M21" s="65">
        <v>0.15</v>
      </c>
      <c r="N21" s="65">
        <v>0.22</v>
      </c>
      <c r="O21" s="65">
        <v>0.15</v>
      </c>
      <c r="P21" s="65">
        <v>0.3</v>
      </c>
      <c r="Q21" s="66">
        <v>0.15</v>
      </c>
      <c r="R21" s="65">
        <v>0.4</v>
      </c>
    </row>
    <row r="22" spans="1:21" s="62" customFormat="1" x14ac:dyDescent="0.3">
      <c r="A22" s="21"/>
      <c r="B22" s="22" t="s">
        <v>41</v>
      </c>
      <c r="C22" s="21"/>
      <c r="D22" s="21"/>
      <c r="E22" s="21"/>
      <c r="F22" s="21"/>
      <c r="G22" s="21"/>
      <c r="H22" s="21"/>
      <c r="I22" s="21"/>
      <c r="J22" s="21"/>
      <c r="K22" s="21"/>
      <c r="M22" s="67"/>
      <c r="N22" s="67"/>
      <c r="O22" s="67"/>
      <c r="P22" s="67"/>
      <c r="Q22" s="68"/>
    </row>
    <row r="23" spans="1:21" x14ac:dyDescent="0.3">
      <c r="A23" s="18" t="s">
        <v>29</v>
      </c>
      <c r="B23" s="17" t="s">
        <v>38</v>
      </c>
      <c r="H23" s="23" t="s">
        <v>43</v>
      </c>
      <c r="I23" s="23" t="s">
        <v>43</v>
      </c>
    </row>
    <row r="24" spans="1:21" x14ac:dyDescent="0.3">
      <c r="A24" s="18"/>
      <c r="B24" s="17" t="s">
        <v>39</v>
      </c>
      <c r="H24" s="23" t="s">
        <v>43</v>
      </c>
      <c r="I24" s="23" t="s">
        <v>43</v>
      </c>
    </row>
    <row r="25" spans="1:21" x14ac:dyDescent="0.3">
      <c r="A25" s="18" t="s">
        <v>30</v>
      </c>
      <c r="B25" s="17" t="s">
        <v>38</v>
      </c>
      <c r="H25" s="23" t="s">
        <v>43</v>
      </c>
      <c r="I25" s="23" t="s">
        <v>43</v>
      </c>
    </row>
    <row r="26" spans="1:21" x14ac:dyDescent="0.3">
      <c r="A26" s="18"/>
      <c r="B26" s="17" t="s">
        <v>39</v>
      </c>
      <c r="H26" s="23" t="s">
        <v>43</v>
      </c>
      <c r="I26" s="23" t="s">
        <v>43</v>
      </c>
    </row>
    <row r="27" spans="1:21" x14ac:dyDescent="0.3">
      <c r="A27" s="18" t="s">
        <v>31</v>
      </c>
      <c r="B27" s="17" t="s">
        <v>38</v>
      </c>
      <c r="H27" s="23" t="s">
        <v>43</v>
      </c>
      <c r="I27" s="23" t="s">
        <v>43</v>
      </c>
    </row>
    <row r="28" spans="1:21" x14ac:dyDescent="0.3">
      <c r="A28" s="18"/>
      <c r="B28" s="17" t="s">
        <v>39</v>
      </c>
      <c r="H28" s="23" t="s">
        <v>43</v>
      </c>
      <c r="I28" s="23" t="s">
        <v>43</v>
      </c>
    </row>
    <row r="29" spans="1:21" x14ac:dyDescent="0.3">
      <c r="A29" s="18" t="s">
        <v>32</v>
      </c>
      <c r="B29" s="17" t="s">
        <v>38</v>
      </c>
      <c r="H29" s="23" t="s">
        <v>43</v>
      </c>
      <c r="I29" s="23" t="s">
        <v>43</v>
      </c>
    </row>
    <row r="30" spans="1:21" x14ac:dyDescent="0.3">
      <c r="A30" s="18"/>
      <c r="B30" s="17" t="s">
        <v>39</v>
      </c>
      <c r="H30" s="23" t="s">
        <v>43</v>
      </c>
      <c r="I30" s="23" t="s">
        <v>43</v>
      </c>
    </row>
    <row r="31" spans="1:21" x14ac:dyDescent="0.3">
      <c r="A31" s="18" t="s">
        <v>33</v>
      </c>
      <c r="B31" s="17" t="s">
        <v>38</v>
      </c>
      <c r="H31" s="23" t="s">
        <v>43</v>
      </c>
      <c r="I31" s="23" t="s">
        <v>43</v>
      </c>
    </row>
    <row r="32" spans="1:21" x14ac:dyDescent="0.3">
      <c r="A32" s="18"/>
      <c r="B32" s="17" t="s">
        <v>39</v>
      </c>
      <c r="H32" s="23" t="s">
        <v>43</v>
      </c>
      <c r="I32" s="23" t="s">
        <v>43</v>
      </c>
    </row>
    <row r="33" spans="1:11" x14ac:dyDescent="0.3">
      <c r="A33" s="18" t="s">
        <v>34</v>
      </c>
      <c r="B33" s="17" t="s">
        <v>38</v>
      </c>
      <c r="H33" s="23" t="s">
        <v>43</v>
      </c>
      <c r="I33" s="23" t="s">
        <v>43</v>
      </c>
    </row>
    <row r="34" spans="1:11" x14ac:dyDescent="0.3">
      <c r="A34" s="18"/>
      <c r="B34" s="17" t="s">
        <v>39</v>
      </c>
      <c r="H34" s="23" t="s">
        <v>43</v>
      </c>
      <c r="I34" s="23" t="s">
        <v>43</v>
      </c>
    </row>
    <row r="35" spans="1:11" x14ac:dyDescent="0.3">
      <c r="A35" s="18" t="s">
        <v>35</v>
      </c>
      <c r="B35" s="17" t="s">
        <v>38</v>
      </c>
      <c r="C35" s="23">
        <v>0</v>
      </c>
      <c r="D35" s="23" t="s">
        <v>43</v>
      </c>
      <c r="E35" s="23" t="s">
        <v>43</v>
      </c>
      <c r="F35" s="23" t="s">
        <v>43</v>
      </c>
      <c r="G35" s="23" t="s">
        <v>43</v>
      </c>
      <c r="H35" s="23" t="s">
        <v>43</v>
      </c>
      <c r="I35" s="23" t="s">
        <v>43</v>
      </c>
      <c r="J35" s="23" t="s">
        <v>43</v>
      </c>
      <c r="K35" s="23" t="s">
        <v>43</v>
      </c>
    </row>
    <row r="36" spans="1:11" x14ac:dyDescent="0.3">
      <c r="A36" s="18"/>
      <c r="B36" s="17" t="s">
        <v>39</v>
      </c>
      <c r="C36" s="23">
        <v>0</v>
      </c>
      <c r="D36" s="23" t="s">
        <v>43</v>
      </c>
      <c r="E36" s="23" t="s">
        <v>43</v>
      </c>
      <c r="F36" s="23" t="s">
        <v>43</v>
      </c>
      <c r="G36" s="23" t="s">
        <v>43</v>
      </c>
      <c r="H36" s="23" t="s">
        <v>43</v>
      </c>
      <c r="I36" s="23" t="s">
        <v>43</v>
      </c>
      <c r="J36" s="23" t="s">
        <v>43</v>
      </c>
      <c r="K36" s="23" t="s">
        <v>43</v>
      </c>
    </row>
    <row r="37" spans="1:11" x14ac:dyDescent="0.3">
      <c r="A37" s="18" t="s">
        <v>36</v>
      </c>
      <c r="B37" s="17" t="s">
        <v>38</v>
      </c>
      <c r="C37" s="23">
        <v>0</v>
      </c>
      <c r="D37" s="23" t="s">
        <v>43</v>
      </c>
      <c r="E37" s="23" t="s">
        <v>43</v>
      </c>
      <c r="F37" s="23" t="s">
        <v>43</v>
      </c>
      <c r="G37" s="23" t="s">
        <v>43</v>
      </c>
      <c r="H37" s="23" t="s">
        <v>43</v>
      </c>
      <c r="I37" s="23" t="s">
        <v>43</v>
      </c>
      <c r="J37" s="23" t="s">
        <v>43</v>
      </c>
      <c r="K37" s="23" t="s">
        <v>43</v>
      </c>
    </row>
    <row r="38" spans="1:11" x14ac:dyDescent="0.3">
      <c r="B38" s="17" t="s">
        <v>39</v>
      </c>
      <c r="C38" s="23">
        <v>0</v>
      </c>
      <c r="D38" s="23" t="s">
        <v>43</v>
      </c>
      <c r="E38" s="23" t="s">
        <v>43</v>
      </c>
      <c r="F38" s="23" t="s">
        <v>43</v>
      </c>
      <c r="G38" s="23" t="s">
        <v>43</v>
      </c>
      <c r="H38" s="23" t="s">
        <v>43</v>
      </c>
      <c r="I38" s="23" t="s">
        <v>43</v>
      </c>
      <c r="J38" s="23" t="s">
        <v>43</v>
      </c>
      <c r="K38" s="23" t="s">
        <v>43</v>
      </c>
    </row>
    <row r="39" spans="1:11" s="40" customFormat="1" x14ac:dyDescent="0.3">
      <c r="A39" s="19" t="s">
        <v>42</v>
      </c>
      <c r="B39" s="20" t="s">
        <v>38</v>
      </c>
      <c r="C39" s="19"/>
      <c r="D39" s="34"/>
      <c r="E39" s="19"/>
      <c r="F39" s="19"/>
      <c r="G39" s="19"/>
      <c r="H39" s="19"/>
      <c r="I39" s="19"/>
      <c r="J39" s="19"/>
      <c r="K39" s="19"/>
    </row>
    <row r="40" spans="1:11" s="62" customFormat="1" x14ac:dyDescent="0.3">
      <c r="A40" s="21"/>
      <c r="B40" s="22" t="s">
        <v>39</v>
      </c>
      <c r="C40" s="21"/>
      <c r="D40" s="21"/>
      <c r="E40" s="21"/>
      <c r="F40" s="21"/>
      <c r="G40" s="21"/>
      <c r="H40" s="21"/>
      <c r="I40" s="21"/>
      <c r="J40" s="21"/>
      <c r="K40" s="21"/>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Documentation</vt:lpstr>
      <vt:lpstr>Runs</vt:lpstr>
      <vt:lpstr>Conv</vt:lpstr>
      <vt:lpstr>Natl prod</vt:lpstr>
      <vt:lpstr>HistoricAbund_Calcs.</vt:lpstr>
      <vt:lpstr>HabitatPotential_MAT</vt:lpstr>
      <vt:lpstr>HarvestGoals_Calc</vt:lpstr>
      <vt:lpstr>Fishery</vt:lpstr>
      <vt:lpstr>Hatchery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Beamesderfer</dc:creator>
  <cp:lastModifiedBy>xxx</cp:lastModifiedBy>
  <cp:lastPrinted>2018-01-18T00:26:11Z</cp:lastPrinted>
  <dcterms:created xsi:type="dcterms:W3CDTF">2017-07-05T20:34:17Z</dcterms:created>
  <dcterms:modified xsi:type="dcterms:W3CDTF">2020-08-13T16:55:15Z</dcterms:modified>
</cp:coreProperties>
</file>