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24226"/>
  <mc:AlternateContent xmlns:mc="http://schemas.openxmlformats.org/markup-compatibility/2006">
    <mc:Choice Requires="x15">
      <x15ac:absPath xmlns:x15ac="http://schemas.microsoft.com/office/spreadsheetml/2010/11/ac" url="C:\Users\beame\Documents\NMFS Columbia Basin\10. Quantitative goals\UCR chinook summer\"/>
    </mc:Choice>
  </mc:AlternateContent>
  <xr:revisionPtr revIDLastSave="0" documentId="8_{9493CA0B-6C3B-48D5-99AE-08E66F202B90}" xr6:coauthVersionLast="45" xr6:coauthVersionMax="45" xr10:uidLastSave="{00000000-0000-0000-0000-000000000000}"/>
  <bookViews>
    <workbookView xWindow="28680" yWindow="-120" windowWidth="29040" windowHeight="15840" tabRatio="805" xr2:uid="{00000000-000D-0000-FFFF-FFFF00000000}"/>
  </bookViews>
  <sheets>
    <sheet name="Summary" sheetId="25" r:id="rId1"/>
    <sheet name="Documentation" sheetId="33" r:id="rId2"/>
    <sheet name="run" sheetId="26" r:id="rId3"/>
    <sheet name="Conv" sheetId="34" r:id="rId4"/>
    <sheet name="HistoricAbund_Calcs." sheetId="31" r:id="rId5"/>
    <sheet name="HarvestGoals_Calc" sheetId="32" r:id="rId6"/>
    <sheet name="Spawners" sheetId="18" r:id="rId7"/>
    <sheet name="Fishery" sheetId="19" r:id="rId8"/>
    <sheet name="Hatchery" sheetId="20" r:id="rId9"/>
    <sheet name="Pops" sheetId="21" r:id="rId10"/>
    <sheet name="MetaData" sheetId="2" r:id="rId11"/>
    <sheet name="NPCC" sheetId="14" r:id="rId12"/>
  </sheets>
  <definedNames>
    <definedName name="_Ref67714019" localSheetId="3">#REF!</definedName>
    <definedName name="_Ref67714019" localSheetId="5">#REF!</definedName>
    <definedName name="_Ref67714019" localSheetId="4">#REF!</definedName>
    <definedName name="_Ref67714019">#REF!</definedName>
    <definedName name="solver_adj" localSheetId="3" hidden="1">Conv!$D$9</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Conv!$AB$9</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21120</definedName>
    <definedName name="solver_ver" localSheetId="3" hidden="1">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5" i="34" l="1"/>
  <c r="C45" i="34"/>
  <c r="Q44" i="26"/>
  <c r="N40" i="26"/>
  <c r="N41" i="26"/>
  <c r="Q41" i="26" s="1"/>
  <c r="N42" i="26"/>
  <c r="Q42" i="26" s="1"/>
  <c r="N43" i="26"/>
  <c r="N44" i="26"/>
  <c r="W43" i="26"/>
  <c r="Y43" i="26"/>
  <c r="AE43" i="26"/>
  <c r="AI43" i="26"/>
  <c r="AA44" i="26"/>
  <c r="AA43" i="26"/>
  <c r="Q43" i="26"/>
  <c r="AD43" i="26"/>
  <c r="AH43" i="26"/>
  <c r="AC43" i="26"/>
  <c r="J44" i="26"/>
  <c r="J43" i="26"/>
  <c r="AG43" i="26" s="1"/>
  <c r="Z44" i="26"/>
  <c r="Z43" i="26"/>
  <c r="AA26" i="25" l="1"/>
  <c r="AE29" i="25"/>
  <c r="AE28" i="25" l="1"/>
  <c r="AE27" i="25"/>
  <c r="X19" i="25" l="1"/>
  <c r="AR109" i="19" l="1"/>
  <c r="AR108" i="19"/>
  <c r="AR107" i="19"/>
  <c r="AR106" i="19"/>
  <c r="AR105" i="19"/>
  <c r="AR104" i="19"/>
  <c r="AR103" i="19"/>
  <c r="AR102" i="19"/>
  <c r="AR118" i="19" s="1"/>
  <c r="AR101" i="19"/>
  <c r="AR100" i="19"/>
  <c r="AR99" i="19"/>
  <c r="AR98" i="19"/>
  <c r="AR97" i="19"/>
  <c r="AR96" i="19"/>
  <c r="AR95" i="19"/>
  <c r="AR94" i="19"/>
  <c r="AR93" i="19"/>
  <c r="AR92" i="19"/>
  <c r="AR91" i="19"/>
  <c r="AR90" i="19"/>
  <c r="AR89" i="19"/>
  <c r="AR88" i="19"/>
  <c r="AR87" i="19"/>
  <c r="AR86" i="19"/>
  <c r="AR85" i="19"/>
  <c r="AR84" i="19"/>
  <c r="AR83" i="19"/>
  <c r="AR82" i="19"/>
  <c r="AR81" i="19"/>
  <c r="AR110" i="19"/>
  <c r="AQ118" i="19"/>
  <c r="AP118" i="19"/>
  <c r="AO118" i="19"/>
  <c r="AN118" i="19"/>
  <c r="AM118" i="19"/>
  <c r="E87" i="19" s="1"/>
  <c r="E92" i="19" s="1"/>
  <c r="AL118" i="19"/>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E83" i="19" s="1"/>
  <c r="E85" i="19" l="1"/>
  <c r="D85" i="19" s="1"/>
  <c r="E84" i="19"/>
  <c r="D84" i="19" s="1"/>
  <c r="E91" i="19"/>
  <c r="E93" i="19" s="1"/>
  <c r="D83" i="19"/>
  <c r="D91" i="19" s="1"/>
  <c r="E41" i="26" l="1"/>
  <c r="E40" i="26"/>
  <c r="E39" i="26"/>
  <c r="E38" i="26"/>
  <c r="E37" i="26"/>
  <c r="E36" i="26"/>
  <c r="E35" i="26"/>
  <c r="E34" i="26"/>
  <c r="E33" i="26"/>
  <c r="E32" i="26"/>
  <c r="E31" i="26"/>
  <c r="E30" i="26"/>
  <c r="E29" i="26"/>
  <c r="E28" i="26"/>
  <c r="E27" i="26"/>
  <c r="E26" i="26"/>
  <c r="E25" i="26"/>
  <c r="E24" i="26"/>
  <c r="E23" i="26"/>
  <c r="E22" i="26"/>
  <c r="E21" i="26"/>
  <c r="E20" i="26"/>
  <c r="E46" i="26" l="1"/>
  <c r="D19" i="26" s="1"/>
  <c r="D12" i="26"/>
  <c r="D16" i="26"/>
  <c r="D5" i="26"/>
  <c r="D9" i="26"/>
  <c r="D17" i="26"/>
  <c r="D6" i="26"/>
  <c r="D10" i="26"/>
  <c r="D14" i="26"/>
  <c r="D18" i="26"/>
  <c r="D8" i="26"/>
  <c r="D13" i="26"/>
  <c r="D7" i="26"/>
  <c r="D11" i="26"/>
  <c r="D15" i="26"/>
  <c r="Y23" i="34"/>
  <c r="U23" i="34"/>
  <c r="Q23" i="34"/>
  <c r="Q24" i="26"/>
  <c r="S24" i="26" s="1"/>
  <c r="Q23" i="26"/>
  <c r="S23" i="26" s="1"/>
  <c r="Q22" i="26"/>
  <c r="S22" i="26" s="1"/>
  <c r="Q21" i="26"/>
  <c r="S21" i="26" s="1"/>
  <c r="Q20" i="26"/>
  <c r="S20" i="26" s="1"/>
  <c r="R46" i="26"/>
  <c r="C2" i="34"/>
  <c r="AA41" i="26" l="1"/>
  <c r="Z41" i="26"/>
  <c r="Y41" i="26"/>
  <c r="AA40" i="26"/>
  <c r="Z40" i="26"/>
  <c r="Y40" i="26"/>
  <c r="AA39" i="26"/>
  <c r="Z39" i="26"/>
  <c r="Y39" i="26"/>
  <c r="AA38" i="26"/>
  <c r="Z38" i="26"/>
  <c r="Y38" i="26"/>
  <c r="AA37" i="26"/>
  <c r="Z37" i="26"/>
  <c r="Y37" i="26"/>
  <c r="AA36" i="26"/>
  <c r="Z36" i="26"/>
  <c r="Y36" i="26"/>
  <c r="AA35" i="26"/>
  <c r="Z35" i="26"/>
  <c r="Y35" i="26"/>
  <c r="AA34" i="26"/>
  <c r="Z34" i="26"/>
  <c r="Y34" i="26"/>
  <c r="AA33" i="26"/>
  <c r="Z33" i="26"/>
  <c r="Y33" i="26"/>
  <c r="AA32" i="26"/>
  <c r="Z32" i="26"/>
  <c r="Y32" i="26"/>
  <c r="AA31" i="26"/>
  <c r="Z31" i="26"/>
  <c r="Y31" i="26"/>
  <c r="AA30" i="26"/>
  <c r="Z30" i="26"/>
  <c r="Y30" i="26"/>
  <c r="AA29" i="26"/>
  <c r="Z29" i="26"/>
  <c r="Y29" i="26"/>
  <c r="AA28" i="26"/>
  <c r="Z28" i="26"/>
  <c r="Y28" i="26"/>
  <c r="AA27" i="26"/>
  <c r="Z27" i="26"/>
  <c r="Y27" i="26"/>
  <c r="AA26" i="26"/>
  <c r="Z26" i="26"/>
  <c r="Y26" i="26"/>
  <c r="AA25" i="26"/>
  <c r="Z25" i="26"/>
  <c r="Y25" i="26"/>
  <c r="AH42" i="26"/>
  <c r="AH41" i="26"/>
  <c r="AH40" i="26"/>
  <c r="AH39" i="26"/>
  <c r="AH38" i="26"/>
  <c r="AH37" i="26"/>
  <c r="AH36" i="26"/>
  <c r="AH35" i="26"/>
  <c r="AH34" i="26"/>
  <c r="AH33" i="26"/>
  <c r="AH32" i="26"/>
  <c r="AH31" i="26"/>
  <c r="AH30" i="26"/>
  <c r="AH29" i="26"/>
  <c r="AH28" i="26"/>
  <c r="AH27" i="26"/>
  <c r="AH26" i="26"/>
  <c r="AH25" i="26"/>
  <c r="AH46" i="26" l="1"/>
  <c r="D10" i="34" s="1"/>
  <c r="E10" i="34" s="1"/>
  <c r="X54" i="34"/>
  <c r="T54" i="34"/>
  <c r="D39" i="34"/>
  <c r="S39" i="34" s="1"/>
  <c r="D36" i="34"/>
  <c r="S36" i="34" s="1"/>
  <c r="D33" i="34"/>
  <c r="S33" i="34" s="1"/>
  <c r="W12" i="34"/>
  <c r="S12" i="34"/>
  <c r="O12" i="34"/>
  <c r="K12" i="34"/>
  <c r="E12" i="34"/>
  <c r="W9" i="34"/>
  <c r="S9" i="34"/>
  <c r="O9" i="34"/>
  <c r="K9" i="34"/>
  <c r="E9" i="34"/>
  <c r="W6" i="34"/>
  <c r="S6" i="34"/>
  <c r="O6" i="34"/>
  <c r="K6" i="34"/>
  <c r="E6" i="34"/>
  <c r="O39" i="34" l="1"/>
  <c r="O10" i="34"/>
  <c r="W10" i="34"/>
  <c r="O33" i="34"/>
  <c r="E33" i="34"/>
  <c r="K33" i="34"/>
  <c r="E36" i="34"/>
  <c r="K36" i="34"/>
  <c r="E39" i="34"/>
  <c r="K39" i="34"/>
  <c r="O36" i="34"/>
  <c r="K10" i="34"/>
  <c r="W33" i="34"/>
  <c r="W36" i="34"/>
  <c r="D37" i="34"/>
  <c r="W39" i="34"/>
  <c r="S10" i="34"/>
  <c r="E37" i="34" l="1"/>
  <c r="S37" i="34"/>
  <c r="K37" i="34"/>
  <c r="W37" i="34"/>
  <c r="O37" i="34"/>
  <c r="AE41" i="26" l="1"/>
  <c r="AD41" i="26"/>
  <c r="AE40" i="26"/>
  <c r="AD40" i="26"/>
  <c r="AE39" i="26"/>
  <c r="AD39" i="26"/>
  <c r="AE38" i="26"/>
  <c r="AD38" i="26"/>
  <c r="AE37" i="26"/>
  <c r="AD37" i="26"/>
  <c r="AE36" i="26"/>
  <c r="AD36" i="26"/>
  <c r="AE35" i="26"/>
  <c r="AD35" i="26"/>
  <c r="AE34" i="26"/>
  <c r="AD34" i="26"/>
  <c r="AE33" i="26"/>
  <c r="AD33" i="26"/>
  <c r="AE32" i="26"/>
  <c r="AD32" i="26"/>
  <c r="AE31" i="26"/>
  <c r="AD31" i="26"/>
  <c r="AE30" i="26"/>
  <c r="AD30" i="26"/>
  <c r="AE29" i="26"/>
  <c r="AD29" i="26"/>
  <c r="AE28" i="26"/>
  <c r="AD28" i="26"/>
  <c r="AE27" i="26"/>
  <c r="AD27" i="26"/>
  <c r="AE26" i="26"/>
  <c r="AD26" i="26"/>
  <c r="AE25" i="26"/>
  <c r="AD25" i="26"/>
  <c r="AC41" i="26"/>
  <c r="AC40" i="26"/>
  <c r="AC39" i="26"/>
  <c r="AC38" i="26"/>
  <c r="AC37" i="26"/>
  <c r="AC36" i="26"/>
  <c r="AC35" i="26"/>
  <c r="AC34" i="26"/>
  <c r="AC33" i="26"/>
  <c r="AC32" i="26"/>
  <c r="AC31" i="26"/>
  <c r="AC30" i="26"/>
  <c r="AC29" i="26"/>
  <c r="AC28" i="26"/>
  <c r="AC27" i="26"/>
  <c r="AC26" i="26"/>
  <c r="AC25" i="26"/>
  <c r="W42" i="26"/>
  <c r="T57" i="25"/>
  <c r="Q40" i="26"/>
  <c r="Q39" i="26"/>
  <c r="Q38" i="26"/>
  <c r="Q37" i="26"/>
  <c r="Q36" i="26"/>
  <c r="Q35" i="26"/>
  <c r="Q34" i="26"/>
  <c r="Q33" i="26"/>
  <c r="Q32" i="26"/>
  <c r="Q31" i="26"/>
  <c r="Q30" i="26"/>
  <c r="Q29" i="26"/>
  <c r="Q28" i="26"/>
  <c r="Q27" i="26"/>
  <c r="Q26" i="26"/>
  <c r="Q25" i="26"/>
  <c r="AW41" i="26"/>
  <c r="AW40" i="26"/>
  <c r="AW39" i="26"/>
  <c r="AW38" i="26"/>
  <c r="AW37" i="26"/>
  <c r="AW36" i="26"/>
  <c r="AW35" i="26"/>
  <c r="AW34" i="26"/>
  <c r="AW33" i="26"/>
  <c r="AW32" i="26"/>
  <c r="AI27" i="26" l="1"/>
  <c r="S27" i="26"/>
  <c r="AI39" i="26"/>
  <c r="S39" i="26"/>
  <c r="AI42" i="26"/>
  <c r="S42" i="26"/>
  <c r="AI28" i="26"/>
  <c r="S28" i="26"/>
  <c r="AI32" i="26"/>
  <c r="S32" i="26"/>
  <c r="AI36" i="26"/>
  <c r="S36" i="26"/>
  <c r="AI40" i="26"/>
  <c r="S40" i="26"/>
  <c r="AI31" i="26"/>
  <c r="S31" i="26"/>
  <c r="AI25" i="26"/>
  <c r="S25" i="26"/>
  <c r="AI29" i="26"/>
  <c r="S29" i="26"/>
  <c r="AI33" i="26"/>
  <c r="S33" i="26"/>
  <c r="AI37" i="26"/>
  <c r="S37" i="26"/>
  <c r="AI41" i="26"/>
  <c r="S41" i="26"/>
  <c r="AI35" i="26"/>
  <c r="S35" i="26"/>
  <c r="AI26" i="26"/>
  <c r="S26" i="26"/>
  <c r="AI30" i="26"/>
  <c r="S30" i="26"/>
  <c r="AI34" i="26"/>
  <c r="S34" i="26"/>
  <c r="AI38" i="26"/>
  <c r="S38" i="26"/>
  <c r="AW46" i="26"/>
  <c r="AS46" i="26"/>
  <c r="J42" i="26"/>
  <c r="AI46" i="26" l="1"/>
  <c r="D7" i="34" s="1"/>
  <c r="W7" i="34" s="1"/>
  <c r="AR42" i="26"/>
  <c r="AA6" i="25"/>
  <c r="AU42" i="26"/>
  <c r="AA5" i="25"/>
  <c r="S46" i="26"/>
  <c r="AK65" i="19"/>
  <c r="AL65" i="19"/>
  <c r="AL74" i="19" s="1"/>
  <c r="AM65" i="19"/>
  <c r="AK66" i="19"/>
  <c r="AL66" i="19"/>
  <c r="AM66" i="19"/>
  <c r="AK67" i="19"/>
  <c r="AL67" i="19"/>
  <c r="AM67" i="19"/>
  <c r="AK68" i="19"/>
  <c r="AL68" i="19"/>
  <c r="AM68" i="19"/>
  <c r="AK69" i="19"/>
  <c r="AL69" i="19"/>
  <c r="AM69" i="19"/>
  <c r="AK70" i="19"/>
  <c r="AL70" i="19"/>
  <c r="AM70" i="19"/>
  <c r="AK71" i="19"/>
  <c r="AL71" i="19"/>
  <c r="AM71" i="19"/>
  <c r="AK72" i="19"/>
  <c r="AL72" i="19"/>
  <c r="AM72" i="19"/>
  <c r="N74" i="19"/>
  <c r="O74" i="19"/>
  <c r="P74" i="19"/>
  <c r="Q74" i="19"/>
  <c r="R74" i="19"/>
  <c r="S74" i="19"/>
  <c r="T74" i="19"/>
  <c r="U74" i="19"/>
  <c r="V74" i="19"/>
  <c r="W74" i="19"/>
  <c r="X74" i="19"/>
  <c r="Y74" i="19"/>
  <c r="Z74" i="19"/>
  <c r="AA74" i="19"/>
  <c r="AB74" i="19"/>
  <c r="AC74" i="19"/>
  <c r="AD74" i="19"/>
  <c r="AE74" i="19"/>
  <c r="AF74" i="19"/>
  <c r="AG74" i="19"/>
  <c r="AH74" i="19"/>
  <c r="AI74" i="19"/>
  <c r="AJ74" i="19"/>
  <c r="K7" i="34" l="1"/>
  <c r="D34" i="34"/>
  <c r="K34" i="34" s="1"/>
  <c r="S7" i="34"/>
  <c r="E7" i="34"/>
  <c r="O7" i="34"/>
  <c r="AL73" i="19"/>
  <c r="AM74" i="19"/>
  <c r="AK73" i="19"/>
  <c r="E40" i="19"/>
  <c r="D40" i="19" s="1"/>
  <c r="T33" i="25" s="1"/>
  <c r="E39" i="19"/>
  <c r="D39" i="19" s="1"/>
  <c r="E38" i="19"/>
  <c r="D38" i="19" s="1"/>
  <c r="T32" i="25" s="1"/>
  <c r="Z42" i="26"/>
  <c r="Z46" i="26" s="1"/>
  <c r="Y42" i="26"/>
  <c r="Y46" i="26" s="1"/>
  <c r="AA42" i="26"/>
  <c r="AA46" i="26" s="1"/>
  <c r="AC42" i="26"/>
  <c r="AC46" i="26" s="1"/>
  <c r="U34" i="25" s="1"/>
  <c r="AE42" i="26"/>
  <c r="AE46" i="26" s="1"/>
  <c r="U36" i="25" s="1"/>
  <c r="AD42" i="26"/>
  <c r="AD46" i="26" s="1"/>
  <c r="AG42" i="26"/>
  <c r="O34" i="34"/>
  <c r="E41" i="19"/>
  <c r="AK74" i="19"/>
  <c r="AM73" i="19"/>
  <c r="W6" i="25"/>
  <c r="X6" i="25" s="1"/>
  <c r="X7" i="25"/>
  <c r="X9" i="25"/>
  <c r="U11" i="25"/>
  <c r="AO42" i="26"/>
  <c r="AO41" i="26"/>
  <c r="AO43" i="26"/>
  <c r="W34" i="34" l="1"/>
  <c r="E34" i="34"/>
  <c r="S34" i="34"/>
  <c r="C88" i="19"/>
  <c r="D88" i="19" s="1"/>
  <c r="C43" i="19"/>
  <c r="C87" i="19"/>
  <c r="C42" i="19"/>
  <c r="D42" i="19" s="1"/>
  <c r="AC38" i="25"/>
  <c r="C86" i="19"/>
  <c r="D86" i="19" s="1"/>
  <c r="C41" i="19"/>
  <c r="D41" i="19" s="1"/>
  <c r="C89" i="19"/>
  <c r="D89" i="19" s="1"/>
  <c r="C44" i="19"/>
  <c r="D44" i="19" s="1"/>
  <c r="D46" i="19"/>
  <c r="E46" i="19"/>
  <c r="AO47" i="26"/>
  <c r="U35" i="25"/>
  <c r="AO46" i="26"/>
  <c r="AN43" i="26"/>
  <c r="AN42" i="26"/>
  <c r="AN41" i="26"/>
  <c r="AN40" i="26"/>
  <c r="AN39" i="26"/>
  <c r="AN38" i="26"/>
  <c r="AN37" i="26"/>
  <c r="C92" i="19" l="1"/>
  <c r="D87" i="19"/>
  <c r="D92" i="19" s="1"/>
  <c r="D93" i="19" s="1"/>
  <c r="C47" i="19"/>
  <c r="D43" i="19"/>
  <c r="U38" i="25"/>
  <c r="BB42" i="26"/>
  <c r="BB41" i="26"/>
  <c r="BB40" i="26"/>
  <c r="BB39" i="26"/>
  <c r="BB38" i="26"/>
  <c r="BA36" i="26"/>
  <c r="BB36" i="26" s="1"/>
  <c r="BA35" i="26"/>
  <c r="BB35" i="26" s="1"/>
  <c r="BA34" i="26"/>
  <c r="BB34" i="26" s="1"/>
  <c r="BA33" i="26"/>
  <c r="BB33" i="26" s="1"/>
  <c r="BA32" i="26"/>
  <c r="BB32" i="26" s="1"/>
  <c r="BA37" i="26"/>
  <c r="BB37" i="26" s="1"/>
  <c r="BL37" i="26"/>
  <c r="BL38" i="26"/>
  <c r="BL39" i="26"/>
  <c r="BH40" i="26"/>
  <c r="BH39" i="26"/>
  <c r="BH38" i="26"/>
  <c r="BH37" i="26"/>
  <c r="BH36" i="26"/>
  <c r="BH35" i="26"/>
  <c r="BH34" i="26"/>
  <c r="BH33" i="26"/>
  <c r="BH32" i="26"/>
  <c r="BH31" i="26"/>
  <c r="BK50" i="26"/>
  <c r="BK49" i="26"/>
  <c r="BK47" i="26"/>
  <c r="BK46" i="26"/>
  <c r="BB46" i="26" l="1"/>
  <c r="AA8" i="25" s="1"/>
  <c r="D47" i="19"/>
  <c r="D48" i="19" s="1"/>
  <c r="BM39" i="26"/>
  <c r="BO39" i="26" s="1"/>
  <c r="BM38" i="26"/>
  <c r="BO38" i="26" s="1"/>
  <c r="BM37" i="26"/>
  <c r="BO37" i="26" s="1"/>
  <c r="BM36" i="26"/>
  <c r="BO36" i="26" s="1"/>
  <c r="BM35" i="26"/>
  <c r="BO35" i="26" s="1"/>
  <c r="BM34" i="26"/>
  <c r="BO34" i="26" s="1"/>
  <c r="BM33" i="26"/>
  <c r="BO33" i="26" s="1"/>
  <c r="BM32" i="26"/>
  <c r="BO32" i="26" s="1"/>
  <c r="BM31" i="26"/>
  <c r="BO31" i="26" s="1"/>
  <c r="BL40" i="26"/>
  <c r="BM40" i="26" l="1"/>
  <c r="BO40" i="26" s="1"/>
  <c r="BL41" i="26"/>
  <c r="BL46" i="26" s="1"/>
  <c r="AA7" i="25" s="1"/>
  <c r="BM42" i="26"/>
  <c r="BO42" i="26" s="1"/>
  <c r="BG47" i="26"/>
  <c r="BG46" i="26"/>
  <c r="BD50" i="26"/>
  <c r="T10" i="25" s="1"/>
  <c r="BD52" i="26"/>
  <c r="BD49" i="26"/>
  <c r="BD47" i="26"/>
  <c r="BD46" i="26"/>
  <c r="AZ50" i="26"/>
  <c r="T9" i="25" s="1"/>
  <c r="AB8" i="25" s="1"/>
  <c r="AZ49" i="26"/>
  <c r="AZ47" i="26"/>
  <c r="AZ46" i="26"/>
  <c r="AY50" i="26"/>
  <c r="AY49" i="26"/>
  <c r="AY47" i="26"/>
  <c r="AY46" i="26"/>
  <c r="AV50" i="26"/>
  <c r="AU50" i="26"/>
  <c r="T6" i="25" s="1"/>
  <c r="AV49" i="26"/>
  <c r="AU49" i="26"/>
  <c r="AV47" i="26"/>
  <c r="AU47" i="26"/>
  <c r="AV46" i="26"/>
  <c r="AU46" i="26"/>
  <c r="AR50" i="26"/>
  <c r="T7" i="25" s="1"/>
  <c r="AB6" i="25" s="1"/>
  <c r="AR49" i="26"/>
  <c r="AR47" i="26"/>
  <c r="AR46" i="26"/>
  <c r="AQ50" i="26"/>
  <c r="AQ49" i="26"/>
  <c r="AQ47" i="26"/>
  <c r="AQ46" i="26"/>
  <c r="AB5" i="25" l="1"/>
  <c r="BM41" i="26"/>
  <c r="BO41" i="26" s="1"/>
  <c r="BO47" i="26" s="1"/>
  <c r="BH47" i="26"/>
  <c r="BH46" i="26"/>
  <c r="F40" i="33"/>
  <c r="F36" i="33"/>
  <c r="F32" i="33"/>
  <c r="F29" i="33"/>
  <c r="F28" i="33"/>
  <c r="F27" i="33"/>
  <c r="F24" i="33"/>
  <c r="F22" i="33"/>
  <c r="F20" i="33"/>
  <c r="F16" i="33"/>
  <c r="F9" i="33"/>
  <c r="F8" i="33"/>
  <c r="BO46" i="26" l="1"/>
  <c r="T55" i="25" s="1"/>
  <c r="BM46" i="26"/>
  <c r="BM50" i="26"/>
  <c r="T8" i="25" s="1"/>
  <c r="BM47" i="26"/>
  <c r="BM49" i="26"/>
  <c r="W38" i="25"/>
  <c r="AQ5" i="25"/>
  <c r="AQ6" i="25"/>
  <c r="AR6" i="25"/>
  <c r="AS6" i="25" s="1"/>
  <c r="AQ7" i="25"/>
  <c r="AQ8" i="25"/>
  <c r="AR8" i="25"/>
  <c r="AS8" i="25" s="1"/>
  <c r="AB7" i="25" l="1"/>
  <c r="C5" i="34"/>
  <c r="T54" i="25"/>
  <c r="T56" i="25" s="1"/>
  <c r="C32" i="34" s="1"/>
  <c r="AQ13" i="25"/>
  <c r="V13" i="25" s="1"/>
  <c r="F25" i="33" s="1"/>
  <c r="X20" i="25"/>
  <c r="X21" i="25"/>
  <c r="X22" i="25"/>
  <c r="X23" i="25"/>
  <c r="X24" i="25"/>
  <c r="X25" i="25"/>
  <c r="X18" i="25"/>
  <c r="V28" i="25"/>
  <c r="U28" i="25"/>
  <c r="T28" i="25"/>
  <c r="I14" i="18"/>
  <c r="AR10" i="25" s="1"/>
  <c r="AS10" i="25" s="1"/>
  <c r="M72" i="25" l="1"/>
  <c r="AC28" i="25"/>
  <c r="AF28" i="25"/>
  <c r="I11" i="18"/>
  <c r="I10" i="18"/>
  <c r="AR7" i="25" s="1"/>
  <c r="AS7" i="25" s="1"/>
  <c r="I8" i="18"/>
  <c r="AR5" i="25" s="1"/>
  <c r="L45" i="34" l="1"/>
  <c r="T45" i="34"/>
  <c r="H45" i="34"/>
  <c r="AS5" i="25"/>
  <c r="AS13" i="25" s="1"/>
  <c r="AR13" i="25"/>
  <c r="W10" i="25"/>
  <c r="X10" i="25" l="1"/>
  <c r="F38" i="33" s="1"/>
  <c r="W11" i="25"/>
  <c r="W13" i="25"/>
  <c r="F33" i="33" s="1"/>
  <c r="X13" i="25"/>
  <c r="F41" i="33" s="1"/>
  <c r="F30" i="33"/>
  <c r="V9" i="25"/>
  <c r="F21" i="33" s="1"/>
  <c r="V7" i="25"/>
  <c r="F19" i="33" s="1"/>
  <c r="V6" i="25"/>
  <c r="F18" i="33" l="1"/>
  <c r="V11" i="25"/>
  <c r="F23" i="33" s="1"/>
  <c r="X11" i="25"/>
  <c r="AE10" i="25" s="1"/>
  <c r="W41" i="26"/>
  <c r="J41" i="26"/>
  <c r="AG41" i="26" s="1"/>
  <c r="W40" i="26"/>
  <c r="J40" i="26"/>
  <c r="AG40" i="26" s="1"/>
  <c r="W39" i="26"/>
  <c r="J39" i="26"/>
  <c r="AG39" i="26" s="1"/>
  <c r="W38" i="26"/>
  <c r="J38" i="26"/>
  <c r="AG38" i="26" s="1"/>
  <c r="W37" i="26"/>
  <c r="J37" i="26"/>
  <c r="AG37" i="26" s="1"/>
  <c r="W36" i="26"/>
  <c r="J36" i="26"/>
  <c r="AG36" i="26" s="1"/>
  <c r="W35" i="26"/>
  <c r="J35" i="26"/>
  <c r="AG35" i="26" s="1"/>
  <c r="W34" i="26"/>
  <c r="J34" i="26"/>
  <c r="AG34" i="26" s="1"/>
  <c r="W33" i="26"/>
  <c r="J33" i="26"/>
  <c r="AG33" i="26" s="1"/>
  <c r="W32" i="26"/>
  <c r="J32" i="26"/>
  <c r="AG32" i="26" s="1"/>
  <c r="W31" i="26"/>
  <c r="J31" i="26"/>
  <c r="AG31" i="26" s="1"/>
  <c r="W30" i="26"/>
  <c r="J30" i="26"/>
  <c r="AG30" i="26" s="1"/>
  <c r="W29" i="26"/>
  <c r="J29" i="26"/>
  <c r="AG29" i="26" s="1"/>
  <c r="W28" i="26"/>
  <c r="J28" i="26"/>
  <c r="AG28" i="26" s="1"/>
  <c r="W27" i="26"/>
  <c r="J27" i="26"/>
  <c r="AG27" i="26" s="1"/>
  <c r="W26" i="26"/>
  <c r="J26" i="26"/>
  <c r="AG26" i="26" s="1"/>
  <c r="W25" i="26"/>
  <c r="J25" i="26"/>
  <c r="AG25" i="26" s="1"/>
  <c r="J24" i="26"/>
  <c r="J23" i="26"/>
  <c r="J22" i="26"/>
  <c r="J21" i="26"/>
  <c r="J20" i="26"/>
  <c r="T53" i="25"/>
  <c r="V14" i="25" l="1"/>
  <c r="AA9" i="25"/>
  <c r="AB9" i="25" s="1"/>
  <c r="AA10" i="25"/>
  <c r="AG46" i="26"/>
  <c r="D13" i="34" s="1"/>
  <c r="Q46" i="26"/>
  <c r="T50" i="25" s="1"/>
  <c r="T52" i="25" s="1"/>
  <c r="C35" i="34" s="1"/>
  <c r="W46" i="26"/>
  <c r="V46" i="26"/>
  <c r="F44" i="19" s="1"/>
  <c r="U46" i="26"/>
  <c r="P46" i="26"/>
  <c r="O46" i="26"/>
  <c r="N46" i="26"/>
  <c r="M46" i="26"/>
  <c r="L46" i="26"/>
  <c r="K46" i="26"/>
  <c r="J46" i="26"/>
  <c r="C40" i="34" s="1"/>
  <c r="I46" i="26"/>
  <c r="H46" i="26"/>
  <c r="G46" i="26"/>
  <c r="F42" i="19" s="1"/>
  <c r="F46" i="26"/>
  <c r="D46" i="26"/>
  <c r="C14" i="34" s="1"/>
  <c r="C34" i="34" l="1"/>
  <c r="C7" i="34"/>
  <c r="X36" i="25"/>
  <c r="W13" i="34"/>
  <c r="K13" i="34"/>
  <c r="D40" i="34"/>
  <c r="O13" i="34"/>
  <c r="S13" i="34"/>
  <c r="E13" i="34"/>
  <c r="F13" i="34" s="1"/>
  <c r="F12" i="34" s="1"/>
  <c r="F10" i="34" s="1"/>
  <c r="F9" i="34" s="1"/>
  <c r="F7" i="34" s="1"/>
  <c r="F6" i="34" s="1"/>
  <c r="T46" i="25"/>
  <c r="T48" i="25" s="1"/>
  <c r="C38" i="34" s="1"/>
  <c r="C11" i="34"/>
  <c r="C37" i="34"/>
  <c r="F43" i="19"/>
  <c r="T51" i="25"/>
  <c r="C8" i="34" s="1"/>
  <c r="X35" i="25"/>
  <c r="C13" i="34"/>
  <c r="C10" i="34"/>
  <c r="F41" i="19"/>
  <c r="P49" i="26"/>
  <c r="X34" i="25"/>
  <c r="F37" i="33"/>
  <c r="E40" i="34" l="1"/>
  <c r="F40" i="34" s="1"/>
  <c r="F39" i="34" s="1"/>
  <c r="F37" i="34" s="1"/>
  <c r="F36" i="34" s="1"/>
  <c r="F34" i="34" s="1"/>
  <c r="F33" i="34" s="1"/>
  <c r="O40" i="34"/>
  <c r="S40" i="34"/>
  <c r="K40" i="34"/>
  <c r="W40" i="34"/>
  <c r="T47" i="25"/>
  <c r="I41" i="19"/>
  <c r="I42" i="19"/>
  <c r="I44" i="19"/>
  <c r="I43" i="19"/>
  <c r="G43" i="19"/>
  <c r="E43" i="19" s="1"/>
  <c r="G42" i="19"/>
  <c r="E42" i="19" s="1"/>
  <c r="G44" i="19"/>
  <c r="E44" i="19" s="1"/>
  <c r="F31" i="33"/>
  <c r="F26" i="33"/>
  <c r="C34" i="32"/>
  <c r="C29" i="32"/>
  <c r="C28" i="32"/>
  <c r="C27" i="32"/>
  <c r="E10" i="32"/>
  <c r="K10" i="32" s="1"/>
  <c r="E9" i="32"/>
  <c r="I9" i="32" s="1"/>
  <c r="E8" i="32"/>
  <c r="K8" i="32" s="1"/>
  <c r="E7" i="32"/>
  <c r="K7" i="32" s="1"/>
  <c r="E6" i="32"/>
  <c r="K6" i="32" s="1"/>
  <c r="E5" i="32"/>
  <c r="J5" i="32" s="1"/>
  <c r="D4" i="32"/>
  <c r="E4" i="32" s="1"/>
  <c r="J90" i="31"/>
  <c r="I90" i="31"/>
  <c r="H90" i="31"/>
  <c r="G90" i="31"/>
  <c r="F90" i="31"/>
  <c r="E90" i="31"/>
  <c r="D90" i="31"/>
  <c r="C90" i="31"/>
  <c r="K89" i="31"/>
  <c r="K88" i="31"/>
  <c r="K87" i="31"/>
  <c r="K86" i="31"/>
  <c r="K85" i="31"/>
  <c r="K84" i="31"/>
  <c r="K83" i="31"/>
  <c r="K82" i="31"/>
  <c r="K81" i="31"/>
  <c r="K80" i="31"/>
  <c r="H48" i="31"/>
  <c r="H62" i="31" s="1"/>
  <c r="G48" i="31"/>
  <c r="G62" i="31" s="1"/>
  <c r="F48" i="31"/>
  <c r="F62" i="31" s="1"/>
  <c r="H47" i="31"/>
  <c r="H61" i="31" s="1"/>
  <c r="G47" i="31"/>
  <c r="G61" i="31" s="1"/>
  <c r="F47" i="31"/>
  <c r="F61" i="31" s="1"/>
  <c r="H46" i="31"/>
  <c r="H60" i="31" s="1"/>
  <c r="G46" i="31"/>
  <c r="G60" i="31" s="1"/>
  <c r="F46" i="31"/>
  <c r="F60" i="31" s="1"/>
  <c r="H45" i="31"/>
  <c r="H59" i="31" s="1"/>
  <c r="G45" i="31"/>
  <c r="G59" i="31" s="1"/>
  <c r="F45" i="31"/>
  <c r="F59" i="31" s="1"/>
  <c r="H44" i="31"/>
  <c r="H58" i="31" s="1"/>
  <c r="G44" i="31"/>
  <c r="G58" i="31" s="1"/>
  <c r="F44" i="31"/>
  <c r="F58" i="31" s="1"/>
  <c r="H43" i="31"/>
  <c r="H57" i="31" s="1"/>
  <c r="G43" i="31"/>
  <c r="G57" i="31" s="1"/>
  <c r="F43" i="31"/>
  <c r="F57" i="31" s="1"/>
  <c r="H42" i="31"/>
  <c r="H56" i="31" s="1"/>
  <c r="G42" i="31"/>
  <c r="G56" i="31" s="1"/>
  <c r="F42" i="31"/>
  <c r="F56" i="31" s="1"/>
  <c r="H41" i="31"/>
  <c r="H55" i="31" s="1"/>
  <c r="G41" i="31"/>
  <c r="G55" i="31" s="1"/>
  <c r="F41" i="31"/>
  <c r="F55" i="31" s="1"/>
  <c r="H40" i="31"/>
  <c r="H54" i="31" s="1"/>
  <c r="G40" i="31"/>
  <c r="G54" i="31" s="1"/>
  <c r="F40" i="31"/>
  <c r="F54" i="31" s="1"/>
  <c r="H39" i="31"/>
  <c r="H53" i="31" s="1"/>
  <c r="G39" i="31"/>
  <c r="G53" i="31" s="1"/>
  <c r="F39" i="31"/>
  <c r="F53" i="31" s="1"/>
  <c r="B35" i="31"/>
  <c r="B30" i="31"/>
  <c r="D48" i="31" s="1"/>
  <c r="D62" i="31" s="1"/>
  <c r="B29" i="31"/>
  <c r="C48" i="31" s="1"/>
  <c r="C62" i="31" s="1"/>
  <c r="B89" i="31" s="1"/>
  <c r="B28" i="31"/>
  <c r="B24" i="31"/>
  <c r="D33" i="31" s="1"/>
  <c r="E49" i="19" l="1"/>
  <c r="E47" i="19"/>
  <c r="H44" i="19"/>
  <c r="G10" i="32"/>
  <c r="H8" i="32"/>
  <c r="H10" i="32"/>
  <c r="J8" i="32"/>
  <c r="I10" i="32"/>
  <c r="F63" i="31"/>
  <c r="B71" i="31" s="1"/>
  <c r="K5" i="32"/>
  <c r="G8" i="32"/>
  <c r="W14" i="25"/>
  <c r="F9" i="32"/>
  <c r="K90" i="31"/>
  <c r="G9" i="32"/>
  <c r="K9" i="32"/>
  <c r="J9" i="32"/>
  <c r="C39" i="31"/>
  <c r="C40" i="31"/>
  <c r="C54" i="31" s="1"/>
  <c r="B81" i="31" s="1"/>
  <c r="J96" i="31" s="1"/>
  <c r="C41" i="31"/>
  <c r="C55" i="31" s="1"/>
  <c r="B82" i="31" s="1"/>
  <c r="J97" i="31" s="1"/>
  <c r="C42" i="31"/>
  <c r="C56" i="31" s="1"/>
  <c r="B83" i="31" s="1"/>
  <c r="C43" i="31"/>
  <c r="C57" i="31" s="1"/>
  <c r="B84" i="31" s="1"/>
  <c r="C44" i="31"/>
  <c r="C58" i="31" s="1"/>
  <c r="B85" i="31" s="1"/>
  <c r="I100" i="31" s="1"/>
  <c r="C45" i="31"/>
  <c r="C59" i="31" s="1"/>
  <c r="B86" i="31" s="1"/>
  <c r="C101" i="31" s="1"/>
  <c r="C46" i="31"/>
  <c r="C60" i="31" s="1"/>
  <c r="B87" i="31" s="1"/>
  <c r="C47" i="31"/>
  <c r="C61" i="31" s="1"/>
  <c r="B88" i="31" s="1"/>
  <c r="E103" i="31" s="1"/>
  <c r="I8" i="32"/>
  <c r="H9" i="32"/>
  <c r="F10" i="32"/>
  <c r="J10" i="32"/>
  <c r="F8" i="32"/>
  <c r="I4" i="32"/>
  <c r="F4" i="32"/>
  <c r="K4" i="32"/>
  <c r="J4" i="32"/>
  <c r="H4" i="32"/>
  <c r="G4" i="32"/>
  <c r="E11" i="32"/>
  <c r="E12" i="32" s="1"/>
  <c r="F7" i="32"/>
  <c r="G7" i="32"/>
  <c r="F5" i="32"/>
  <c r="H7" i="32"/>
  <c r="G5" i="32"/>
  <c r="H6" i="32"/>
  <c r="I7" i="32"/>
  <c r="H5" i="32"/>
  <c r="I6" i="32"/>
  <c r="J7" i="32"/>
  <c r="I5" i="32"/>
  <c r="J6" i="32"/>
  <c r="F6" i="32"/>
  <c r="G6" i="32"/>
  <c r="F71" i="31"/>
  <c r="E71" i="31"/>
  <c r="D71" i="31"/>
  <c r="C71" i="31"/>
  <c r="B48" i="31"/>
  <c r="B47" i="31"/>
  <c r="B46" i="31"/>
  <c r="B45" i="31"/>
  <c r="B44" i="31"/>
  <c r="B43" i="31"/>
  <c r="B42" i="31"/>
  <c r="B41" i="31"/>
  <c r="B40" i="31"/>
  <c r="B39" i="31"/>
  <c r="H98" i="31"/>
  <c r="F98" i="31"/>
  <c r="D98" i="31"/>
  <c r="E98" i="31"/>
  <c r="J98" i="31"/>
  <c r="I98" i="31"/>
  <c r="G98" i="31"/>
  <c r="C98" i="31"/>
  <c r="B98" i="31"/>
  <c r="G63" i="31"/>
  <c r="B72" i="31" s="1"/>
  <c r="C53" i="31"/>
  <c r="F49" i="31"/>
  <c r="G49" i="31"/>
  <c r="F103" i="31"/>
  <c r="D103" i="31"/>
  <c r="B103" i="31"/>
  <c r="C103" i="31"/>
  <c r="J103" i="31"/>
  <c r="I103" i="31"/>
  <c r="G103" i="31"/>
  <c r="H103" i="31"/>
  <c r="D28" i="31"/>
  <c r="D104" i="31"/>
  <c r="J104" i="31"/>
  <c r="B104" i="31"/>
  <c r="H104" i="31"/>
  <c r="G104" i="31"/>
  <c r="I104" i="31"/>
  <c r="D30" i="31"/>
  <c r="C104" i="31"/>
  <c r="D32" i="31"/>
  <c r="H63" i="31"/>
  <c r="B73" i="31" s="1"/>
  <c r="B102" i="31"/>
  <c r="E104" i="31"/>
  <c r="F104" i="31"/>
  <c r="H102" i="31"/>
  <c r="F102" i="31"/>
  <c r="E102" i="31"/>
  <c r="D102" i="31"/>
  <c r="C102" i="31"/>
  <c r="D31" i="31"/>
  <c r="D29" i="31"/>
  <c r="D34" i="31"/>
  <c r="F99" i="31"/>
  <c r="D99" i="31"/>
  <c r="J99" i="31"/>
  <c r="C99" i="31"/>
  <c r="B99" i="31"/>
  <c r="I102" i="31"/>
  <c r="H49" i="31"/>
  <c r="D39" i="31"/>
  <c r="D40" i="31"/>
  <c r="D54" i="31" s="1"/>
  <c r="D41" i="31"/>
  <c r="D55" i="31" s="1"/>
  <c r="D42" i="31"/>
  <c r="D56" i="31" s="1"/>
  <c r="D43" i="31"/>
  <c r="D57" i="31" s="1"/>
  <c r="D44" i="31"/>
  <c r="D58" i="31" s="1"/>
  <c r="D45" i="31"/>
  <c r="D59" i="31" s="1"/>
  <c r="D46" i="31"/>
  <c r="D60" i="31" s="1"/>
  <c r="D47" i="31"/>
  <c r="D61" i="31" s="1"/>
  <c r="I96" i="31" l="1"/>
  <c r="E100" i="31"/>
  <c r="D96" i="31"/>
  <c r="F96" i="31"/>
  <c r="B100" i="31"/>
  <c r="H96" i="31"/>
  <c r="F100" i="31"/>
  <c r="J100" i="31"/>
  <c r="B96" i="31"/>
  <c r="G100" i="31"/>
  <c r="D100" i="31"/>
  <c r="C100" i="31"/>
  <c r="H100" i="31"/>
  <c r="D101" i="31"/>
  <c r="F101" i="31"/>
  <c r="G97" i="31"/>
  <c r="I101" i="31"/>
  <c r="H101" i="31"/>
  <c r="E97" i="31"/>
  <c r="C97" i="31"/>
  <c r="H97" i="31"/>
  <c r="G96" i="31"/>
  <c r="E96" i="31"/>
  <c r="C96" i="31"/>
  <c r="K96" i="31" s="1"/>
  <c r="E101" i="31"/>
  <c r="B101" i="31"/>
  <c r="C49" i="31"/>
  <c r="D97" i="31"/>
  <c r="B97" i="31"/>
  <c r="I99" i="31"/>
  <c r="E99" i="31"/>
  <c r="G99" i="31"/>
  <c r="H99" i="31"/>
  <c r="I97" i="31"/>
  <c r="G101" i="31"/>
  <c r="J101" i="31"/>
  <c r="F97" i="31"/>
  <c r="G102" i="31"/>
  <c r="J102" i="31"/>
  <c r="G11" i="32"/>
  <c r="G12" i="32" s="1"/>
  <c r="H11" i="32"/>
  <c r="H12" i="32"/>
  <c r="F11" i="32"/>
  <c r="F12" i="32" s="1"/>
  <c r="J11" i="32"/>
  <c r="J12" i="32" s="1"/>
  <c r="K11" i="32"/>
  <c r="K12" i="32"/>
  <c r="I11" i="32"/>
  <c r="I12" i="32" s="1"/>
  <c r="C72" i="31"/>
  <c r="F72" i="31"/>
  <c r="E72" i="31"/>
  <c r="D72" i="31"/>
  <c r="K98" i="31"/>
  <c r="B54" i="31"/>
  <c r="E54" i="31" s="1"/>
  <c r="I54" i="31" s="1"/>
  <c r="E40" i="31"/>
  <c r="I40" i="31" s="1"/>
  <c r="B62" i="31"/>
  <c r="E62" i="31" s="1"/>
  <c r="I62" i="31" s="1"/>
  <c r="E48" i="31"/>
  <c r="I48" i="31" s="1"/>
  <c r="D53" i="31"/>
  <c r="D63" i="31" s="1"/>
  <c r="B69" i="31" s="1"/>
  <c r="D49" i="31"/>
  <c r="F73" i="31"/>
  <c r="D73" i="31"/>
  <c r="C73" i="31"/>
  <c r="E73" i="31"/>
  <c r="B55" i="31"/>
  <c r="E55" i="31" s="1"/>
  <c r="I55" i="31" s="1"/>
  <c r="E41" i="31"/>
  <c r="I41" i="31" s="1"/>
  <c r="B60" i="31"/>
  <c r="E60" i="31" s="1"/>
  <c r="I60" i="31" s="1"/>
  <c r="E46" i="31"/>
  <c r="I46" i="31" s="1"/>
  <c r="B53" i="31"/>
  <c r="B49" i="31"/>
  <c r="E39" i="31"/>
  <c r="B56" i="31"/>
  <c r="E56" i="31" s="1"/>
  <c r="I56" i="31" s="1"/>
  <c r="E42" i="31"/>
  <c r="I42" i="31" s="1"/>
  <c r="D35" i="31"/>
  <c r="K104" i="31"/>
  <c r="B80" i="31"/>
  <c r="C63" i="31"/>
  <c r="B68" i="31" s="1"/>
  <c r="B57" i="31"/>
  <c r="E57" i="31" s="1"/>
  <c r="I57" i="31" s="1"/>
  <c r="E43" i="31"/>
  <c r="I43" i="31" s="1"/>
  <c r="B59" i="31"/>
  <c r="E59" i="31" s="1"/>
  <c r="I59" i="31" s="1"/>
  <c r="E45" i="31"/>
  <c r="I45" i="31" s="1"/>
  <c r="B61" i="31"/>
  <c r="E61" i="31" s="1"/>
  <c r="I61" i="31" s="1"/>
  <c r="E47" i="31"/>
  <c r="I47" i="31" s="1"/>
  <c r="K103" i="31"/>
  <c r="K102" i="31"/>
  <c r="B58" i="31"/>
  <c r="E58" i="31" s="1"/>
  <c r="I58" i="31" s="1"/>
  <c r="E44" i="31"/>
  <c r="I44" i="31" s="1"/>
  <c r="K100" i="31" l="1"/>
  <c r="K99" i="31"/>
  <c r="K101" i="31"/>
  <c r="K97" i="31"/>
  <c r="C20" i="32"/>
  <c r="C17" i="32"/>
  <c r="C22" i="32"/>
  <c r="C18" i="32"/>
  <c r="C19" i="32"/>
  <c r="C16" i="32"/>
  <c r="C21" i="32"/>
  <c r="F19" i="32"/>
  <c r="F22" i="32"/>
  <c r="F18" i="32"/>
  <c r="F20" i="32"/>
  <c r="F16" i="32"/>
  <c r="F21" i="32"/>
  <c r="F17" i="32"/>
  <c r="E21" i="32"/>
  <c r="E17" i="32"/>
  <c r="E22" i="32"/>
  <c r="E18" i="32"/>
  <c r="E19" i="32"/>
  <c r="E20" i="32"/>
  <c r="E16" i="32"/>
  <c r="G18" i="32"/>
  <c r="G19" i="32"/>
  <c r="G20" i="32"/>
  <c r="G16" i="32"/>
  <c r="G21" i="32"/>
  <c r="G17" i="32"/>
  <c r="G22" i="32"/>
  <c r="H20" i="32"/>
  <c r="H16" i="32"/>
  <c r="H22" i="32"/>
  <c r="H19" i="32"/>
  <c r="H21" i="32"/>
  <c r="H17" i="32"/>
  <c r="H18" i="32"/>
  <c r="D22" i="32"/>
  <c r="AH37" i="25" s="1"/>
  <c r="D18" i="32"/>
  <c r="D17" i="32"/>
  <c r="D19" i="32"/>
  <c r="AG37" i="25" s="1"/>
  <c r="D20" i="32"/>
  <c r="D16" i="32"/>
  <c r="D21" i="32"/>
  <c r="I39" i="31"/>
  <c r="E49" i="31"/>
  <c r="I49" i="31" s="1"/>
  <c r="E68" i="31"/>
  <c r="C68" i="31"/>
  <c r="D68" i="31"/>
  <c r="F68" i="31"/>
  <c r="B63" i="31"/>
  <c r="B67" i="31" s="1"/>
  <c r="E53" i="31"/>
  <c r="F95" i="31"/>
  <c r="F105" i="31" s="1"/>
  <c r="C113" i="31" s="1"/>
  <c r="D95" i="31"/>
  <c r="D105" i="31" s="1"/>
  <c r="C111" i="31" s="1"/>
  <c r="B95" i="31"/>
  <c r="B105" i="31" s="1"/>
  <c r="C95" i="31"/>
  <c r="J95" i="31"/>
  <c r="J105" i="31" s="1"/>
  <c r="H95" i="31"/>
  <c r="H105" i="31" s="1"/>
  <c r="C116" i="31" s="1"/>
  <c r="B90" i="31"/>
  <c r="G95" i="31"/>
  <c r="G105" i="31" s="1"/>
  <c r="C114" i="31" s="1"/>
  <c r="E95" i="31"/>
  <c r="E105" i="31" s="1"/>
  <c r="C112" i="31" s="1"/>
  <c r="I95" i="31"/>
  <c r="I105" i="31" s="1"/>
  <c r="F69" i="31"/>
  <c r="E69" i="31"/>
  <c r="C69" i="31"/>
  <c r="D69" i="31"/>
  <c r="W28" i="25" l="1"/>
  <c r="AF37" i="25"/>
  <c r="I53" i="31"/>
  <c r="I63" i="31" s="1"/>
  <c r="E63" i="31"/>
  <c r="C117" i="31"/>
  <c r="G116" i="31"/>
  <c r="G117" i="31" s="1"/>
  <c r="F116" i="31"/>
  <c r="D116" i="31"/>
  <c r="D117" i="31" s="1"/>
  <c r="E116" i="31"/>
  <c r="E117" i="31" s="1"/>
  <c r="C122" i="31"/>
  <c r="C120" i="31"/>
  <c r="C119" i="31"/>
  <c r="C121" i="31"/>
  <c r="K95" i="31"/>
  <c r="C105" i="31"/>
  <c r="E114" i="31"/>
  <c r="D114" i="31"/>
  <c r="G114" i="31"/>
  <c r="F114" i="31"/>
  <c r="F12" i="18" s="1"/>
  <c r="AP9" i="25" s="1"/>
  <c r="D67" i="31"/>
  <c r="B70" i="31"/>
  <c r="C67" i="31"/>
  <c r="F67" i="31"/>
  <c r="E67" i="31"/>
  <c r="D111" i="31"/>
  <c r="C115" i="31"/>
  <c r="G111" i="31"/>
  <c r="F111" i="31"/>
  <c r="F9" i="18" s="1"/>
  <c r="AP6" i="25" s="1"/>
  <c r="E111" i="31"/>
  <c r="G112" i="31"/>
  <c r="E112" i="31"/>
  <c r="D112" i="31"/>
  <c r="F112" i="31"/>
  <c r="F10" i="18" s="1"/>
  <c r="AP7" i="25" s="1"/>
  <c r="G113" i="31"/>
  <c r="F113" i="31"/>
  <c r="F11" i="18" s="1"/>
  <c r="AP8" i="25" s="1"/>
  <c r="E113" i="31"/>
  <c r="D113" i="31"/>
  <c r="E115" i="31" l="1"/>
  <c r="E118" i="31" s="1"/>
  <c r="F117" i="31"/>
  <c r="F14" i="18"/>
  <c r="AP10" i="25" s="1"/>
  <c r="D115" i="31"/>
  <c r="D118" i="31" s="1"/>
  <c r="E122" i="31"/>
  <c r="D122" i="31"/>
  <c r="G122" i="31"/>
  <c r="F122" i="31"/>
  <c r="F19" i="18" s="1"/>
  <c r="U9" i="25" s="1"/>
  <c r="AE8" i="25" s="1"/>
  <c r="C110" i="31"/>
  <c r="K105" i="31"/>
  <c r="F118" i="31"/>
  <c r="E70" i="31"/>
  <c r="C70" i="31"/>
  <c r="B74" i="31"/>
  <c r="F70" i="31"/>
  <c r="D70" i="31"/>
  <c r="E121" i="31"/>
  <c r="G121" i="31"/>
  <c r="F121" i="31"/>
  <c r="D121" i="31"/>
  <c r="C118" i="31"/>
  <c r="F115" i="31"/>
  <c r="D119" i="31"/>
  <c r="G119" i="31"/>
  <c r="C123" i="31"/>
  <c r="C124" i="31" s="1"/>
  <c r="F119" i="31"/>
  <c r="E119" i="31"/>
  <c r="G115" i="31"/>
  <c r="G120" i="31"/>
  <c r="E120" i="31"/>
  <c r="D120" i="31"/>
  <c r="F120" i="31"/>
  <c r="G123" i="31" l="1"/>
  <c r="G110" i="31"/>
  <c r="E110" i="31"/>
  <c r="F110" i="31"/>
  <c r="F8" i="18" s="1"/>
  <c r="AP5" i="25" s="1"/>
  <c r="AP13" i="25" s="1"/>
  <c r="D110" i="31"/>
  <c r="D123" i="31"/>
  <c r="D124" i="31" s="1"/>
  <c r="F74" i="31"/>
  <c r="E74" i="31"/>
  <c r="D74" i="31"/>
  <c r="C74" i="31"/>
  <c r="F123" i="31"/>
  <c r="F124" i="31" s="1"/>
  <c r="G124" i="31"/>
  <c r="E123" i="31"/>
  <c r="E124" i="31" s="1"/>
  <c r="G118" i="31"/>
  <c r="U13" i="25" l="1"/>
  <c r="F17" i="33" s="1"/>
  <c r="F34" i="33"/>
  <c r="F35" i="33"/>
  <c r="E26" i="25"/>
  <c r="X14" i="25" l="1"/>
  <c r="E27" i="25" s="1"/>
  <c r="F39" i="33"/>
  <c r="AF36" i="25"/>
  <c r="AF35" i="25"/>
  <c r="AF33" i="25"/>
  <c r="AF32" i="25"/>
  <c r="AF31" i="25"/>
  <c r="AF30" i="25"/>
  <c r="AF29" i="25"/>
  <c r="AH38" i="25" l="1"/>
  <c r="AF64" i="25" s="1"/>
  <c r="AG38" i="25" s="1"/>
  <c r="AE64" i="25" s="1"/>
  <c r="AL58" i="25"/>
  <c r="AF38" i="25" l="1"/>
  <c r="AD64" i="25" s="1"/>
  <c r="AJ58" i="25"/>
  <c r="AK58" i="25"/>
  <c r="AI54" i="25"/>
  <c r="AE21" i="25" l="1"/>
  <c r="U10" i="25"/>
  <c r="U8" i="25"/>
  <c r="F12" i="33" s="1"/>
  <c r="AE18" i="25"/>
  <c r="AE17" i="25"/>
  <c r="AE19" i="25"/>
  <c r="F13" i="33"/>
  <c r="AE16" i="25"/>
  <c r="F16" i="18"/>
  <c r="F18" i="18"/>
  <c r="U6" i="25" l="1"/>
  <c r="U7" i="25"/>
  <c r="AE6" i="25" s="1"/>
  <c r="F14" i="33"/>
  <c r="AE9" i="25"/>
  <c r="F15" i="33"/>
  <c r="AE15" i="25"/>
  <c r="F10" i="33" l="1"/>
  <c r="AF11" i="25"/>
  <c r="F11" i="33"/>
  <c r="U14" i="25"/>
  <c r="E28" i="25" s="1"/>
  <c r="F6" i="33"/>
  <c r="AE7" i="25" l="1"/>
  <c r="AE5" i="25"/>
  <c r="E17" i="18"/>
  <c r="F4" i="33" l="1"/>
  <c r="F47" i="18"/>
  <c r="F46" i="18"/>
  <c r="E43" i="18"/>
  <c r="F39" i="18"/>
  <c r="F36" i="18"/>
  <c r="J39" i="18" l="1"/>
  <c r="T58" i="25" l="1"/>
  <c r="T60" i="25" s="1"/>
  <c r="T42" i="25"/>
  <c r="T59" i="25" l="1"/>
  <c r="C18" i="34" s="1"/>
  <c r="C48" i="34"/>
  <c r="T44" i="25"/>
  <c r="T43" i="25" l="1"/>
  <c r="AA62" i="25" s="1"/>
  <c r="C41" i="34"/>
  <c r="C46" i="34" s="1"/>
  <c r="AI48" i="25"/>
  <c r="R19" i="18"/>
  <c r="R18" i="18"/>
  <c r="R17" i="18"/>
  <c r="R16" i="18"/>
  <c r="F5" i="33"/>
  <c r="F3" i="33"/>
  <c r="F2" i="33"/>
  <c r="D15" i="34" l="1"/>
  <c r="D42" i="34" s="1"/>
  <c r="T37" i="25"/>
  <c r="T34" i="25"/>
  <c r="T36" i="25"/>
  <c r="T35" i="25"/>
  <c r="P46" i="34"/>
  <c r="P41" i="34" s="1"/>
  <c r="V44" i="25" s="1"/>
  <c r="X46" i="34"/>
  <c r="X41" i="34" s="1"/>
  <c r="X44" i="25" s="1"/>
  <c r="T46" i="34"/>
  <c r="T41" i="34" s="1"/>
  <c r="W44" i="25" s="1"/>
  <c r="AD34" i="25"/>
  <c r="AD32" i="25"/>
  <c r="C42" i="34" s="1"/>
  <c r="H41" i="34"/>
  <c r="E41" i="34"/>
  <c r="F32" i="34"/>
  <c r="H14" i="34"/>
  <c r="H12" i="34" s="1"/>
  <c r="F5" i="34"/>
  <c r="AI49" i="25"/>
  <c r="T19" i="18"/>
  <c r="T16" i="18"/>
  <c r="T18" i="18"/>
  <c r="AC42" i="25" l="1"/>
  <c r="W42" i="34"/>
  <c r="S42" i="34"/>
  <c r="T43" i="34" s="1"/>
  <c r="U42" i="34" s="1"/>
  <c r="O42" i="34"/>
  <c r="K42" i="34"/>
  <c r="T38" i="25"/>
  <c r="K15" i="34"/>
  <c r="O15" i="34"/>
  <c r="S15" i="34"/>
  <c r="W15" i="34"/>
  <c r="C16" i="34"/>
  <c r="H16" i="34" s="1"/>
  <c r="I15" i="34" s="1"/>
  <c r="X39" i="34"/>
  <c r="T39" i="34"/>
  <c r="U40" i="34" s="1"/>
  <c r="P39" i="34"/>
  <c r="C15" i="34"/>
  <c r="AD33" i="25"/>
  <c r="C43" i="34" s="1"/>
  <c r="H43" i="34" s="1"/>
  <c r="I42" i="34" s="1"/>
  <c r="H39" i="34"/>
  <c r="I40" i="34" s="1"/>
  <c r="I13" i="34"/>
  <c r="H11" i="34"/>
  <c r="AI51" i="25"/>
  <c r="AI58" i="25" s="1"/>
  <c r="AN50" i="25"/>
  <c r="S16" i="18"/>
  <c r="S19" i="18"/>
  <c r="S18" i="18"/>
  <c r="D12" i="19"/>
  <c r="D17" i="19"/>
  <c r="P43" i="34" l="1"/>
  <c r="Q42" i="34" s="1"/>
  <c r="X43" i="34"/>
  <c r="Y42" i="34" s="1"/>
  <c r="P38" i="34"/>
  <c r="X38" i="34"/>
  <c r="X48" i="25" s="1"/>
  <c r="Y40" i="34"/>
  <c r="Q40" i="34"/>
  <c r="T38" i="34"/>
  <c r="W48" i="25" s="1"/>
  <c r="AD35" i="25"/>
  <c r="AA34" i="25"/>
  <c r="AA36" i="25"/>
  <c r="AA35" i="25"/>
  <c r="X32" i="25"/>
  <c r="X33" i="25"/>
  <c r="AA33" i="25" s="1"/>
  <c r="H9" i="34"/>
  <c r="I10" i="34" s="1"/>
  <c r="I12" i="34"/>
  <c r="H38" i="34"/>
  <c r="AE23" i="25"/>
  <c r="D25" i="19"/>
  <c r="H16" i="20"/>
  <c r="H13" i="20"/>
  <c r="Y39" i="34" l="1"/>
  <c r="Q39" i="34"/>
  <c r="V48" i="25"/>
  <c r="X36" i="34"/>
  <c r="Y37" i="34" s="1"/>
  <c r="T36" i="34"/>
  <c r="T35" i="34" s="1"/>
  <c r="W52" i="25" s="1"/>
  <c r="U39" i="34"/>
  <c r="P36" i="34"/>
  <c r="P35" i="34" s="1"/>
  <c r="V52" i="25" s="1"/>
  <c r="AA42" i="25"/>
  <c r="AA32" i="25"/>
  <c r="AA38" i="25" s="1"/>
  <c r="X38" i="25"/>
  <c r="H36" i="34"/>
  <c r="I37" i="34" s="1"/>
  <c r="I39" i="34"/>
  <c r="H8" i="34"/>
  <c r="AJ59" i="25"/>
  <c r="AJ62" i="25" s="1"/>
  <c r="Q37" i="34" l="1"/>
  <c r="U37" i="34"/>
  <c r="X35" i="34"/>
  <c r="X52" i="25" s="1"/>
  <c r="Q36" i="34"/>
  <c r="P33" i="34"/>
  <c r="P32" i="34" s="1"/>
  <c r="V56" i="25" s="1"/>
  <c r="U36" i="34"/>
  <c r="T33" i="34"/>
  <c r="T32" i="34" s="1"/>
  <c r="W56" i="25" s="1"/>
  <c r="T62" i="25"/>
  <c r="T64" i="25" s="1"/>
  <c r="T63" i="25" s="1"/>
  <c r="E72" i="25"/>
  <c r="H6" i="34"/>
  <c r="I7" i="34" s="1"/>
  <c r="I18" i="34" s="1"/>
  <c r="I9" i="34"/>
  <c r="H35" i="34"/>
  <c r="H33" i="34" s="1"/>
  <c r="AK59" i="25"/>
  <c r="AK62" i="25" s="1"/>
  <c r="Y36" i="34" l="1"/>
  <c r="I19" i="34"/>
  <c r="I26" i="34"/>
  <c r="I27" i="34" s="1"/>
  <c r="Q33" i="34"/>
  <c r="Q50" i="34" s="1"/>
  <c r="Q51" i="34" s="1"/>
  <c r="X33" i="34"/>
  <c r="X32" i="34" s="1"/>
  <c r="X56" i="25" s="1"/>
  <c r="U33" i="34"/>
  <c r="U50" i="34" s="1"/>
  <c r="U51" i="34" s="1"/>
  <c r="U34" i="34"/>
  <c r="U48" i="34" s="1"/>
  <c r="Q34" i="34"/>
  <c r="Q48" i="34" s="1"/>
  <c r="I34" i="34"/>
  <c r="I48" i="34" s="1"/>
  <c r="H32" i="34"/>
  <c r="L32" i="34" s="1"/>
  <c r="L33" i="34" s="1"/>
  <c r="I36" i="34"/>
  <c r="H5" i="34"/>
  <c r="I49" i="34" l="1"/>
  <c r="I56" i="34"/>
  <c r="I57" i="34" s="1"/>
  <c r="V60" i="25"/>
  <c r="Q56" i="34"/>
  <c r="W60" i="25"/>
  <c r="U56" i="34"/>
  <c r="Y34" i="34"/>
  <c r="Y48" i="34" s="1"/>
  <c r="Q49" i="34"/>
  <c r="U49" i="34"/>
  <c r="Y33" i="34"/>
  <c r="Y50" i="34" s="1"/>
  <c r="Y51" i="34" s="1"/>
  <c r="I6" i="34"/>
  <c r="I20" i="34" s="1"/>
  <c r="I21" i="34" s="1"/>
  <c r="I33" i="34"/>
  <c r="I50" i="34" s="1"/>
  <c r="I51" i="34" s="1"/>
  <c r="M33" i="34"/>
  <c r="L35" i="34"/>
  <c r="L5" i="34"/>
  <c r="L6" i="34" s="1"/>
  <c r="W64" i="25" l="1"/>
  <c r="U57" i="34"/>
  <c r="V64" i="25"/>
  <c r="Q57" i="34"/>
  <c r="X60" i="25"/>
  <c r="Y56" i="34"/>
  <c r="Y49" i="34"/>
  <c r="M6" i="34"/>
  <c r="L8" i="34"/>
  <c r="M34" i="34"/>
  <c r="L36" i="34"/>
  <c r="Y57" i="34" l="1"/>
  <c r="X64" i="25"/>
  <c r="M36" i="34"/>
  <c r="L38" i="34"/>
  <c r="L9" i="34"/>
  <c r="M7" i="34"/>
  <c r="M14" i="18"/>
  <c r="E21" i="18"/>
  <c r="T11" i="25" l="1"/>
  <c r="T14" i="25" s="1"/>
  <c r="M9" i="34"/>
  <c r="L11" i="34"/>
  <c r="M37" i="34"/>
  <c r="L39" i="34"/>
  <c r="F7" i="33" l="1"/>
  <c r="AB10" i="25"/>
  <c r="AB14" i="25" s="1"/>
  <c r="AC14" i="25"/>
  <c r="AE11" i="25"/>
  <c r="AG11" i="25" s="1"/>
  <c r="T5" i="34"/>
  <c r="W55" i="25" s="1"/>
  <c r="P5" i="34"/>
  <c r="V55" i="25" s="1"/>
  <c r="X5" i="34"/>
  <c r="X55" i="25" s="1"/>
  <c r="M39" i="34"/>
  <c r="M50" i="34" s="1"/>
  <c r="L41" i="34"/>
  <c r="M10" i="34"/>
  <c r="L12" i="34"/>
  <c r="E24" i="25"/>
  <c r="E25" i="25"/>
  <c r="AA14" i="25" l="1"/>
  <c r="M40" i="34"/>
  <c r="M48" i="34" s="1"/>
  <c r="M49" i="34" s="1"/>
  <c r="L43" i="34"/>
  <c r="M42" i="34" s="1"/>
  <c r="X6" i="34"/>
  <c r="X54" i="25"/>
  <c r="X57" i="25" s="1"/>
  <c r="P6" i="34"/>
  <c r="V54" i="25"/>
  <c r="V57" i="25" s="1"/>
  <c r="T6" i="34"/>
  <c r="W54" i="25"/>
  <c r="W57" i="25" s="1"/>
  <c r="M51" i="34"/>
  <c r="L14" i="34"/>
  <c r="M12" i="34"/>
  <c r="M20" i="34" s="1"/>
  <c r="F22" i="18"/>
  <c r="M56" i="34" l="1"/>
  <c r="M57" i="34" s="1"/>
  <c r="Q6" i="34"/>
  <c r="P8" i="34"/>
  <c r="V51" i="25" s="1"/>
  <c r="U6" i="34"/>
  <c r="T8" i="34"/>
  <c r="W51" i="25" s="1"/>
  <c r="X8" i="34"/>
  <c r="X51" i="25" s="1"/>
  <c r="Y6" i="34"/>
  <c r="M13" i="34"/>
  <c r="M18" i="34" s="1"/>
  <c r="L16" i="34"/>
  <c r="M15" i="34" s="1"/>
  <c r="M21" i="34"/>
  <c r="F23" i="18"/>
  <c r="W50" i="25" l="1"/>
  <c r="W53" i="25" s="1"/>
  <c r="T9" i="34"/>
  <c r="U7" i="34"/>
  <c r="M19" i="34"/>
  <c r="M26" i="34"/>
  <c r="M27" i="34" s="1"/>
  <c r="V50" i="25"/>
  <c r="V53" i="25" s="1"/>
  <c r="Q7" i="34"/>
  <c r="P9" i="34"/>
  <c r="X50" i="25"/>
  <c r="X53" i="25" s="1"/>
  <c r="Y7" i="34"/>
  <c r="X9" i="34"/>
  <c r="L11" i="19"/>
  <c r="L8" i="19"/>
  <c r="Q9" i="34" l="1"/>
  <c r="P11" i="34"/>
  <c r="V47" i="25" s="1"/>
  <c r="T11" i="34"/>
  <c r="W47" i="25" s="1"/>
  <c r="U9" i="34"/>
  <c r="X11" i="34"/>
  <c r="X47" i="25" s="1"/>
  <c r="Y9" i="34"/>
  <c r="W46" i="25" l="1"/>
  <c r="W49" i="25" s="1"/>
  <c r="U10" i="34"/>
  <c r="T12" i="34"/>
  <c r="V46" i="25"/>
  <c r="V49" i="25" s="1"/>
  <c r="Q10" i="34"/>
  <c r="P12" i="34"/>
  <c r="X46" i="25"/>
  <c r="X49" i="25" s="1"/>
  <c r="X12" i="34"/>
  <c r="Y10" i="34"/>
  <c r="U12" i="34" l="1"/>
  <c r="U20" i="34" s="1"/>
  <c r="T14" i="34"/>
  <c r="W43" i="25" s="1"/>
  <c r="Q12" i="34"/>
  <c r="Q20" i="34" s="1"/>
  <c r="P14" i="34"/>
  <c r="V43" i="25" s="1"/>
  <c r="X14" i="34"/>
  <c r="X43" i="25" s="1"/>
  <c r="Y12" i="34"/>
  <c r="Y20" i="34" s="1"/>
  <c r="Y21" i="34" l="1"/>
  <c r="Q21" i="34"/>
  <c r="V42" i="25"/>
  <c r="V45" i="25" s="1"/>
  <c r="Q13" i="34"/>
  <c r="Q18" i="34" s="1"/>
  <c r="V59" i="25" s="1"/>
  <c r="P16" i="34"/>
  <c r="Q15" i="34" s="1"/>
  <c r="T16" i="34"/>
  <c r="U15" i="34" s="1"/>
  <c r="W42" i="25"/>
  <c r="W45" i="25" s="1"/>
  <c r="U13" i="34"/>
  <c r="U18" i="34" s="1"/>
  <c r="W59" i="25" s="1"/>
  <c r="Y13" i="34"/>
  <c r="Y18" i="34" s="1"/>
  <c r="X59" i="25" s="1"/>
  <c r="X16" i="34"/>
  <c r="Y15" i="34" s="1"/>
  <c r="X42" i="25"/>
  <c r="X45" i="25" s="1"/>
  <c r="U21" i="34"/>
  <c r="U26" i="34" l="1"/>
  <c r="W63" i="25" s="1"/>
  <c r="U19" i="34"/>
  <c r="W58" i="25"/>
  <c r="W61" i="25" s="1"/>
  <c r="Q26" i="34"/>
  <c r="V63" i="25" s="1"/>
  <c r="V58" i="25"/>
  <c r="V61" i="25" s="1"/>
  <c r="Q19" i="34"/>
  <c r="Y26" i="34"/>
  <c r="X63" i="25" s="1"/>
  <c r="X58" i="25"/>
  <c r="Y19" i="34"/>
  <c r="X61" i="25" l="1"/>
  <c r="Y34" i="25"/>
  <c r="Y27" i="34"/>
  <c r="X62" i="25"/>
  <c r="Y32" i="25" s="1"/>
  <c r="Q27" i="34"/>
  <c r="V62" i="25"/>
  <c r="V65" i="25" s="1"/>
  <c r="U27" i="34"/>
  <c r="W62" i="25"/>
  <c r="W65" i="25" s="1"/>
  <c r="Y38" i="25" l="1"/>
  <c r="X65"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Conor Giorgi</author>
    <author>xxx</author>
    <author>Casey Baldwin</author>
  </authors>
  <commentList>
    <comment ref="AQ4" authorId="0" shapeId="0" xr:uid="{00000000-0006-0000-0000-000016000000}">
      <text>
        <r>
          <rPr>
            <b/>
            <sz val="9"/>
            <color indexed="81"/>
            <rFont val="Tahoma"/>
            <family val="2"/>
          </rPr>
          <t>Conor Giorgi:</t>
        </r>
        <r>
          <rPr>
            <sz val="9"/>
            <color indexed="81"/>
            <rFont val="Tahoma"/>
            <family val="2"/>
          </rPr>
          <t xml:space="preserve">
Unlisted stocks = MINIMUM ABUNDANCE THRESHOLD  
Listed stocks = DELISTING ABUNDANCE</t>
        </r>
      </text>
    </comment>
    <comment ref="AR4" authorId="0" shapeId="0" xr:uid="{00000000-0006-0000-0000-000017000000}">
      <text>
        <r>
          <rPr>
            <b/>
            <sz val="9"/>
            <color indexed="81"/>
            <rFont val="Tahoma"/>
            <family val="2"/>
          </rPr>
          <t>Conor Giorgi:</t>
        </r>
        <r>
          <rPr>
            <sz val="9"/>
            <color indexed="81"/>
            <rFont val="Tahoma"/>
            <family val="2"/>
          </rPr>
          <t xml:space="preserve">
ESCAPEMENT GOALS/CURRENT SPAWNING HABITAT CAPACITY</t>
        </r>
      </text>
    </comment>
    <comment ref="AS4" authorId="0" shapeId="0" xr:uid="{00000000-0006-0000-0000-000018000000}">
      <text>
        <r>
          <rPr>
            <b/>
            <sz val="9"/>
            <color indexed="81"/>
            <rFont val="Tahoma"/>
            <family val="2"/>
          </rPr>
          <t>Conor Giorgi:</t>
        </r>
        <r>
          <rPr>
            <sz val="9"/>
            <color indexed="81"/>
            <rFont val="Tahoma"/>
            <family val="2"/>
          </rPr>
          <t xml:space="preserve">
MULTIPLIER OF SPAWNING HABITAT CAPACITY to reflect improvements to ecosystem and/or operations</t>
        </r>
      </text>
    </comment>
    <comment ref="AR8" authorId="1" shapeId="0" xr:uid="{00000000-0006-0000-0000-000019000000}">
      <text>
        <r>
          <rPr>
            <b/>
            <sz val="9"/>
            <color indexed="81"/>
            <rFont val="Tahoma"/>
            <family val="2"/>
          </rPr>
          <t>based off spawning gravel assessment of existing habitatusing Hanford reach model</t>
        </r>
      </text>
    </comment>
    <comment ref="AR10" authorId="0" shapeId="0" xr:uid="{00000000-0006-0000-0000-00001C000000}">
      <text>
        <r>
          <rPr>
            <b/>
            <sz val="9"/>
            <color indexed="81"/>
            <rFont val="Tahoma"/>
            <family val="2"/>
          </rPr>
          <t>Conor Giorgi:</t>
        </r>
        <r>
          <rPr>
            <sz val="9"/>
            <color indexed="81"/>
            <rFont val="Tahoma"/>
            <family val="2"/>
          </rPr>
          <t xml:space="preserve">
Current equilib abund from STI EDT report for all subpopulations within Spokane Subbasin under BiOp passage scenario.  Removed 765, which is 50% of summer/fall chinook modeled for the mainstem spokane assessment unit because these were assigned to fall Chinook.</t>
        </r>
      </text>
    </comment>
    <comment ref="AB28" authorId="1" shapeId="0" xr:uid="{65F0E370-24DA-49D7-BF5B-2366B406E0A3}">
      <text>
        <r>
          <rPr>
            <b/>
            <sz val="9"/>
            <color indexed="81"/>
            <rFont val="Tahoma"/>
            <family val="2"/>
          </rPr>
          <t>guess</t>
        </r>
      </text>
    </comment>
    <comment ref="AC28" authorId="1" shapeId="0" xr:uid="{602A93DB-CE0B-408D-BCAF-F48C403799F4}">
      <text>
        <r>
          <rPr>
            <b/>
            <sz val="9"/>
            <color indexed="81"/>
            <rFont val="Tahoma"/>
            <family val="2"/>
          </rPr>
          <t>60% seems reasonable based on these numbers</t>
        </r>
      </text>
    </comment>
    <comment ref="AC33" authorId="1" shapeId="0" xr:uid="{24F16DE0-7789-4D7E-8792-C172FD0BDF21}">
      <text>
        <r>
          <rPr>
            <b/>
            <sz val="9"/>
            <color indexed="81"/>
            <rFont val="Tahoma"/>
            <family val="2"/>
          </rPr>
          <t>CR equivalents</t>
        </r>
      </text>
    </comment>
    <comment ref="AF46" authorId="2" shapeId="0" xr:uid="{00000000-0006-0000-0000-000015000000}">
      <text>
        <r>
          <rPr>
            <b/>
            <sz val="9"/>
            <color indexed="81"/>
            <rFont val="Tahoma"/>
            <family val="2"/>
          </rPr>
          <t>Casey Baldwin:</t>
        </r>
        <r>
          <rPr>
            <sz val="9"/>
            <color indexed="81"/>
            <rFont val="Tahoma"/>
            <family val="2"/>
          </rPr>
          <t xml:space="preserve">
This was 'total', but it makes more sense to show hatchery and natural separate then the total at the bottom</t>
        </r>
      </text>
    </comment>
    <comment ref="AL51" authorId="2" shapeId="0" xr:uid="{00000000-0006-0000-0000-00001A000000}">
      <text>
        <r>
          <rPr>
            <b/>
            <sz val="9"/>
            <color indexed="81"/>
            <rFont val="Tahoma"/>
            <family val="2"/>
          </rPr>
          <t>UC workgroup:</t>
        </r>
        <r>
          <rPr>
            <sz val="9"/>
            <color indexed="81"/>
            <rFont val="Tahoma"/>
            <family val="2"/>
          </rPr>
          <t xml:space="preserve">
This stock has a high harvest rate and its not biologically feasible to expect a sustainable run with a higher harvest rate, except perhaps on hatchery fish with MSF and terminal fishery extractions once broodstock and spawn escapement are obtained </t>
        </r>
      </text>
    </comment>
    <comment ref="AH52" authorId="2" shapeId="0" xr:uid="{00000000-0006-0000-0000-00001B000000}">
      <text>
        <r>
          <rPr>
            <b/>
            <sz val="9"/>
            <color indexed="81"/>
            <rFont val="Tahoma"/>
            <family val="2"/>
          </rPr>
          <t>UC workgroup:</t>
        </r>
        <r>
          <rPr>
            <sz val="9"/>
            <color indexed="81"/>
            <rFont val="Tahoma"/>
            <family val="2"/>
          </rPr>
          <t xml:space="preserve">
existing agreements are a rate, so a number cant really be generated without holding a bunch of life history assumptions constant</t>
        </r>
      </text>
    </comment>
    <comment ref="AI55" authorId="2" shapeId="0" xr:uid="{00000000-0006-0000-0000-00001D000000}">
      <text>
        <r>
          <rPr>
            <b/>
            <sz val="9"/>
            <color indexed="81"/>
            <rFont val="Tahoma"/>
            <family val="2"/>
          </rPr>
          <t>UC workgroup:</t>
        </r>
        <r>
          <rPr>
            <sz val="9"/>
            <color indexed="81"/>
            <rFont val="Tahoma"/>
            <family val="2"/>
          </rPr>
          <t xml:space="preserve">
US ocean sport fishery is MSF during most of summer Chinook period, would be good to know what the actual harvest rates are on wild and hatchery including estimates of catch and release mortality in the MSF</t>
        </r>
      </text>
    </comment>
    <comment ref="AI56" authorId="2" shapeId="0" xr:uid="{00000000-0006-0000-0000-00001E000000}">
      <text>
        <r>
          <rPr>
            <b/>
            <sz val="9"/>
            <color indexed="81"/>
            <rFont val="Tahoma"/>
            <family val="2"/>
          </rPr>
          <t>UC workgroup:</t>
        </r>
        <r>
          <rPr>
            <sz val="9"/>
            <color indexed="81"/>
            <rFont val="Tahoma"/>
            <family val="2"/>
          </rPr>
          <t xml:space="preserve">
the rate on natural fish should be less in the freshwater than on hatchery due to MSF by sport fishermen and CCT. Its not clear if the 22.3% is a combined rate on natural and hatchery.  Its about 7% above Wells Dam, not sure about the L. Col.
Seems like a lower harvest rate on natural origin fish makes a lot of sense for achieving and maintaining  a sustainable run.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AK2" authorId="0" shapeId="0" xr:uid="{A89EF13E-2A17-42A6-B5A6-8F2745A125BD}">
      <text>
        <r>
          <rPr>
            <b/>
            <sz val="9"/>
            <color indexed="81"/>
            <rFont val="Tahoma"/>
            <family val="2"/>
          </rPr>
          <t>http://dashboard.yakamafish-star.net/DataQuery/TotalReturnsDash</t>
        </r>
        <r>
          <rPr>
            <sz val="9"/>
            <color indexed="81"/>
            <rFont val="Tahoma"/>
            <family val="2"/>
          </rPr>
          <t xml:space="preserve">
</t>
        </r>
      </text>
    </comment>
    <comment ref="AQ3" authorId="0" shapeId="0" xr:uid="{857956F1-1DBF-476C-A9E5-F8C57A4BBE98}">
      <text>
        <r>
          <rPr>
            <b/>
            <sz val="9"/>
            <color indexed="81"/>
            <rFont val="Tahoma"/>
            <family val="2"/>
          </rPr>
          <t>https://www.grantpud.org/templates/galaxy/images/images/Downloads/ResourceCommittees/OtherDocuments/2017_Final_Annual_Report_with_Appendices.pdf</t>
        </r>
      </text>
    </comment>
    <comment ref="AU3" authorId="0" shapeId="0" xr:uid="{7260608A-FF05-4427-926F-5BC4DF97AF2C}">
      <text>
        <r>
          <rPr>
            <b/>
            <sz val="9"/>
            <color indexed="81"/>
            <rFont val="Tahoma"/>
            <family val="2"/>
          </rPr>
          <t>Table 9.30 in Hillman et al, 2017</t>
        </r>
      </text>
    </comment>
    <comment ref="K4" authorId="0" shapeId="0" xr:uid="{B4488F44-29A0-4DD5-B27D-478C2A41FFEA}">
      <text>
        <r>
          <rPr>
            <b/>
            <sz val="9"/>
            <color indexed="81"/>
            <rFont val="Tahoma"/>
            <family val="2"/>
          </rPr>
          <t>note these are less than total BON summer Chinook counts (no jacks here, maybe some Snake fish?)</t>
        </r>
      </text>
    </comment>
    <comment ref="N4" authorId="0" shapeId="0" xr:uid="{B695953C-D9CF-4BC1-9041-9480DF5EF626}">
      <text>
        <r>
          <rPr>
            <b/>
            <sz val="9"/>
            <color indexed="81"/>
            <rFont val="Tahoma"/>
            <family val="2"/>
          </rPr>
          <t>does not correct for dam loss conversion</t>
        </r>
      </text>
    </comment>
    <comment ref="Q4" authorId="0" shapeId="0" xr:uid="{3BF6CEE3-A2DE-4281-8CC3-A90C35108F19}">
      <text>
        <r>
          <rPr>
            <b/>
            <sz val="9"/>
            <color indexed="81"/>
            <rFont val="Tahoma"/>
            <family val="2"/>
          </rPr>
          <t>This is TAC calculation: does not current for dam loss conversion</t>
        </r>
      </text>
    </comment>
    <comment ref="R4" authorId="0" shapeId="0" xr:uid="{67308069-3F0E-4A78-92A5-F7BEBBF98ABC}">
      <text>
        <r>
          <rPr>
            <b/>
            <sz val="9"/>
            <color indexed="81"/>
            <rFont val="Tahoma"/>
            <family val="2"/>
          </rPr>
          <t>adults</t>
        </r>
      </text>
    </comment>
    <comment ref="AK4" authorId="0" shapeId="0" xr:uid="{79FE015A-6B1C-48A1-932F-4AECBF1277B7}">
      <text>
        <r>
          <rPr>
            <b/>
            <sz val="9"/>
            <color indexed="81"/>
            <rFont val="Tahoma"/>
            <family val="2"/>
          </rPr>
          <t>these are numbers on summary grapg which don't appear to match daily dam count totals</t>
        </r>
      </text>
    </comment>
    <comment ref="AQ4" authorId="0" shapeId="0" xr:uid="{D09F1ECD-F72B-4B33-AA61-81D014368A39}">
      <text>
        <r>
          <rPr>
            <b/>
            <sz val="9"/>
            <color indexed="81"/>
            <rFont val="Tahoma"/>
            <family val="2"/>
          </rPr>
          <t>table 10.9 in Hillman et al. 2017</t>
        </r>
      </text>
    </comment>
    <comment ref="AY4" authorId="0" shapeId="0" xr:uid="{263C6091-799E-4832-86C7-FE04F09D87E0}">
      <text>
        <r>
          <rPr>
            <b/>
            <sz val="9"/>
            <color indexed="81"/>
            <rFont val="Tahoma"/>
            <family val="2"/>
          </rPr>
          <t>table 10.9 in Hillman et al. 2017</t>
        </r>
      </text>
    </comment>
    <comment ref="AZ4" authorId="0" shapeId="0" xr:uid="{04A77A64-5241-4F2E-8E23-1BE6DC836181}">
      <text>
        <r>
          <rPr>
            <b/>
            <sz val="9"/>
            <color indexed="81"/>
            <rFont val="Tahoma"/>
            <family val="2"/>
          </rPr>
          <t>table 10.18 in Hillman et al. 2017 through 2012</t>
        </r>
      </text>
    </comment>
    <comment ref="BD4" authorId="0" shapeId="0" xr:uid="{8247EF98-84E5-4464-9CBA-7DAF768F7C6F}">
      <text>
        <r>
          <rPr>
            <b/>
            <sz val="9"/>
            <color indexed="81"/>
            <rFont val="Tahoma"/>
            <family val="2"/>
          </rPr>
          <t>table 11.21 in Hillman et al. 2017</t>
        </r>
      </text>
    </comment>
    <comment ref="BG4" authorId="0" shapeId="0" xr:uid="{933BBA2C-6B19-409E-A3E4-4C7BC439A8C7}">
      <text>
        <r>
          <rPr>
            <b/>
            <sz val="9"/>
            <color indexed="81"/>
            <rFont val="Tahoma"/>
            <family val="2"/>
          </rPr>
          <t>source: Conor Giorgi</t>
        </r>
      </text>
    </comment>
    <comment ref="BH4" authorId="0" shapeId="0" xr:uid="{DBF3251C-5367-4092-8EAC-42B45F35C3CC}">
      <text>
        <r>
          <rPr>
            <b/>
            <sz val="9"/>
            <color indexed="81"/>
            <rFont val="Tahoma"/>
            <family val="2"/>
          </rPr>
          <t>source: Conor Giorgi</t>
        </r>
      </text>
    </comment>
    <comment ref="BI4" authorId="0" shapeId="0" xr:uid="{9DC3FC61-81C1-49FA-A22A-F8EAE86351C7}">
      <text>
        <r>
          <rPr>
            <b/>
            <sz val="9"/>
            <color indexed="81"/>
            <rFont val="Tahoma"/>
            <family val="2"/>
          </rPr>
          <t>source: Conor Giorgi</t>
        </r>
      </text>
    </comment>
    <comment ref="D5" authorId="0" shapeId="0" xr:uid="{D471CE5B-BAAA-45ED-B2F5-4821372E1145}">
      <text>
        <r>
          <rPr>
            <b/>
            <sz val="9"/>
            <color indexed="81"/>
            <rFont val="Tahoma"/>
            <family val="2"/>
          </rPr>
          <t>approximate (since older data is adults &amp; jacks - not clear whether what is now upper Columbia matches what used to be upriver</t>
        </r>
      </text>
    </comment>
    <comment ref="D6" authorId="0" shapeId="0" xr:uid="{C1138A37-7A3B-4703-BF60-FBEB9208A174}">
      <text>
        <r>
          <rPr>
            <b/>
            <sz val="9"/>
            <color indexed="81"/>
            <rFont val="Tahoma"/>
            <family val="2"/>
          </rPr>
          <t>approximate (since older data is adults &amp; jacks - not clear whether what is now upper Columbia matches what used to be upriver</t>
        </r>
      </text>
    </comment>
    <comment ref="D7" authorId="0" shapeId="0" xr:uid="{876D0536-BD81-407C-84D9-AD159E8C3FF0}">
      <text>
        <r>
          <rPr>
            <b/>
            <sz val="9"/>
            <color indexed="81"/>
            <rFont val="Tahoma"/>
            <family val="2"/>
          </rPr>
          <t>approximate (since older data is adults &amp; jacks - not clear whether what is now upper Columbia matches what used to be upriver</t>
        </r>
      </text>
    </comment>
    <comment ref="D8" authorId="0" shapeId="0" xr:uid="{931415D6-9B01-4B41-AB0C-AFDF51D12B7A}">
      <text>
        <r>
          <rPr>
            <b/>
            <sz val="9"/>
            <color indexed="81"/>
            <rFont val="Tahoma"/>
            <family val="2"/>
          </rPr>
          <t>approximate (since older data is adults &amp; jacks - not clear whether what is now upper Columbia matches what used to be upriver</t>
        </r>
      </text>
    </comment>
    <comment ref="D9" authorId="0" shapeId="0" xr:uid="{BF0376E6-B427-44FA-99DA-5A2F6920A050}">
      <text>
        <r>
          <rPr>
            <b/>
            <sz val="9"/>
            <color indexed="81"/>
            <rFont val="Tahoma"/>
            <family val="2"/>
          </rPr>
          <t>approximate (since older data is adults &amp; jacks - not clear whether what is now upper Columbia matches what used to be upriver</t>
        </r>
      </text>
    </comment>
    <comment ref="D10" authorId="0" shapeId="0" xr:uid="{FBD13A2D-584A-4403-A4FD-858A883F5B9D}">
      <text>
        <r>
          <rPr>
            <b/>
            <sz val="9"/>
            <color indexed="81"/>
            <rFont val="Tahoma"/>
            <family val="2"/>
          </rPr>
          <t>approximate (since older data is adults &amp; jacks - not clear whether what is now upper Columbia matches what used to be upriver</t>
        </r>
      </text>
    </comment>
    <comment ref="D11" authorId="0" shapeId="0" xr:uid="{1DBE1FA3-3366-44F4-8388-CFF896E6CD61}">
      <text>
        <r>
          <rPr>
            <b/>
            <sz val="9"/>
            <color indexed="81"/>
            <rFont val="Tahoma"/>
            <family val="2"/>
          </rPr>
          <t>approximate (since older data is adults &amp; jacks - not clear whether what is now upper Columbia matches what used to be upriver</t>
        </r>
      </text>
    </comment>
    <comment ref="D12" authorId="0" shapeId="0" xr:uid="{4B872B39-CEE1-4650-B01A-192D9CD62336}">
      <text>
        <r>
          <rPr>
            <b/>
            <sz val="9"/>
            <color indexed="81"/>
            <rFont val="Tahoma"/>
            <family val="2"/>
          </rPr>
          <t>approximate (since older data is adults &amp; jacks - not clear whether what is now upper Columbia matches what used to be upriver</t>
        </r>
      </text>
    </comment>
    <comment ref="D13" authorId="0" shapeId="0" xr:uid="{6F75E18B-C434-4569-88D2-03C25FE8670E}">
      <text>
        <r>
          <rPr>
            <b/>
            <sz val="9"/>
            <color indexed="81"/>
            <rFont val="Tahoma"/>
            <family val="2"/>
          </rPr>
          <t>approximate (since older data is adults &amp; jacks - not clear whether what is now upper Columbia matches what used to be upriver</t>
        </r>
      </text>
    </comment>
    <comment ref="D14" authorId="0" shapeId="0" xr:uid="{0B07D7A4-4D0F-443A-99D0-422D23BB4BB5}">
      <text>
        <r>
          <rPr>
            <b/>
            <sz val="9"/>
            <color indexed="81"/>
            <rFont val="Tahoma"/>
            <family val="2"/>
          </rPr>
          <t>approximate (since older data is adults &amp; jacks - not clear whether what is now upper Columbia matches what used to be upriver</t>
        </r>
      </text>
    </comment>
    <comment ref="D15" authorId="0" shapeId="0" xr:uid="{5CD685A5-F5CC-4CB9-ADBD-B67738C941DC}">
      <text>
        <r>
          <rPr>
            <b/>
            <sz val="9"/>
            <color indexed="81"/>
            <rFont val="Tahoma"/>
            <family val="2"/>
          </rPr>
          <t>approximate (since older data is adults &amp; jacks - not clear whether what is now upper Columbia matches what used to be upriver</t>
        </r>
      </text>
    </comment>
    <comment ref="D16" authorId="0" shapeId="0" xr:uid="{6B33F2F4-A994-47E8-9FA0-B2943C6BD5E0}">
      <text>
        <r>
          <rPr>
            <b/>
            <sz val="9"/>
            <color indexed="81"/>
            <rFont val="Tahoma"/>
            <family val="2"/>
          </rPr>
          <t>approximate (since older data is adults &amp; jacks - not clear whether what is now upper Columbia matches what used to be upriver</t>
        </r>
      </text>
    </comment>
    <comment ref="D17" authorId="0" shapeId="0" xr:uid="{2BD89F73-E84F-4D67-A401-7A80FBEA1D8A}">
      <text>
        <r>
          <rPr>
            <b/>
            <sz val="9"/>
            <color indexed="81"/>
            <rFont val="Tahoma"/>
            <family val="2"/>
          </rPr>
          <t>approximate (since older data is adults &amp; jacks - not clear whether what is now upper Columbia matches what used to be upriver</t>
        </r>
      </text>
    </comment>
    <comment ref="D18" authorId="0" shapeId="0" xr:uid="{3113E858-0BDD-4065-84C7-5C49CF619F60}">
      <text>
        <r>
          <rPr>
            <b/>
            <sz val="9"/>
            <color indexed="81"/>
            <rFont val="Tahoma"/>
            <family val="2"/>
          </rPr>
          <t>approximate (since older data is adults &amp; jacks - not clear whether what is now upper Columbia matches what used to be upriver</t>
        </r>
      </text>
    </comment>
    <comment ref="D19" authorId="0" shapeId="0" xr:uid="{7FBCE9C8-1CAC-487E-8E48-9C57C5C9B62F}">
      <text>
        <r>
          <rPr>
            <b/>
            <sz val="9"/>
            <color indexed="81"/>
            <rFont val="Tahoma"/>
            <family val="2"/>
          </rPr>
          <t>approximate (since older data is adults &amp; jacks - not clear whether what is now upper Columbia matches what used to be upriver</t>
        </r>
      </text>
    </comment>
    <comment ref="C27" authorId="0" shapeId="0" xr:uid="{FC5E0299-A08E-43F2-822F-D5C636C47B59}">
      <text>
        <r>
          <rPr>
            <b/>
            <sz val="9"/>
            <color indexed="81"/>
            <rFont val="Tahoma"/>
            <family val="2"/>
          </rPr>
          <t>jacks include here back</t>
        </r>
      </text>
    </comment>
    <comment ref="BI30" authorId="0" shapeId="0" xr:uid="{F307ACA0-A34D-4388-9073-685B3F75FC8F}">
      <text>
        <r>
          <rPr>
            <b/>
            <sz val="9"/>
            <color indexed="81"/>
            <rFont val="Tahoma"/>
            <family val="2"/>
          </rPr>
          <t>this was original info from Conor Giorgi as per 2016 report. Redd expansions appear were previously x2.4 but in 2017 were recalculated with a sex ratio formula - all years were corrected</t>
        </r>
      </text>
    </comment>
    <comment ref="BG37" authorId="0" shapeId="0" xr:uid="{4BC77CD1-8359-4913-B0C6-964D78F22E55}">
      <text>
        <r>
          <rPr>
            <b/>
            <sz val="9"/>
            <color indexed="81"/>
            <rFont val="Tahoma"/>
            <family val="2"/>
          </rPr>
          <t>based on 2.4 fish per redd</t>
        </r>
      </text>
    </comment>
    <comment ref="AZ38" authorId="0" shapeId="0" xr:uid="{39E7CC48-A6E4-425A-9EBF-263590C69323}">
      <text>
        <r>
          <rPr>
            <b/>
            <sz val="9"/>
            <color indexed="81"/>
            <rFont val="Tahoma"/>
            <family val="2"/>
          </rPr>
          <t>colville tribes from 2013-present: https://static1.squarespace.com/static/56f45574d51cd42551248613/t/5b70edaf575d1febd102deb3/1534127541467/2017+Okanogan+Adult+Fish+Pilot+Weir+Report_final.pdf based on weir counts</t>
        </r>
      </text>
    </comment>
    <comment ref="BG39" authorId="0" shapeId="0" xr:uid="{6406DD40-FC1C-43C8-8A72-1415F6265429}">
      <text>
        <r>
          <rPr>
            <b/>
            <sz val="9"/>
            <color indexed="81"/>
            <rFont val="Tahoma"/>
            <family val="2"/>
          </rPr>
          <t>corrected from 559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T2" authorId="0" shapeId="0" xr:uid="{F0581047-C1A8-412A-9C36-B964659E4F1F}">
      <text>
        <r>
          <rPr>
            <b/>
            <sz val="9"/>
            <color indexed="81"/>
            <rFont val="Tahoma"/>
            <family val="2"/>
          </rPr>
          <t>assume similar to current</t>
        </r>
        <r>
          <rPr>
            <sz val="9"/>
            <color indexed="81"/>
            <rFont val="Tahoma"/>
            <family val="2"/>
          </rPr>
          <t xml:space="preserve">
</t>
        </r>
      </text>
    </comment>
    <comment ref="D6" authorId="0" shapeId="0" xr:uid="{01CDAE7A-84BF-42A4-8429-7125E40DC1A9}">
      <text>
        <r>
          <rPr>
            <b/>
            <sz val="9"/>
            <color indexed="81"/>
            <rFont val="Tahoma"/>
            <family val="2"/>
          </rPr>
          <t>solved to match actual</t>
        </r>
      </text>
    </comment>
    <comment ref="D9" authorId="0" shapeId="0" xr:uid="{F83DE870-47BE-475B-8265-E775F9CD21CF}">
      <text>
        <r>
          <rPr>
            <b/>
            <sz val="9"/>
            <color indexed="81"/>
            <rFont val="Tahoma"/>
            <family val="2"/>
          </rPr>
          <t>solved to match actual. Note that this not actual conversion because PRD estimates were derived rather than actual counts (since we have not adult/jack splits for PRD</t>
        </r>
      </text>
    </comment>
    <comment ref="D12" authorId="0" shapeId="0" xr:uid="{F31C76D4-6E6D-460D-9C89-61D7FF2EE3C6}">
      <text>
        <r>
          <rPr>
            <b/>
            <sz val="9"/>
            <color indexed="81"/>
            <rFont val="Tahoma"/>
            <family val="2"/>
          </rPr>
          <t>Based on pinniped predation. Note that TAC CR mouth redturn and exploitation rates do not include a coversion for this</t>
        </r>
      </text>
    </comment>
    <comment ref="K12" authorId="0" shapeId="0" xr:uid="{18810735-D891-447F-8211-E66E54842DBD}">
      <text>
        <r>
          <rPr>
            <b/>
            <sz val="9"/>
            <color indexed="81"/>
            <rFont val="Tahoma"/>
            <family val="2"/>
          </rPr>
          <t>Based on pinniped predation. Note that TAC CR mouth redturn and exploitation rates do not include a coversion for this</t>
        </r>
      </text>
    </comment>
    <comment ref="K39" authorId="0" shapeId="0" xr:uid="{FAF1D67F-80EE-47C5-9E61-1A0DAC553253}">
      <text>
        <r>
          <rPr>
            <b/>
            <sz val="9"/>
            <color indexed="81"/>
            <rFont val="Tahoma"/>
            <family val="2"/>
          </rPr>
          <t>Based on pinniped predation. Note that TAC CR mouth redturn and exploitation rates do not include a coversion for this</t>
        </r>
      </text>
    </comment>
    <comment ref="X45" authorId="0" shapeId="0" xr:uid="{F3B207A8-C669-4648-83DA-A1E6E408869D}">
      <text>
        <r>
          <rPr>
            <b/>
            <sz val="9"/>
            <color indexed="81"/>
            <rFont val="Tahoma"/>
            <family val="2"/>
          </rPr>
          <t>mid point of identified high end range (increase driven by blocked areas)</t>
        </r>
      </text>
    </comment>
    <comment ref="C46" authorId="0" shapeId="0" xr:uid="{7356F705-639D-4B6C-B3A7-BD063EE532FD}">
      <text>
        <r>
          <rPr>
            <b/>
            <sz val="9"/>
            <color indexed="81"/>
            <rFont val="Tahoma"/>
            <family val="2"/>
          </rPr>
          <t>looks low</t>
        </r>
      </text>
    </comment>
    <comment ref="P46" authorId="0" shapeId="0" xr:uid="{0228E2FE-7D0A-49AE-8D9A-DEFEA799292E}">
      <text>
        <r>
          <rPr>
            <b/>
            <sz val="9"/>
            <color indexed="81"/>
            <rFont val="Tahoma"/>
            <family val="2"/>
          </rPr>
          <t>assume higher hatchery returns as Okanagon comes fully on line</t>
        </r>
      </text>
    </comment>
    <comment ref="T46" authorId="0" shapeId="0" xr:uid="{96665E7B-3C39-4586-A483-D035BA4169EC}">
      <text>
        <r>
          <rPr>
            <b/>
            <sz val="9"/>
            <color indexed="81"/>
            <rFont val="Tahoma"/>
            <family val="2"/>
          </rPr>
          <t>assume higher hatchery returns as Okanagon comes fully on line</t>
        </r>
      </text>
    </comment>
    <comment ref="X46" authorId="0" shapeId="0" xr:uid="{7EE7D812-E4BB-4ABD-BD57-ACF29FCB6C89}">
      <text>
        <r>
          <rPr>
            <b/>
            <sz val="9"/>
            <color indexed="81"/>
            <rFont val="Tahoma"/>
            <family val="2"/>
          </rPr>
          <t>assume higher hatchery returns as Okanagon comes fully on line</t>
        </r>
      </text>
    </comment>
    <comment ref="Q49" authorId="0" shapeId="0" xr:uid="{BCBF174C-0756-4B45-B2F5-A307E412711B}">
      <text>
        <r>
          <rPr>
            <b/>
            <sz val="9"/>
            <color indexed="81"/>
            <rFont val="Tahoma"/>
            <family val="2"/>
          </rPr>
          <t>assume no change in ER until after recovery goal achieved (continue to be limited by natural impacts)</t>
        </r>
      </text>
    </comment>
    <comment ref="U49" authorId="0" shapeId="0" xr:uid="{305143BC-5A74-4890-BC14-C74005405FFA}">
      <text>
        <r>
          <rPr>
            <b/>
            <sz val="9"/>
            <color indexed="81"/>
            <rFont val="Tahoma"/>
            <family val="2"/>
          </rPr>
          <t>assume about halfway between low and high values (in this case just used the same scalar as the wild</t>
        </r>
      </text>
    </comment>
    <comment ref="Y49" authorId="0" shapeId="0" xr:uid="{BE84B89E-5385-493E-A745-653189307FFB}">
      <text>
        <r>
          <rPr>
            <b/>
            <sz val="9"/>
            <color indexed="81"/>
            <rFont val="Tahoma"/>
            <family val="2"/>
          </rPr>
          <t>assume able to achieve 70% target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Conor Giorgi</author>
    <author>Casey Baldwin</author>
  </authors>
  <commentList>
    <comment ref="A12" authorId="0" shapeId="0" xr:uid="{00000000-0006-0000-0100-000001000000}">
      <text>
        <r>
          <rPr>
            <b/>
            <sz val="9"/>
            <color indexed="81"/>
            <rFont val="Tahoma"/>
            <family val="2"/>
          </rPr>
          <t>Conor Giorgi:</t>
        </r>
        <r>
          <rPr>
            <sz val="9"/>
            <color indexed="81"/>
            <rFont val="Tahoma"/>
            <family val="2"/>
          </rPr>
          <t xml:space="preserve">
Walker's 1985 estimates attributed higher populations for the tribes and higher per capita consumption rates, which were based upon historical catch records and ethnographic data.
</t>
        </r>
      </text>
    </comment>
    <comment ref="A48" authorId="1" shapeId="0" xr:uid="{00000000-0006-0000-0100-000002000000}">
      <text>
        <r>
          <rPr>
            <b/>
            <sz val="9"/>
            <color indexed="81"/>
            <rFont val="Tahoma"/>
            <family val="2"/>
          </rPr>
          <t>Casey Baldwin:</t>
        </r>
        <r>
          <rPr>
            <sz val="9"/>
            <color indexed="81"/>
            <rFont val="Tahoma"/>
            <family val="2"/>
          </rPr>
          <t xml:space="preserve">
this row was incorrectly using the yakima harvest in the previous version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Conor Giorgi</author>
  </authors>
  <commentList>
    <comment ref="C11" authorId="0" shapeId="0" xr:uid="{00000000-0006-0000-0200-000001000000}">
      <text>
        <r>
          <rPr>
            <b/>
            <sz val="9"/>
            <color indexed="81"/>
            <rFont val="Tahoma"/>
            <family val="2"/>
          </rPr>
          <t xml:space="preserve">Casey Baldwin:
</t>
        </r>
        <r>
          <rPr>
            <sz val="9"/>
            <color indexed="81"/>
            <rFont val="Tahoma"/>
            <family val="2"/>
          </rPr>
          <t>will depend on harvest allocation agreements, for now Assume 50% (treaty non-treaty) of 50% (upriver downriver) of 50% (blocked area sharing) = 12.5%</t>
        </r>
        <r>
          <rPr>
            <sz val="9"/>
            <color indexed="81"/>
            <rFont val="Tahoma"/>
            <family val="2"/>
          </rPr>
          <t xml:space="preserve">
</t>
        </r>
      </text>
    </comment>
    <comment ref="C30" authorId="0" shapeId="0" xr:uid="{00000000-0006-0000-0200-000002000000}">
      <text>
        <r>
          <rPr>
            <b/>
            <sz val="9"/>
            <color indexed="81"/>
            <rFont val="Tahoma"/>
            <family val="2"/>
          </rPr>
          <t>Conor Giorgi:</t>
        </r>
        <r>
          <rPr>
            <sz val="9"/>
            <color indexed="81"/>
            <rFont val="Tahoma"/>
            <family val="2"/>
          </rPr>
          <t xml:space="preserve">
Original value provided in Scholz et al. 1985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Conor Giorgi</author>
    <author>Casey Baldwin</author>
  </authors>
  <commentList>
    <comment ref="F7" authorId="0" shapeId="0" xr:uid="{00000000-0006-0000-0300-000001000000}">
      <text>
        <r>
          <rPr>
            <b/>
            <sz val="9"/>
            <color indexed="81"/>
            <rFont val="Tahoma"/>
            <family val="2"/>
          </rPr>
          <t>Conor Giorgi:</t>
        </r>
        <r>
          <rPr>
            <sz val="9"/>
            <color indexed="81"/>
            <rFont val="Tahoma"/>
            <family val="2"/>
          </rPr>
          <t xml:space="preserve">
Historic abundance estimates were calculated using data derived from Scholz et al. 1985.</t>
        </r>
      </text>
    </comment>
    <comment ref="J7" authorId="0" shapeId="0" xr:uid="{00000000-0006-0000-0300-000002000000}">
      <text>
        <r>
          <rPr>
            <b/>
            <sz val="9"/>
            <color indexed="81"/>
            <rFont val="Tahoma"/>
            <family val="2"/>
          </rPr>
          <t>Conor Giorgi:</t>
        </r>
        <r>
          <rPr>
            <sz val="9"/>
            <color indexed="81"/>
            <rFont val="Tahoma"/>
            <family val="2"/>
          </rPr>
          <t xml:space="preserve">
Potential has largely been informed by updated Intrinsic Potential analyses performed by UCUT member tribes and ONA.</t>
        </r>
      </text>
    </comment>
    <comment ref="I11" authorId="0" shapeId="0" xr:uid="{00000000-0006-0000-0300-000003000000}">
      <text>
        <r>
          <rPr>
            <b/>
            <sz val="9"/>
            <color indexed="81"/>
            <rFont val="Tahoma"/>
            <family val="2"/>
          </rPr>
          <t>Conor Giorgi:</t>
        </r>
        <r>
          <rPr>
            <sz val="9"/>
            <color indexed="81"/>
            <rFont val="Tahoma"/>
            <family val="2"/>
          </rPr>
          <t xml:space="preserve">
Capacities from ONA IP Report - SAME NUMBERS ALREADY REPORTED UNDER SPRING CHIN.
Relative abundance (including present barriers) for regions within the Koot/Transb population = 65% of total 3,475 chinook from ONA IP report assigned to summer Chinook.  10,000 from 50% of Transboundary capacity estimates from CCT (other 50% assigned to fall Chinook).</t>
        </r>
      </text>
    </comment>
    <comment ref="J11" authorId="0" shapeId="0" xr:uid="{00000000-0006-0000-0300-000004000000}">
      <text>
        <r>
          <rPr>
            <b/>
            <sz val="9"/>
            <color indexed="81"/>
            <rFont val="Tahoma"/>
            <family val="2"/>
          </rPr>
          <t>Conor Giorgi:</t>
        </r>
        <r>
          <rPr>
            <sz val="9"/>
            <color indexed="81"/>
            <rFont val="Tahoma"/>
            <family val="2"/>
          </rPr>
          <t xml:space="preserve">
Only small tributary habitats and does not include mainstem Columbia or Kootenai. Potential for mainstem Columbia is captured in the TBC population.</t>
        </r>
      </text>
    </comment>
    <comment ref="I12" authorId="1" shapeId="0" xr:uid="{00000000-0006-0000-0300-000005000000}">
      <text>
        <r>
          <rPr>
            <b/>
            <sz val="9"/>
            <color indexed="81"/>
            <rFont val="Tahoma"/>
            <family val="2"/>
          </rPr>
          <t>Conor Giorgi:
Golder 2017 determined there to be enough habitat, within a small portion of the transboundary reach near the Columbia/Kootenay River confluence, for between 93 and 565 chinook salmon redds.</t>
        </r>
        <r>
          <rPr>
            <sz val="9"/>
            <color indexed="81"/>
            <rFont val="Tahoma"/>
            <family val="2"/>
          </rPr>
          <t xml:space="preserve">
</t>
        </r>
      </text>
    </comment>
    <comment ref="J14" authorId="0" shapeId="0" xr:uid="{00000000-0006-0000-0300-000006000000}">
      <text>
        <r>
          <rPr>
            <b/>
            <sz val="9"/>
            <color indexed="81"/>
            <rFont val="Tahoma"/>
            <family val="2"/>
          </rPr>
          <t>Conor Giorgi:</t>
        </r>
        <r>
          <rPr>
            <sz val="9"/>
            <color indexed="81"/>
            <rFont val="Tahoma"/>
            <family val="2"/>
          </rPr>
          <t xml:space="preserve">
Only small tributary habitats and does not include mainstem Spokane</t>
        </r>
      </text>
    </comment>
    <comment ref="M19" authorId="0" shapeId="0" xr:uid="{00000000-0006-0000-0300-000007000000}">
      <text>
        <r>
          <rPr>
            <b/>
            <sz val="9"/>
            <color indexed="81"/>
            <rFont val="Tahoma"/>
            <family val="2"/>
          </rPr>
          <t>Conor Giorgi:</t>
        </r>
        <r>
          <rPr>
            <sz val="9"/>
            <color indexed="81"/>
            <rFont val="Tahoma"/>
            <family val="2"/>
          </rPr>
          <t xml:space="preserve">
Value from NPCC database provided by Nancy Leonard = </t>
        </r>
        <r>
          <rPr>
            <b/>
            <sz val="9"/>
            <color indexed="81"/>
            <rFont val="Tahoma"/>
            <family val="2"/>
          </rPr>
          <t>6915</t>
        </r>
        <r>
          <rPr>
            <sz val="9"/>
            <color indexed="81"/>
            <rFont val="Tahoma"/>
            <family val="2"/>
          </rPr>
          <t xml:space="preserve">.  Source: Status and Trend of Okanogan summer/fall Chinook - Chief Joseph Hatchery 2016 Annual Program Review
</t>
        </r>
      </text>
    </comment>
    <comment ref="K22" authorId="1" shapeId="0" xr:uid="{00000000-0006-0000-0300-000008000000}">
      <text>
        <r>
          <rPr>
            <b/>
            <sz val="9"/>
            <color indexed="81"/>
            <rFont val="Tahoma"/>
            <family val="2"/>
          </rPr>
          <t>Casey Baldwin:</t>
        </r>
        <r>
          <rPr>
            <sz val="9"/>
            <color indexed="81"/>
            <rFont val="Tahoma"/>
            <family val="2"/>
          </rPr>
          <t xml:space="preserve">
This may not be accurate anymore, but at one point it was 29k at the mouth to convert approx 20k to the UCR.
</t>
        </r>
      </text>
    </comment>
    <comment ref="N22" authorId="0" shapeId="0" xr:uid="{00000000-0006-0000-0300-000009000000}">
      <text>
        <r>
          <rPr>
            <b/>
            <sz val="9"/>
            <color indexed="81"/>
            <rFont val="Tahoma"/>
            <family val="2"/>
          </rPr>
          <t>Conor Giorgi:</t>
        </r>
        <r>
          <rPr>
            <sz val="9"/>
            <color indexed="81"/>
            <rFont val="Tahoma"/>
            <family val="2"/>
          </rPr>
          <t xml:space="preserve">
From pg. 23 in ODFW/WDFW 2016 - "... an interim combined spawning escapement goal of 20,000 hatchery and natural adults upstream of Priest Rapids Dam."</t>
        </r>
      </text>
    </comment>
    <comment ref="L40" authorId="0" shapeId="0" xr:uid="{00000000-0006-0000-0300-00000A000000}">
      <text>
        <r>
          <rPr>
            <b/>
            <sz val="9"/>
            <color indexed="81"/>
            <rFont val="Tahoma"/>
            <family val="2"/>
          </rPr>
          <t>Conor Giorgi:</t>
        </r>
        <r>
          <rPr>
            <sz val="9"/>
            <color indexed="81"/>
            <rFont val="Tahoma"/>
            <family val="2"/>
          </rPr>
          <t xml:space="preserve">
From NPCC database provided by Nancy Leonard.  Source: CBFWA Fish and Wildlife Program Recommendation 2009 Amendment.</t>
        </r>
      </text>
    </comment>
    <comment ref="J42" authorId="1" shapeId="0" xr:uid="{00000000-0006-0000-0300-00000B000000}">
      <text>
        <r>
          <rPr>
            <b/>
            <sz val="9"/>
            <color indexed="81"/>
            <rFont val="Tahoma"/>
            <family val="2"/>
          </rPr>
          <t>Casey Baldwin:</t>
        </r>
        <r>
          <rPr>
            <sz val="9"/>
            <color indexed="81"/>
            <rFont val="Tahoma"/>
            <family val="2"/>
          </rPr>
          <t xml:space="preserve">
This includes the US capacity plus up to 10k spawners for Okan in Canada (R. Bussanich personal communication)</t>
        </r>
      </text>
    </comment>
    <comment ref="K42" authorId="1" shapeId="0" xr:uid="{00000000-0006-0000-0300-00000C000000}">
      <text>
        <r>
          <rPr>
            <b/>
            <sz val="9"/>
            <color indexed="81"/>
            <rFont val="Tahoma"/>
            <family val="2"/>
          </rPr>
          <t>Casey Baldwin:</t>
        </r>
        <r>
          <rPr>
            <sz val="9"/>
            <color indexed="81"/>
            <rFont val="Tahoma"/>
            <family val="2"/>
          </rPr>
          <t xml:space="preserve">
USvOr escapement goal is 3500 total spawners at Wells Dam.  I parsed them out to the Okan.(2500), Met (1000). But did not put any in the Columibia because the USvOR group does not recognize any escapement objective or account for mainstem Columbia spawners above PRD.</t>
        </r>
      </text>
    </comment>
    <comment ref="M42" authorId="0" shapeId="0" xr:uid="{00000000-0006-0000-0300-00000D000000}">
      <text>
        <r>
          <rPr>
            <b/>
            <sz val="9"/>
            <color indexed="81"/>
            <rFont val="Tahoma"/>
            <family val="2"/>
          </rPr>
          <t>Conor Giorgi:</t>
        </r>
        <r>
          <rPr>
            <sz val="9"/>
            <color indexed="81"/>
            <rFont val="Tahoma"/>
            <family val="2"/>
          </rPr>
          <t xml:space="preserve">
Value from NPCC database provided by Nancy Leonard = </t>
        </r>
        <r>
          <rPr>
            <b/>
            <sz val="9"/>
            <color indexed="81"/>
            <rFont val="Tahoma"/>
            <family val="2"/>
          </rPr>
          <t>15,700</t>
        </r>
        <r>
          <rPr>
            <sz val="9"/>
            <color indexed="81"/>
            <rFont val="Tahoma"/>
            <family val="2"/>
          </rPr>
          <t xml:space="preserve">.  Source: OBMEP Chinook Habitat Status and Trend 2015
</t>
        </r>
      </text>
    </comment>
    <comment ref="K46" authorId="1" shapeId="0" xr:uid="{00000000-0006-0000-0300-00000E000000}">
      <text>
        <r>
          <rPr>
            <b/>
            <sz val="9"/>
            <color indexed="81"/>
            <rFont val="Tahoma"/>
            <family val="2"/>
          </rPr>
          <t>Casey Baldwin:</t>
        </r>
        <r>
          <rPr>
            <sz val="9"/>
            <color indexed="81"/>
            <rFont val="Tahoma"/>
            <family val="2"/>
          </rPr>
          <t xml:space="preserve">
This may not be accurate anymore, but at one point it was 29k at the mouth to convert approx 20k to the UCR.
</t>
        </r>
      </text>
    </comment>
    <comment ref="N46" authorId="0" shapeId="0" xr:uid="{00000000-0006-0000-0300-00000F000000}">
      <text>
        <r>
          <rPr>
            <b/>
            <sz val="9"/>
            <color indexed="81"/>
            <rFont val="Tahoma"/>
            <family val="2"/>
          </rPr>
          <t>Conor Giorgi:</t>
        </r>
        <r>
          <rPr>
            <sz val="9"/>
            <color indexed="81"/>
            <rFont val="Tahoma"/>
            <family val="2"/>
          </rPr>
          <t xml:space="preserve">
From pg. 23 in ODFW/WDFW 2016 - "... an interim combined spawning escapement goal of 20,000 hatchery and natural adults upstream of Priest Rapids Dam."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Casey Baldwin</author>
  </authors>
  <commentList>
    <comment ref="H5" authorId="0" shapeId="0" xr:uid="{00000000-0006-0000-0400-000001000000}">
      <text>
        <r>
          <rPr>
            <b/>
            <sz val="9"/>
            <color indexed="81"/>
            <rFont val="Tahoma"/>
            <family val="2"/>
          </rPr>
          <t>Casey Baldwin:</t>
        </r>
        <r>
          <rPr>
            <sz val="9"/>
            <color indexed="81"/>
            <rFont val="Tahoma"/>
            <family val="2"/>
          </rPr>
          <t xml:space="preserve">
existing goals are mostly a percent that is determined by run escapement and is a sliding scale with less impact at smaller run sizes</t>
        </r>
      </text>
    </comment>
    <comment ref="A11" authorId="0" shapeId="0" xr:uid="{00000000-0006-0000-0400-000002000000}">
      <text>
        <r>
          <rPr>
            <b/>
            <sz val="9"/>
            <color indexed="81"/>
            <rFont val="Tahoma"/>
            <family val="2"/>
          </rPr>
          <t>Casey Baldwin:</t>
        </r>
        <r>
          <rPr>
            <sz val="9"/>
            <color indexed="81"/>
            <rFont val="Tahoma"/>
            <family val="2"/>
          </rPr>
          <t xml:space="preserve">
In the last 5 years the combined avg exploitation rate is 67.2%.</t>
        </r>
      </text>
    </comment>
    <comment ref="D14" authorId="0" shapeId="0" xr:uid="{00000000-0006-0000-0400-000004000000}">
      <text>
        <r>
          <rPr>
            <b/>
            <sz val="9"/>
            <color indexed="81"/>
            <rFont val="Tahoma"/>
            <family val="2"/>
          </rPr>
          <t>Casey Baldwin:</t>
        </r>
        <r>
          <rPr>
            <sz val="9"/>
            <color indexed="81"/>
            <rFont val="Tahoma"/>
            <family val="2"/>
          </rPr>
          <t xml:space="preserve">
BON-PRD</t>
        </r>
      </text>
    </comment>
    <comment ref="D17" authorId="0" shapeId="0" xr:uid="{00000000-0006-0000-0400-000005000000}">
      <text>
        <r>
          <rPr>
            <b/>
            <sz val="9"/>
            <color indexed="81"/>
            <rFont val="Tahoma"/>
            <family val="2"/>
          </rPr>
          <t>Casey Baldwin:</t>
        </r>
        <r>
          <rPr>
            <sz val="9"/>
            <color indexed="81"/>
            <rFont val="Tahoma"/>
            <family val="2"/>
          </rPr>
          <t xml:space="preserve">
includes PFMC non treaty and a much smaller treaty ocean fishery</t>
        </r>
      </text>
    </comment>
  </commentList>
</comments>
</file>

<file path=xl/sharedStrings.xml><?xml version="1.0" encoding="utf-8"?>
<sst xmlns="http://schemas.openxmlformats.org/spreadsheetml/2006/main" count="2476" uniqueCount="743">
  <si>
    <t>Record Type</t>
  </si>
  <si>
    <t>Species</t>
  </si>
  <si>
    <t>Run</t>
  </si>
  <si>
    <t>Pop Type</t>
  </si>
  <si>
    <t>Popname</t>
  </si>
  <si>
    <t>Category Name</t>
  </si>
  <si>
    <t>Obj Var Name</t>
  </si>
  <si>
    <t>Obj Min Value</t>
  </si>
  <si>
    <t>Obj Max Value</t>
  </si>
  <si>
    <t>Fish Origin</t>
  </si>
  <si>
    <t>Superceded</t>
  </si>
  <si>
    <t>Comments</t>
  </si>
  <si>
    <t>Document</t>
  </si>
  <si>
    <t>Document Link</t>
  </si>
  <si>
    <t>Doc Year</t>
  </si>
  <si>
    <t>Doc Purpose</t>
  </si>
  <si>
    <t>Doc Author</t>
  </si>
  <si>
    <t>Subbasin</t>
  </si>
  <si>
    <t>ESU/DPS</t>
  </si>
  <si>
    <t>MPG</t>
  </si>
  <si>
    <t>Designation</t>
  </si>
  <si>
    <t>SN_PopID</t>
  </si>
  <si>
    <t>Population</t>
  </si>
  <si>
    <t>Chinook</t>
  </si>
  <si>
    <t>spring</t>
  </si>
  <si>
    <t>ESA</t>
  </si>
  <si>
    <t>Minimum Viability Abundance Threshold (viable status for delisting)</t>
  </si>
  <si>
    <t>natural</t>
  </si>
  <si>
    <t>Minimum Abundance Threshold (MAT)</t>
  </si>
  <si>
    <t>Viability Criteria for Application to Interior Columbia Basin Salmonid ESUs</t>
  </si>
  <si>
    <t>http://www.nwfsc.noaa.gov/trt/trt_documents/ictrt_viability_criteria_reviewdraft_2007_complete.pdf</t>
  </si>
  <si>
    <t>Interior Columbia Basin Technical Recovery Team</t>
  </si>
  <si>
    <t>CBFWA Fish and Wildlife Program Recommendation 2009 Amendment</t>
  </si>
  <si>
    <t>http://www.nwcouncil.org/uploads/2008amend/uploadedfiles/111/2_Recommendation.pdf</t>
  </si>
  <si>
    <t>CBFWA</t>
  </si>
  <si>
    <t>natural&amp;hatchery</t>
  </si>
  <si>
    <t>Mid-Range Abundance</t>
  </si>
  <si>
    <t>Sustainable Escapement</t>
  </si>
  <si>
    <t>Higher-Range / Desired Abundance</t>
  </si>
  <si>
    <t>Ecological Escapement</t>
  </si>
  <si>
    <t>Adult Returns</t>
  </si>
  <si>
    <t>unspecified</t>
  </si>
  <si>
    <t>Adult Returns (Natural Spawners)</t>
  </si>
  <si>
    <t>#</t>
  </si>
  <si>
    <t>Item</t>
  </si>
  <si>
    <t>Description</t>
  </si>
  <si>
    <t>RecordType</t>
  </si>
  <si>
    <t>This identifies whether the objective value(s) are meant to apply to a Population, Superpopulation (multiple populations combined), or Subset Population (a subset of a population).</t>
  </si>
  <si>
    <t>This identifies whether the information pertains to Chinook, coho, chum, sockeye, or steelhead.</t>
  </si>
  <si>
    <t>This is the primary run provided by NOAA for ESA populations. For non-ESA populations the run is from the published report or managers. If alternative run's are used by managers these are listed under the AltName field.</t>
  </si>
  <si>
    <t>PopType</t>
  </si>
  <si>
    <t>This identifies whether the Population or Subset Population is a listed as a NOAA ESA Population (ESA) or is not listed under the endangered species act (NonESA). The Superpopulation record-type is not assigned a PopType as it may consist of a combination of ESA and NonESA populations as indicated by the SelectedPopulations field.</t>
  </si>
  <si>
    <t>The primary name is provided by NOAA for ESA populations. For non-ESA populations the primary name is obtained from Managers based on the name provided to StreamNet or in the absence of a StreamNet name the name comes directly from managers or published reports. For Superpopulation names or Subset Population names these match a published report or name provided by managers. </t>
  </si>
  <si>
    <t>AltName1</t>
  </si>
  <si>
    <t>This column captures information about alternative name, run, MPG, ESU used by managers or in published reports that differ from the current primary name.</t>
  </si>
  <si>
    <t>AltName2</t>
  </si>
  <si>
    <t>AltName3</t>
  </si>
  <si>
    <t>SelectedPopulations</t>
  </si>
  <si>
    <t>This identifies the populations that the objective value pertains to. For ESA populations the NOAA name is selected; where as for non-ESA populations the managers' or published report name is used. When the objective value pertains to a Subset Population or a Superpopulation the population included in the Subset Population or Superpopulation or identified here. </t>
  </si>
  <si>
    <t>CategoryName</t>
  </si>
  <si>
    <t>This is the full name for the grouping categories used to group objective values of similar intent, including objective values for minimum viability, mid-range, and higher-range abundance.</t>
  </si>
  <si>
    <t>CategoryNameShort</t>
  </si>
  <si>
    <t>This is the abbreviated name displayed on the mapping tool for the grouping categories used to group objective values of similar intent, e.g. minimum viability, mid-range and higher-range abundance.</t>
  </si>
  <si>
    <t>ObjVarName</t>
  </si>
  <si>
    <t>This is the variable name found in the cited source associated with the objective value.</t>
  </si>
  <si>
    <t>ObjMinValue</t>
  </si>
  <si>
    <t>This is the quantitative objective value found in the cited source. If the value from the cited source is a range of values then the minimum value of the range is entered here.</t>
  </si>
  <si>
    <t>ObjMaxValue</t>
  </si>
  <si>
    <t>This is the quantitative objective value found in the cited source. If the value from the cited source is a range of values then the maximum value of the range is entered here.</t>
  </si>
  <si>
    <t>ObjLabel</t>
  </si>
  <si>
    <t>If the quantitative objective valley found in the cited sources is associated with a mathematical symbol such as '&gt;' or '&lt;' then this symbol is provided here.</t>
  </si>
  <si>
    <t>FishOrigin</t>
  </si>
  <si>
    <t>This field identifies the type of fish that are included in the objective value based on the cited source, whether the value pertains only to natural origin fish, natural and hatchery origin fish, or if the cited source is unclear about the origin of the fish pertaining to the objective value (unspecified).</t>
  </si>
  <si>
    <t>TargetTimeline</t>
  </si>
  <si>
    <t>If the objective value from the cited source is associated with a timeline by which the objective should be achieved, this timeline is indicated here. The timeline is captured as stated in the cited source and may be vague in terms of a specific end-date, e.g., within a 25 year horizon.</t>
  </si>
  <si>
    <t>SuperCeded</t>
  </si>
  <si>
    <t>If the value in this column is 'True' this indicates that the objective value from the cited source has been replaced by a more recently published objective value and source.</t>
  </si>
  <si>
    <t>This is information about which entity reviewed the content of the information. Given the dynamic nature of this tool and that the actual information is entered by Council staff errors may exist that are not the fault of the entity that reviewed previous versions of this information. Any corrections required should be sent to Council Staff Nancy Leonard following the process outlined here: http://www.nwcouncil.org/fw/am/goals-objective/map_process/ </t>
  </si>
  <si>
    <t>This is the source document for the objective value (cited document).  If a personal communication is cited this contains the entity and name of the source of the personal communication.</t>
  </si>
  <si>
    <t>DocumentLink</t>
  </si>
  <si>
    <t>This is the online link to access the cited document.</t>
  </si>
  <si>
    <t>DocumentType</t>
  </si>
  <si>
    <t>This field is used to identify documents that provide official NOAA-ESA objective values (e.g. minimum abundance threshold) and documents that are providing non-ESA related values (e.g. subbasin plans). This field determines which values are show in the 'Recovery' Tab of the online mapping tool pop-up box and which objectives are highlighted as NOAA-ESA objective values in the online mapping tool pop-up boxes.</t>
  </si>
  <si>
    <t>DocYear</t>
  </si>
  <si>
    <t>This is the publication year for the source document.  If a personal communication is cited this contains the year of the personal communication.</t>
  </si>
  <si>
    <t>This is an abbreviated summary of the type of objectives and information provided by the source document.</t>
  </si>
  <si>
    <t>This is the author of the document. If a personal communication is cited this contains the entity and name of the source of the personal communication.</t>
  </si>
  <si>
    <t>Subbasin names are from the NPCC Columbia River Basin Fish and Wildlife Program's Subbasins.</t>
  </si>
  <si>
    <t>ESU</t>
  </si>
  <si>
    <t>For ESA population the status should match the current NOAA ESU name. If managers or published reports use a prior name these are indicated in the AltName field. One exception exists for the Okanogan Sockeye which belongs to the Canadian Okanagan Conservation Unit and the non-NOAA Okanogan River ESU on the USA portion of the range.</t>
  </si>
  <si>
    <t>This field is for ESA-listed populations. For ESA population the major population group (MPG) should match the current NOAA MPG name. If managers, or published reports, use a prior name for the MPG these are indicated in the AltName field.</t>
  </si>
  <si>
    <t>RecDomain</t>
  </si>
  <si>
    <t>This field is for ESA-listed populations. For ESA population this should match the current NOAA recovery domain.</t>
  </si>
  <si>
    <t>RecSubDomain*</t>
  </si>
  <si>
    <t>This field is for ESA-listed populations. For ESA population this should match the current NOAA recovery subdomain.</t>
  </si>
  <si>
    <t>ESAStatus</t>
  </si>
  <si>
    <t>This field is for ESA-listed populations. For ESA population the status should match the current NOAA ESA status (e.g., Extant, Extirpated and is related to the Designation field.</t>
  </si>
  <si>
    <t>This field is for ESA-listed populations and is related to the ESA Status. For ESA population this designation should match the current NOAA designation (e.g., threatened, endangered).</t>
  </si>
  <si>
    <t>ESAListingYear</t>
  </si>
  <si>
    <t>This field is for ESA-listed populations. For ESA population the listing year should match the current NOAA ESA listing year.</t>
  </si>
  <si>
    <t>ProgramAdopted</t>
  </si>
  <si>
    <t>This indicates whether the objective value is found in the NPCC's Columbia River Basin Fish and Wildlife Program or subbasin plans.</t>
  </si>
  <si>
    <t>NMFS_POPID</t>
  </si>
  <si>
    <t>NOAA PopID is the population identifying number used by NOAA in 2016.</t>
  </si>
  <si>
    <t>StreamNet PopID is the unique population identifying number used by StreamNet in 2016.</t>
  </si>
  <si>
    <t>CALink</t>
  </si>
  <si>
    <t>This is a link to the natural origin spawner abundance (NOSA) information available from the cax.streamnet.org tool.</t>
  </si>
  <si>
    <t>DistributionLink</t>
  </si>
  <si>
    <t>This is a link to the distribution polygon provided by StreamNet.</t>
  </si>
  <si>
    <t>SubbasinObjRange*</t>
  </si>
  <si>
    <t>This is the range of objective values associated with all populations for a given species found in the subbasin (excludes Superpopulations and Subset Populations). This range is manually entered by Council Staff based on the active (not superceded) objective values compiled for all populations by species in the subbasin.</t>
  </si>
  <si>
    <t>MPGObjRange*</t>
  </si>
  <si>
    <t>This is the range of objective values associated with all populations for a given species found in the MPG (excludes Superpopulations and Subset Populations). This range is manually entered by Council Staff based on the active (not superceded) objective values compiled for all populations by species in the MPG.</t>
  </si>
  <si>
    <t>summer</t>
  </si>
  <si>
    <t>Recovery Domain</t>
  </si>
  <si>
    <t>Methow River</t>
  </si>
  <si>
    <t>Minimum 12-year Geometric Mean Spawner:spawner</t>
  </si>
  <si>
    <t>Upper Columbia Spring Chinook Salmon and Steelhead Recovery Plan</t>
  </si>
  <si>
    <t>http://www.westcoast.fisheries.noaa.gov/protected_species/salmon_steelhead/recovery_planning_and_implementation/upper_columbia/upper_columbia_spring_chinook_steelhead_recovery_plan.html</t>
  </si>
  <si>
    <t>Upper Columbia Salmon Recovery Board</t>
  </si>
  <si>
    <t>Methow</t>
  </si>
  <si>
    <t>Upper Columbia Spring Chinook</t>
  </si>
  <si>
    <t>Wenatchee-Methow</t>
  </si>
  <si>
    <t>Interior Columbia</t>
  </si>
  <si>
    <t>NonESA</t>
  </si>
  <si>
    <t>2009 Proceedings and Findings of the  Summer/Fall Chinook Salmon Summits</t>
  </si>
  <si>
    <t>http://www.colvilletribes.com/media/files/2009StatusReport.pdf</t>
  </si>
  <si>
    <t>Appleby et al.</t>
  </si>
  <si>
    <t>summer/fall</t>
  </si>
  <si>
    <t>Unasssigned - Upper Columbia</t>
  </si>
  <si>
    <t>Wenatchee River</t>
  </si>
  <si>
    <t>Wenatchee</t>
  </si>
  <si>
    <t>Okanogan River</t>
  </si>
  <si>
    <t>Okanogan</t>
  </si>
  <si>
    <t>Okanogan (past wells dam)</t>
  </si>
  <si>
    <t>Status and Trend of Okanogan summer/fall Chinook - Chief Joseph Hatchery 2016 Annual Program Review</t>
  </si>
  <si>
    <t>http://www.colvilletribes.com/2__day_1__part_2__2016_population_status_of_okanogan_summer_fall_chinook.php</t>
  </si>
  <si>
    <t>Baldwin, C.</t>
  </si>
  <si>
    <t>Minimum Viability Threshold</t>
  </si>
  <si>
    <t>Personal communication 2016 with John Arterburn of the Colville Tribes</t>
  </si>
  <si>
    <t>Colville Tribes (J. Arterburn)</t>
  </si>
  <si>
    <t>OBMEP Chinook Habitat Status and Trend 2015</t>
  </si>
  <si>
    <t>http://www.cctobmep.com/media/files/2015ChinookHabitatStatusandTrendReportreportcardsforweb.pdf</t>
  </si>
  <si>
    <t>OBMEP-Colville Tribes</t>
  </si>
  <si>
    <t>Entiat River</t>
  </si>
  <si>
    <t>Entiat</t>
  </si>
  <si>
    <t>Units</t>
  </si>
  <si>
    <r>
      <t>Abundance</t>
    </r>
    <r>
      <rPr>
        <b/>
        <vertAlign val="superscript"/>
        <sz val="11"/>
        <color theme="1"/>
        <rFont val="Calibri"/>
        <family val="2"/>
        <scheme val="minor"/>
      </rPr>
      <t>a</t>
    </r>
  </si>
  <si>
    <t>Reference Values</t>
  </si>
  <si>
    <t>Existing Goals</t>
  </si>
  <si>
    <t>Current</t>
  </si>
  <si>
    <t>Historical</t>
  </si>
  <si>
    <t>Minimum Abundance Threshold</t>
  </si>
  <si>
    <r>
      <t>Habitat capacity</t>
    </r>
    <r>
      <rPr>
        <b/>
        <vertAlign val="superscript"/>
        <sz val="11"/>
        <color theme="1"/>
        <rFont val="Calibri"/>
        <family val="2"/>
        <scheme val="minor"/>
      </rPr>
      <t>b</t>
    </r>
  </si>
  <si>
    <r>
      <t>Potential</t>
    </r>
    <r>
      <rPr>
        <b/>
        <vertAlign val="superscript"/>
        <sz val="11"/>
        <color theme="1"/>
        <rFont val="Calibri"/>
        <family val="2"/>
        <scheme val="minor"/>
      </rPr>
      <t>c</t>
    </r>
  </si>
  <si>
    <t>Tribal</t>
  </si>
  <si>
    <t>State</t>
  </si>
  <si>
    <t>Natural spawners</t>
  </si>
  <si>
    <t># - #</t>
  </si>
  <si>
    <t>Total spawners</t>
  </si>
  <si>
    <t>“</t>
  </si>
  <si>
    <t>Subtotal</t>
  </si>
  <si>
    <t>Total</t>
  </si>
  <si>
    <t>all</t>
  </si>
  <si>
    <t>SP</t>
  </si>
  <si>
    <t>Numbers</t>
  </si>
  <si>
    <t>Rebuilding Expl. Rate</t>
  </si>
  <si>
    <r>
      <t>Optimum Yield</t>
    </r>
    <r>
      <rPr>
        <b/>
        <vertAlign val="superscript"/>
        <sz val="11"/>
        <color theme="1"/>
        <rFont val="Calibri"/>
        <family val="2"/>
        <scheme val="minor"/>
      </rPr>
      <t>b</t>
    </r>
  </si>
  <si>
    <r>
      <t>Max.Yield</t>
    </r>
    <r>
      <rPr>
        <b/>
        <vertAlign val="superscript"/>
        <sz val="11"/>
        <color theme="1"/>
        <rFont val="Calibri"/>
        <family val="2"/>
        <scheme val="minor"/>
      </rPr>
      <t>c</t>
    </r>
  </si>
  <si>
    <t>PSC</t>
  </si>
  <si>
    <t>PFMC</t>
  </si>
  <si>
    <t>USvOR</t>
  </si>
  <si>
    <r>
      <t>Stock-ESU totals</t>
    </r>
    <r>
      <rPr>
        <vertAlign val="superscript"/>
        <sz val="11"/>
        <color theme="1"/>
        <rFont val="Calibri"/>
        <family val="2"/>
        <scheme val="minor"/>
      </rPr>
      <t>a</t>
    </r>
  </si>
  <si>
    <t>Harvest (Natl.)</t>
  </si>
  <si>
    <t>Harvest (Hat.)</t>
  </si>
  <si>
    <t>Impact rate (Natl.)</t>
  </si>
  <si>
    <t>Impact rate (Hat.)</t>
  </si>
  <si>
    <t>Fishery</t>
  </si>
  <si>
    <t>Terminal tribal</t>
  </si>
  <si>
    <t>Terminal sport</t>
  </si>
  <si>
    <t>Zone 6 tribal</t>
  </si>
  <si>
    <t>UpR. sport</t>
  </si>
  <si>
    <t>LCR comm.</t>
  </si>
  <si>
    <t>LCR sport</t>
  </si>
  <si>
    <t>US Ocean</t>
  </si>
  <si>
    <t>AK/CA</t>
  </si>
  <si>
    <t>Production</t>
  </si>
  <si>
    <t>Return</t>
  </si>
  <si>
    <t>Broodstock</t>
  </si>
  <si>
    <r>
      <t>Stock-ESU</t>
    </r>
    <r>
      <rPr>
        <vertAlign val="superscript"/>
        <sz val="11"/>
        <color theme="1"/>
        <rFont val="Calibri"/>
        <family val="2"/>
        <scheme val="minor"/>
      </rPr>
      <t>a</t>
    </r>
  </si>
  <si>
    <t>Col R run</t>
  </si>
  <si>
    <t>Natural</t>
  </si>
  <si>
    <t>Hatchery</t>
  </si>
  <si>
    <r>
      <t>Local run</t>
    </r>
    <r>
      <rPr>
        <vertAlign val="superscript"/>
        <sz val="11"/>
        <color theme="1"/>
        <rFont val="Calibri"/>
        <family val="2"/>
        <scheme val="minor"/>
      </rPr>
      <t>c</t>
    </r>
  </si>
  <si>
    <t xml:space="preserve">Hatchery </t>
  </si>
  <si>
    <t>Releases</t>
  </si>
  <si>
    <t>Returns</t>
  </si>
  <si>
    <t>Totals</t>
  </si>
  <si>
    <r>
      <t>c</t>
    </r>
    <r>
      <rPr>
        <i/>
        <sz val="11"/>
        <color theme="1"/>
        <rFont val="Calibri"/>
        <family val="2"/>
        <scheme val="minor"/>
      </rPr>
      <t xml:space="preserve"> Local runs are measured for various purposes at specific locations (e.g. Bonneville Dam, Snake R.).</t>
    </r>
  </si>
  <si>
    <r>
      <t>a</t>
    </r>
    <r>
      <rPr>
        <i/>
        <sz val="11"/>
        <color theme="1"/>
        <rFont val="Calibri"/>
        <family val="2"/>
        <scheme val="minor"/>
      </rPr>
      <t>Stock-specific harvest numbers may include single or multiple ESUs.</t>
    </r>
  </si>
  <si>
    <r>
      <t>b</t>
    </r>
    <r>
      <rPr>
        <i/>
        <sz val="11"/>
        <color theme="1"/>
        <rFont val="Calibri"/>
        <family val="2"/>
        <scheme val="minor"/>
      </rPr>
      <t>Optimum sustained yield to be defined in mixed stock fisheries based on exploitation rates that provide reasonable opportunity to access strong stocks and hatchery-origin fish.</t>
    </r>
  </si>
  <si>
    <r>
      <t>c</t>
    </r>
    <r>
      <rPr>
        <i/>
        <sz val="11"/>
        <color theme="1"/>
        <rFont val="Calibri"/>
        <family val="2"/>
        <scheme val="minor"/>
      </rPr>
      <t>Maximum sustained yield typically defined only for healthy stocks.</t>
    </r>
  </si>
  <si>
    <r>
      <t>a</t>
    </r>
    <r>
      <rPr>
        <i/>
        <sz val="11"/>
        <color theme="1"/>
        <rFont val="Calibri"/>
        <family val="2"/>
        <scheme val="minor"/>
      </rPr>
      <t xml:space="preserve"> Goals defined based on abundance also depend on corresponding levels of productivity, spatial structure and diversity.</t>
    </r>
  </si>
  <si>
    <r>
      <t>b</t>
    </r>
    <r>
      <rPr>
        <i/>
        <sz val="11"/>
        <color theme="1"/>
        <rFont val="Calibri"/>
        <family val="2"/>
        <scheme val="minor"/>
      </rPr>
      <t xml:space="preserve"> Might be based on parr densities, stock-recruitment, landscape indicators, EDT, etc.</t>
    </r>
  </si>
  <si>
    <t>Upper Columbia Summer Chinook</t>
  </si>
  <si>
    <t>North Cascades</t>
  </si>
  <si>
    <t>[4?] Methow R., Wenatchee R., Okanogan R., Entiat R (?)</t>
  </si>
  <si>
    <t>Stock</t>
  </si>
  <si>
    <t>Major Population Group</t>
  </si>
  <si>
    <t>Populations</t>
  </si>
  <si>
    <t>[2] Spokane R., Hangman Ck.</t>
  </si>
  <si>
    <r>
      <t xml:space="preserve">Spokane </t>
    </r>
    <r>
      <rPr>
        <vertAlign val="superscript"/>
        <sz val="12"/>
        <color rgb="FF000000"/>
        <rFont val="Calibri"/>
        <family val="2"/>
        <scheme val="minor"/>
      </rPr>
      <t>1</t>
    </r>
  </si>
  <si>
    <t>Grand Total</t>
  </si>
  <si>
    <t>Sanpoil</t>
  </si>
  <si>
    <t>Spokane</t>
  </si>
  <si>
    <t>Rufus Woods</t>
  </si>
  <si>
    <t>Low</t>
  </si>
  <si>
    <t>High</t>
  </si>
  <si>
    <t>Kettle/Colville</t>
  </si>
  <si>
    <t>AC Total</t>
  </si>
  <si>
    <t>SP Total</t>
  </si>
  <si>
    <t>Blocked Area Total</t>
  </si>
  <si>
    <t>TOTAL</t>
  </si>
  <si>
    <t>Tribe</t>
  </si>
  <si>
    <t>Coeur d'Alene</t>
  </si>
  <si>
    <t>Kalispel</t>
  </si>
  <si>
    <t>Coho</t>
  </si>
  <si>
    <t>Sockeye</t>
  </si>
  <si>
    <t>Steelhead</t>
  </si>
  <si>
    <t>Average Weight</t>
  </si>
  <si>
    <t>UC</t>
  </si>
  <si>
    <t>WEN</t>
  </si>
  <si>
    <t>ENT</t>
  </si>
  <si>
    <t>MET</t>
  </si>
  <si>
    <t>OKA</t>
  </si>
  <si>
    <t>TBD</t>
  </si>
  <si>
    <t>Tribal Consumption (lbs)</t>
  </si>
  <si>
    <t>CCT- Okanogan</t>
  </si>
  <si>
    <t>CCT- Sanpoil, Nespelem</t>
  </si>
  <si>
    <t>CCT- Kettle Falls</t>
  </si>
  <si>
    <t>Flathead</t>
  </si>
  <si>
    <t>Kootenai</t>
  </si>
  <si>
    <t>Lakes</t>
  </si>
  <si>
    <t>Pend d'Oreille</t>
  </si>
  <si>
    <t>Harvest by Species (lbs)</t>
  </si>
  <si>
    <t>Estimated Harvest from Tribes (# of fish)</t>
  </si>
  <si>
    <t>Catch = 66%</t>
  </si>
  <si>
    <t>Catch = 50%</t>
  </si>
  <si>
    <t>Catch = 33%</t>
  </si>
  <si>
    <t>Estimated Tribal Harvest</t>
  </si>
  <si>
    <t>SAN (Sanpoil)</t>
  </si>
  <si>
    <t>KET (Kettle)</t>
  </si>
  <si>
    <t>KOO (Kootenai)</t>
  </si>
  <si>
    <t>MAI (Mainstem)</t>
  </si>
  <si>
    <t>HAN (Hangman)</t>
  </si>
  <si>
    <t>WEN (Wenatchee)</t>
  </si>
  <si>
    <t>ENT (Entiat)</t>
  </si>
  <si>
    <t>MET (Methow)</t>
  </si>
  <si>
    <t>OKA (Okanogan)</t>
  </si>
  <si>
    <t>UC Total</t>
  </si>
  <si>
    <t>Historic Harvest/Consumption (lbs)</t>
  </si>
  <si>
    <t>Entiat National Fish Hatchery</t>
  </si>
  <si>
    <t>Total (lbs)</t>
  </si>
  <si>
    <t>Total (# of fish)</t>
  </si>
  <si>
    <t>Catch = 85%</t>
  </si>
  <si>
    <t>Most tables in NPPC 1986, which are derived from previously published historic run size reports, have summer chinook composing approximately 50% of the total chinook run.</t>
  </si>
  <si>
    <t>Table 4. Quantitative fishery reference values for (prototype) stock of Columbia R. Salmon and Steelhead.</t>
  </si>
  <si>
    <t>Table 5. Quantitative mitigation reference values (including hatcheries) for (prototype) stock of Columbia R. Salmon and Steelhead.</t>
  </si>
  <si>
    <t>Year</t>
  </si>
  <si>
    <t>total spawners</t>
  </si>
  <si>
    <t>Natural Spawners</t>
  </si>
  <si>
    <t>avg</t>
  </si>
  <si>
    <t>NA</t>
  </si>
  <si>
    <t>SP/K/C</t>
  </si>
  <si>
    <r>
      <rPr>
        <b/>
        <strike/>
        <sz val="11"/>
        <color rgb="FFFF0000"/>
        <rFont val="Calibri"/>
        <family val="2"/>
        <scheme val="minor"/>
      </rPr>
      <t xml:space="preserve">ESA </t>
    </r>
    <r>
      <rPr>
        <b/>
        <sz val="11"/>
        <color rgb="FFFF0000"/>
        <rFont val="Calibri"/>
        <family val="2"/>
        <scheme val="minor"/>
      </rPr>
      <t xml:space="preserve"> US v OR</t>
    </r>
  </si>
  <si>
    <t>[5] Rufus Woods, Sanpoil R., Kettle &amp; Colville R., Transboundary Reach, Kootenay R.</t>
  </si>
  <si>
    <r>
      <rPr>
        <vertAlign val="superscript"/>
        <sz val="11"/>
        <color theme="1"/>
        <rFont val="Calibri"/>
        <family val="2"/>
        <scheme val="minor"/>
      </rPr>
      <t>1</t>
    </r>
    <r>
      <rPr>
        <sz val="11"/>
        <color theme="1"/>
        <rFont val="Calibri"/>
        <family val="2"/>
        <scheme val="minor"/>
      </rPr>
      <t xml:space="preserve"> Major population groups and populations as described for spring Chinook found in ICTRT technical memorandum dated May 11, 2005 with Subject: </t>
    </r>
    <r>
      <rPr>
        <i/>
        <sz val="11"/>
        <color theme="1"/>
        <rFont val="Calibri"/>
        <family val="2"/>
        <scheme val="minor"/>
      </rPr>
      <t>Updated population delineation in the interior Columbia Basin.</t>
    </r>
    <r>
      <rPr>
        <sz val="11"/>
        <color theme="1"/>
        <rFont val="Calibri"/>
        <family val="2"/>
        <scheme val="minor"/>
      </rPr>
      <t xml:space="preserve"> Similar populations were identified for steelhead.  It seems logical to apply similar boundaries to summer Chinook while also incorporating Rufus Woods Reservoir and the Transboundary Reach of the Columbia River.</t>
    </r>
  </si>
  <si>
    <r>
      <t xml:space="preserve">Sanpoil/Kettle/Colville </t>
    </r>
    <r>
      <rPr>
        <vertAlign val="superscript"/>
        <sz val="12"/>
        <color rgb="FF000000"/>
        <rFont val="Calibri"/>
        <family val="2"/>
        <scheme val="minor"/>
      </rPr>
      <t>1</t>
    </r>
    <r>
      <rPr>
        <sz val="12"/>
        <color rgb="FF000000"/>
        <rFont val="Calibri"/>
        <family val="2"/>
        <scheme val="minor"/>
      </rPr>
      <t xml:space="preserve"> </t>
    </r>
  </si>
  <si>
    <t>RW (Rufus Woods)</t>
  </si>
  <si>
    <t>TBC (Transboundary Columbia)</t>
  </si>
  <si>
    <t>MAI (Lower Spokane)</t>
  </si>
  <si>
    <t>CHL (Chelan R.)</t>
  </si>
  <si>
    <t>MAC (Mainstem Columbia)</t>
  </si>
  <si>
    <t>Comments and Sources</t>
  </si>
  <si>
    <t>Andrew Murdoch calculated this for USvOr escapement update;  I did a course evaluation of avg annual Chinook not accounted for in brood collection, harvest or tributary surveys and estimated it to be approximately 7,000.  It should probably be higher because there are a lot of mainstem hatchery programs and those fish dont all get harvested or enter a tributary.</t>
  </si>
  <si>
    <t>CCT- Okan., Met., Wen.</t>
  </si>
  <si>
    <t>--</t>
  </si>
  <si>
    <t>Spring Chinook</t>
  </si>
  <si>
    <t>Summer Chinook</t>
  </si>
  <si>
    <t>Fall Chinook</t>
  </si>
  <si>
    <t>TBD by EDT</t>
  </si>
  <si>
    <t>0?</t>
  </si>
  <si>
    <t>USvOr has a composite goal for the whole area, though they do list the individual tributaries and the broodstock components of that aggregate.    The USvOR escapement estimates are very outdated and do not use the best available science on tributary productivity potential or account for fish that do not spawn in a tributary.</t>
  </si>
  <si>
    <t>Options - could pull recent 10 year mean from DART for Rock Island Dam or sum the spawning ground estimates from "Returns" for each of the hatchery programs below</t>
  </si>
  <si>
    <t>Chief Joseph Hatchery (mainstem)</t>
  </si>
  <si>
    <t>500000 (Y), 400000 (S)</t>
  </si>
  <si>
    <t>Chief Joseph Hatchery (Okanogan)</t>
  </si>
  <si>
    <t>800000 (Y), 300000 (S)</t>
  </si>
  <si>
    <t>2418 (H), 2569 (W)</t>
  </si>
  <si>
    <t>Table 10.16</t>
  </si>
  <si>
    <t>Winthrop National Fish Hatchery (Methow)</t>
  </si>
  <si>
    <t>Methow/Carlton (GPUD)</t>
  </si>
  <si>
    <t>200000 (Y)</t>
  </si>
  <si>
    <t>689 (H), 1,132 (W)</t>
  </si>
  <si>
    <t>Table 9.26</t>
  </si>
  <si>
    <t>118 (W)</t>
  </si>
  <si>
    <t>Wells Hatchery (mainstem, DPUD)</t>
  </si>
  <si>
    <t>320000 (Y), 484000 (S)</t>
  </si>
  <si>
    <t>It is not clear to me what number we would use here because it is a segregated hatchery program</t>
  </si>
  <si>
    <t>494 (H)</t>
  </si>
  <si>
    <t>Chelan Falls (CPUD)</t>
  </si>
  <si>
    <t>576000 (Y)</t>
  </si>
  <si>
    <t>358 (H)</t>
  </si>
  <si>
    <t>Turtle Rock (mainstem, CPUD)</t>
  </si>
  <si>
    <t>May want to include historical releases from mainstem Turtle Rock releases (in Hillman et al. M&amp;E report)</t>
  </si>
  <si>
    <t>400000?? (Y)</t>
  </si>
  <si>
    <t>Leavenworth National Fish Hatchery (Wenatchee)</t>
  </si>
  <si>
    <t>Dryden, Wenatchee (CPUD, GPUD)</t>
  </si>
  <si>
    <t>500001 (Y)</t>
  </si>
  <si>
    <t>1221 (H), 8186 (W)</t>
  </si>
  <si>
    <t>Table 8.26</t>
  </si>
  <si>
    <t>262 (W)</t>
  </si>
  <si>
    <t>"Current" and "Production" for "Hatchery" are the target release and broodstock numbers from the 2017 broodstock collection protocols.  These are met in most years and for PUD programs occur for yearlings for BY2012-BY2022</t>
  </si>
  <si>
    <t>"Returns" are mean estimates of spawners from brood years 1989 to 2014 from the Hillman et al. 2016 PUD M&amp;E report (Okanogan was BY 1989-2012)</t>
  </si>
  <si>
    <t>Y= yearling, S=subyearling</t>
  </si>
  <si>
    <t>H=hatchery origin, W=natural origin</t>
  </si>
  <si>
    <t>CB additions to TP summary</t>
  </si>
  <si>
    <t xml:space="preserve">Values for 'current' are a 5 yr mean (2011-2016) as summarized in the CCT ISIT database, used harvest rate info from TAC reports and other sources </t>
  </si>
  <si>
    <t>Recent fish management efforts do not consider the Entiat a historic summer Chinook tributary, not sure what the justification for that was? The summer Chinook Summit said the NPCC subbasin plan claimed it was not historically used by summer Chinook, but I scanned the NPCC 2004 subbasin plan and I did not see that statement made or any of the historic information that would justify why summer Chinook would not have used the Entiat.  USFWS thinks a falls, innundated by Rocky Reach Dam, may have blocked summer Chinook historically.</t>
  </si>
  <si>
    <t>Is it zero? Or is the ultimate goal to have healthy stocks that can support some harvest?  CCT and ONA do harvest wild sockeye and CCT harvests some wild Chinook.  Wild Chinook are heavily exploited in the lower columbia and the ocean fisheries.</t>
  </si>
  <si>
    <t>50% of harvestable surplus</t>
  </si>
  <si>
    <t>Harvest rate in the Columbia river is a complicated formula, but basically after escapement the treaty tribes get 50% and the state and CCT split the other 50%.  The US ocean fisheries harvest are added onto the Columbia River run size but then taken off the top of the non-treaty share, so lower river tribes get to harvest more fish because of the ocean fisheries but non-treaty tribes (Colville and Wanapum) and terminal sport fishermen get to harvest less because of how the Washington coast fisheries are accounted for.</t>
  </si>
  <si>
    <t>No summer Chinook at this facility</t>
  </si>
  <si>
    <t>Penticton (ONA)</t>
  </si>
  <si>
    <t>2017 was the first year of an experimental release</t>
  </si>
  <si>
    <t>Natural Production</t>
  </si>
  <si>
    <t>Abundance</t>
  </si>
  <si>
    <t>Potential Goal Range</t>
  </si>
  <si>
    <t>Recent</t>
  </si>
  <si>
    <t>Med</t>
  </si>
  <si>
    <t>Location (Program)</t>
  </si>
  <si>
    <t>Brood</t>
  </si>
  <si>
    <t>Fisheries / Harvest</t>
  </si>
  <si>
    <t>Goals</t>
  </si>
  <si>
    <t>Location</t>
  </si>
  <si>
    <t>Ocean (AK/Can)</t>
  </si>
  <si>
    <t>Rate</t>
  </si>
  <si>
    <t>Ocean (US)</t>
  </si>
  <si>
    <t>Freshwater</t>
  </si>
  <si>
    <t>Number</t>
  </si>
  <si>
    <t>Upper Columbia River Summer Chinook</t>
  </si>
  <si>
    <t>ESA: Not listed</t>
  </si>
  <si>
    <t>Cascades</t>
  </si>
  <si>
    <t>Far Upper CR</t>
  </si>
  <si>
    <t>Chief Joseph (mainstem)</t>
  </si>
  <si>
    <t>Okanogan (Chief Joseph)</t>
  </si>
  <si>
    <t>Methow/Carlton</t>
  </si>
  <si>
    <t>Wells</t>
  </si>
  <si>
    <t>Chelan Falls</t>
  </si>
  <si>
    <t>Wenatchee (Dryden)</t>
  </si>
  <si>
    <t>Penticton</t>
  </si>
  <si>
    <t>Subyearlings</t>
  </si>
  <si>
    <t>Yearlings</t>
  </si>
  <si>
    <t xml:space="preserve"> </t>
  </si>
  <si>
    <t>Table 10.</t>
  </si>
  <si>
    <t>Estimated Numbers of Adult Upper Columbia Summer Chinook Entering the Columbia River.</t>
  </si>
  <si>
    <t>Upriver</t>
  </si>
  <si>
    <t>Catch downstream from Bonneville Dam</t>
  </si>
  <si>
    <t>BV dam</t>
  </si>
  <si>
    <t>Harvest abv BV dam (zn 6)</t>
  </si>
  <si>
    <t>MCN to PRD</t>
  </si>
  <si>
    <t>PRD to Coulee</t>
  </si>
  <si>
    <t>year</t>
  </si>
  <si>
    <t>run</t>
  </si>
  <si>
    <t>Sport</t>
  </si>
  <si>
    <t>Comm</t>
  </si>
  <si>
    <t>Misc</t>
  </si>
  <si>
    <t>Treaty</t>
  </si>
  <si>
    <t>total</t>
  </si>
  <si>
    <t>count</t>
  </si>
  <si>
    <t>sport</t>
  </si>
  <si>
    <t>treaty</t>
  </si>
  <si>
    <t>Zn 6 esc</t>
  </si>
  <si>
    <t>tribal</t>
  </si>
  <si>
    <t>colville</t>
  </si>
  <si>
    <t>Appendix C44. Percent distribution of Columbia River Summers (Columbia River Summer) total fishing mortalities among fisheries and escapement.</t>
  </si>
  <si>
    <t># of</t>
  </si>
  <si>
    <t>Ages</t>
  </si>
  <si>
    <t>SEAK</t>
  </si>
  <si>
    <t>NBC</t>
  </si>
  <si>
    <t>WCVI</t>
  </si>
  <si>
    <t>Geo St</t>
  </si>
  <si>
    <t>Cent.</t>
  </si>
  <si>
    <t>Canada</t>
  </si>
  <si>
    <t>N Falcon</t>
  </si>
  <si>
    <t>S Falcon</t>
  </si>
  <si>
    <t>Pgt Snd</t>
  </si>
  <si>
    <t>Terminal</t>
  </si>
  <si>
    <t>CWTs</t>
  </si>
  <si>
    <t>Present</t>
  </si>
  <si>
    <t>Troll</t>
  </si>
  <si>
    <t>Net</t>
  </si>
  <si>
    <t>Strays</t>
  </si>
  <si>
    <t>Esc.</t>
  </si>
  <si>
    <t>ocean</t>
  </si>
  <si>
    <t>river</t>
  </si>
  <si>
    <t>2,3,4</t>
  </si>
  <si>
    <t>3,4,5</t>
  </si>
  <si>
    <t>4,5</t>
  </si>
  <si>
    <t>Failed</t>
  </si>
  <si>
    <t>Criteria</t>
  </si>
  <si>
    <t>-</t>
  </si>
  <si>
    <t>No Data</t>
  </si>
  <si>
    <t>2,3</t>
  </si>
  <si>
    <t>2,3,4,5</t>
  </si>
  <si>
    <t>SE Alaska</t>
  </si>
  <si>
    <t>CR sport</t>
  </si>
  <si>
    <t>CR comm</t>
  </si>
  <si>
    <t>CR Treaty</t>
  </si>
  <si>
    <t>CR Colville</t>
  </si>
  <si>
    <t>G Norman 8/30 email</t>
  </si>
  <si>
    <t>I think the 2003-12 average (~60%) is a good value for the current overall exp. rate. For the current natural exploitation rate, I think we could use the average value with adjustment that assumes: 100% of average for ocean, 100% of average for inside net, and about 80% of terminal sport catch being mark-selective (with a 15% release mortality rate). When I do a rough calculation, I get about a 55% rate for natural run.</t>
  </si>
  <si>
    <t>Historic harvest: I see that ocean alone was about 50% from 1986-2002, before inside was reopened. But, going back further, prior to the 1960s inside commercial was pretty much wide open in June and July and summer was the focus for seine fisheries 1880-1930s. Ocean harvest was less in the old days but tribal harvest was probably fairly significant at Celilo Falls and Kettle Falls. So I’m thinking around 70% for historical. Maybe there is some literature that makes a better guess.</t>
  </si>
  <si>
    <t>The current U.S v Oregon escapement goals are combined wild and hatchery for harvest management-but broken down for spawning escapement. The combined river mouth goal is 29,000 and 20,000 at Priest Rapids (17,000 natural and 3,000 hatchery). The natural goal includes  13,500 for Wenatchee/Entiat/Chelan and 3,500 for Methow/Okanagan.  These goals are considered interim with a placeholder to re-visit. I’m pretty sure the regional WDFW folks, Colvilles, and PUDs have different ideas about natural escapement goals. Plus, I would think we need to figure out how to represent reintroduction above Coulee into this.</t>
  </si>
  <si>
    <t>The U.S. v. Oregon harvest and allocation is based on the 29,000 at the river mouth with maximum exploitation rates (like spring Chinook) at levels below that and the run is considered harvestable with 50/50 sharing formulas when the run is above-with a buffer at the lower ends of harvestable abundance.</t>
  </si>
  <si>
    <t xml:space="preserve">Ocean harvest in PSC area is driven by overall stocks abundance-based Chinook management so summer Chinook abundance doesn’t really influence the quotas much. </t>
  </si>
  <si>
    <t>The PFMC Chinook harvest is driven by other ESA listed stocks, primary Lower River Tule, so summer Chinook harvest rate is dependent on other stock limiting factors.</t>
  </si>
  <si>
    <t xml:space="preserve"> Quantitative sustainability reference values for (prototype) stock of Columbia R. Salmon and Steelhead. Sustainability includes conservation, viability, ESA recovery, and ecological/ecosystem function. Addresses listed, nonlisted and extirpated populations/MPGs/ESUs. </t>
  </si>
  <si>
    <t>Historical (range)</t>
  </si>
  <si>
    <t>Historical (avg)</t>
  </si>
  <si>
    <t>c One or more potential values might be identified based on historical reference values, desired smolt-to-adult survivals, scope for improvement, etc.  Values were populated by applying spring Chinook IP weighted streambed area to the spawner capacity at threshold, relative to the population size.</t>
  </si>
  <si>
    <t>@ Columbia R Mouth</t>
  </si>
  <si>
    <t>Chelan</t>
  </si>
  <si>
    <t>Mainstem Columbia</t>
  </si>
  <si>
    <t>Blocked area</t>
  </si>
  <si>
    <t>estimate based on long term avg of ~65% NOR</t>
  </si>
  <si>
    <t>Hangman Creek is not summer/fall Chinook habitat, it will be for spring Chinook</t>
  </si>
  <si>
    <t>Chk spawner potential analysis is not yet completed but there is approximately 4x more total wetted area in the transboundary reach as there is in the portion of Rufus that has potential for spawning</t>
  </si>
  <si>
    <t>draft LC model runs are showing about 4500 equalibrium abundance, assumes some passage improvements/facilities.  Straight spawner capacity is more like 20k, will need to recognize that early implementation will be a sliding scale and include some/mostly hatchery fish</t>
  </si>
  <si>
    <t>high includes long term goal for ONA in Canadian Okanagan</t>
  </si>
  <si>
    <t xml:space="preserve">high is current capacity, recognizing that improvements in productivity would be needed to achieve equalibrium abundance of NORs  </t>
  </si>
  <si>
    <t xml:space="preserve">low is current, the med and high arent really a goal so much as a recognition that achiving higher goals across the UC will result in more wild fish everywhere including the Entiat </t>
  </si>
  <si>
    <t xml:space="preserve">1350 is capacity based on chelan PUD estimate of 500 redd max and 2.7 fish per redd, not necessariy all wild spawners </t>
  </si>
  <si>
    <t>Likely need to adjust this number through time because it is not so much a goal as a recognition that all wild summer Chinook in the UCR don’t enter a tributary, many stay in the Columbia.  Its unclear what their origin is, if they are separate spawning populations from the tributaries, or if they are productive</t>
  </si>
  <si>
    <t>placeholder</t>
  </si>
  <si>
    <t>Historical harvest was calculated using values from Scholz et al. 1985 Technical Report #2 and NPPC 1986.  Proportion of UCR harvest, by species, was found in Scholz (pg. 78).  Proportion of Chinook harvest was further broken by run according to run-specific harvest totals found in NPCC 1986 (Tables 3 &amp; 4 of that document). Species &amp; run specific anadromous fish consumption from Table 3.3 (Scholz, pg. 75) were broken down for each tribe by species.  The pounds of species consumed were divided by the species' average weight to get a number of fish consumed by each tribe.  Tribal catches were assigned to geographically appropriate major population groups.  The capture efficiencies of 85% 66%, 50%, and 33% were applied to the catches within the MPGs to estimate numbers of returning adults.</t>
  </si>
  <si>
    <t>Relevant salmon/sthd consumption data using Walker (1985) estimates from Scholz et al. Table 3.3 (pg. 75)</t>
  </si>
  <si>
    <t>Yakima</t>
  </si>
  <si>
    <t>Scholz et al. unlabeled table on pg. 78 (proportion of fish harvested in UCR).</t>
  </si>
  <si>
    <t>All Chinook</t>
  </si>
  <si>
    <t>Total Chinook</t>
  </si>
  <si>
    <t>Historic Harvest by Species (# of fish)</t>
  </si>
  <si>
    <t>Similar to Table 3.8 in Scholz et al., run estimates based on various catch rates applied to harvest estimates updated with values for entire Upper Columbia River.</t>
  </si>
  <si>
    <t>Headwaters</t>
  </si>
  <si>
    <t>Race</t>
  </si>
  <si>
    <t>% of catch</t>
  </si>
  <si>
    <t>Spring</t>
  </si>
  <si>
    <t>Summer</t>
  </si>
  <si>
    <t>Fall</t>
  </si>
  <si>
    <t>UCR Total Summer Chinook</t>
  </si>
  <si>
    <t>High % of historic</t>
  </si>
  <si>
    <t>Redd densities (207-6951 total redds) for Rufus Woods calculated by Hanrahan et al. 2004 are between 7 and 248 redds/rkm within the 28km study area.  Assuming similar densities applied to the tranboundary reach (Kettle Falls to Hugh Keenlyside Dam; 118km) Assume historic spawning in mainstem at river mouths and gravel bars, gave 1/2 of Kettle estimate to this areawith 3 spawners/redd.  See "HabitatPotential_Calcs" for calculations.</t>
  </si>
  <si>
    <t>(current abundance 1989-2014) Hillman et al 2016; MAT from Appleby et al 2010, Capacity from Hillman et al. 2013.  Historic from Chapman 50% summer and spring split</t>
  </si>
  <si>
    <r>
      <t xml:space="preserve">(current abundance 1989-2014) Hillman et al 2016;  Capacity based on Ricker curve in Hillman et al. 2013; MAT from 2009 Proceedings and Findings of the Summer/Fall Chinook Salmon Summits; Subbain Goals from CBFWA Fish and Wildlife Program Recommendation 2009 Amendment; </t>
    </r>
    <r>
      <rPr>
        <b/>
        <sz val="11"/>
        <color theme="1"/>
        <rFont val="Calibri"/>
        <family val="2"/>
        <scheme val="minor"/>
      </rPr>
      <t>source for tribal goal?  historic from Chapman 50% summer and spring split</t>
    </r>
  </si>
  <si>
    <t>Chelan is not a historic 'population' but it is a current spawning aggregate and needs to be included in the accounting of spawners and ESU level objectives, similar to Entiat; (current abundance 2000-2015) Hillman et al 2016.  Historic, no info, but seems reasonable that there would have been Chinook spawning in the chelan river below the falls</t>
  </si>
  <si>
    <t>3169 is just above Wells Dam; 10 yr mean Wells Dam NOR escapement * 15% (WDFW RT study showed that 15% of Wells escapement did not enter a tributary or fall back, or PSM. Historic, no info, but likely a lot of summer/fall chiinook spawning  in the mainstem near river mouths and island bars, gave half of Okanogan summer Chinook spawning to mainstem areas</t>
  </si>
  <si>
    <t>Sanpoil goals are consistent with EDT analysis of potential abundance but rounded off so as not to imply false precision</t>
  </si>
  <si>
    <t>?</t>
  </si>
  <si>
    <t>Extant area</t>
  </si>
  <si>
    <t>ONA</t>
  </si>
  <si>
    <t>Ktunaxa</t>
  </si>
  <si>
    <t>Colville</t>
  </si>
  <si>
    <t># Steelhead</t>
  </si>
  <si>
    <t># Sockeye</t>
  </si>
  <si>
    <t># Coho</t>
  </si>
  <si>
    <t># fall Chinook</t>
  </si>
  <si>
    <t># summer Chinook</t>
  </si>
  <si>
    <t># spring Chinook</t>
  </si>
  <si>
    <t>Annual Consumption (lbs)</t>
  </si>
  <si>
    <t>Fish Consumption Rate (lbs/day)</t>
  </si>
  <si>
    <t>Current Membership</t>
  </si>
  <si>
    <t>Combined (H+W)</t>
  </si>
  <si>
    <t>Goals (Hatchery Production)</t>
  </si>
  <si>
    <t>The low goal also includes stocking surplus fish from below blocked area into the blocked area</t>
  </si>
  <si>
    <t>A reasonable share</t>
  </si>
  <si>
    <t>Fully meet the needs; B-I-G!</t>
  </si>
  <si>
    <t>prespawn mortality (ISAB report quoted 15%, consistent with RT study</t>
  </si>
  <si>
    <t>Draft Tribal harvest goals based on approximate 2018 human populations and various fish consumption rate objectives.  Yellow highlighted cells have not undergone tribal policy approval and should not be considered offical tribal goals.  Pounds per day includes a correction factor of 0.8 to account for 20% inedible biomass/fish.  Species specific consumption goals are based on historic species composition as estimated by Scholz and do not reflect contemporary tribal objectives for species specific harvest needs.</t>
  </si>
  <si>
    <t>These goals are based on meeting a large portion of the UC need with hatchery origin fish, although it may seem high, there are 143 million smolts produced in the Col River basin and a large portion of the historic habitat is upstream of GCD where zero hatchery salmon are produced</t>
  </si>
  <si>
    <t>SAR</t>
  </si>
  <si>
    <t>Current Production</t>
  </si>
  <si>
    <t>Hatchery Production</t>
  </si>
  <si>
    <t>New (blocked area)</t>
  </si>
  <si>
    <t>0.9 - 18 mil</t>
  </si>
  <si>
    <t>Exploitation rate</t>
  </si>
  <si>
    <t>Harvest</t>
  </si>
  <si>
    <t>Goal</t>
  </si>
  <si>
    <t>Now</t>
  </si>
  <si>
    <t>Wild/Natural</t>
  </si>
  <si>
    <t>Total Return</t>
  </si>
  <si>
    <t>@ Goals</t>
  </si>
  <si>
    <t>% hatchery</t>
  </si>
  <si>
    <t>To Upper Col R (PRD)</t>
  </si>
  <si>
    <t>Harvest (Col Basin)</t>
  </si>
  <si>
    <t>Total (smolts)</t>
  </si>
  <si>
    <t>harv</t>
  </si>
  <si>
    <t>Proportion of UCR Historic Harvest</t>
  </si>
  <si>
    <t>Assumed percentage of tribal harvest from various summer Chinook MPGs and populations, a function of the Tribe's U&amp;A and use of invited fisheries.</t>
  </si>
  <si>
    <t>San/K/C</t>
  </si>
  <si>
    <t>East Cascades</t>
  </si>
  <si>
    <t>Estimated Total Spring Chinook Harvest</t>
  </si>
  <si>
    <t>Kootenay/Transb.</t>
  </si>
  <si>
    <t>Hangman Cr.</t>
  </si>
  <si>
    <t>Combined</t>
  </si>
  <si>
    <t>Estimated # of summer Chinook harvested by each tribe, assigned to various MPGs and populations per the assumed percentages above.</t>
  </si>
  <si>
    <r>
      <t xml:space="preserve">Abundance estimates under various catch efficiencies per MPG and Population based upon tribe's historic harvest of </t>
    </r>
    <r>
      <rPr>
        <b/>
        <sz val="11"/>
        <color theme="1"/>
        <rFont val="Calibri"/>
        <family val="2"/>
        <scheme val="minor"/>
      </rPr>
      <t>summer Chinook</t>
    </r>
    <r>
      <rPr>
        <sz val="11"/>
        <color theme="1"/>
        <rFont val="Calibri"/>
        <family val="2"/>
        <scheme val="minor"/>
      </rPr>
      <t>, similar to Scholz Table 3.8</t>
    </r>
  </si>
  <si>
    <t>RUF (Rufus Woods)</t>
  </si>
  <si>
    <t>KOO (Kootenai/Transboundary)</t>
  </si>
  <si>
    <t>HWR (Columbia Headwaters)</t>
  </si>
  <si>
    <t>KOO (Kootenai)/Transboundary</t>
  </si>
  <si>
    <t>HWA</t>
  </si>
  <si>
    <t>Sport Fishery</t>
  </si>
  <si>
    <t>Assumed 12.5% of Regional Harvest</t>
  </si>
  <si>
    <t>Percentage of totals from the above table for use in setting harvest goals for the blocked area, upstream of Chief Joseph Dam</t>
  </si>
  <si>
    <t>Percent of Total</t>
  </si>
  <si>
    <t>Assumed SAR:</t>
  </si>
  <si>
    <t>5.2-50%</t>
  </si>
  <si>
    <t>PRD</t>
  </si>
  <si>
    <t>escape</t>
  </si>
  <si>
    <t>Low goal</t>
  </si>
  <si>
    <t>Med goal</t>
  </si>
  <si>
    <t>High goal</t>
  </si>
  <si>
    <t>Okanogan (US)</t>
  </si>
  <si>
    <t>NOS = 2007-2016 10 yr mean (CCT spawning ground surveys); MAT from Summer Chinook Summit (Appleby et al. 2009); NOS+ HOS = 2007-2016 10 yr mean (CCT spawning ground surveys); Empirical and EDT capacity estimates both right around 16,000 under template conditions, 6,000 under 2009 conditions (CCT OBMEP status and trends report for 2009); EDT capacity for US portion of Okan (17,411) found on pg. 2 of "2015 Chinook Habitat Status and Trend Report Cards for 2013 monitoring" (https://www.okanoganmonitoring.org/Reports/ViewReportsForType/8)</t>
  </si>
  <si>
    <t>Headwaters (CA)</t>
  </si>
  <si>
    <t>MAT not previously estimated, assuming a population of "Basic Size" with an associated MAT of 500 as assigned by ICTRT; Capacity based on Hanrahan et al. 2004 max redds (6951) and 3 fish per redd. Historic, gave half of the Sanpoil summer Chinook to mainstem spawning in rufus woods based on  assumption that mainstem spawning occurred at river mouths and mainstem gravel bars</t>
  </si>
  <si>
    <t>MAT not previously estimated, assuming a population of "Basic Size" with an associated MAT of 500 as assigned by ICTRT; Habitat capacity and Potential for Sanpoil reflect equilibrium abundance results from EDT modeling scenarios (ICFI 2017). Historic; gave half of the Sanpoil summer Chinook to mainstem spawning in rufus woods based on  assumption that mainstem spawning occurred at river mouths and mainstem gravel bars</t>
  </si>
  <si>
    <t>MAT not previously estimated, assuming a population of "Basic Size" with an associated MAT of 500 as assigned by ICTRT; Capacities from ONA IP Report (175) and STI EDT Report (397).  CCT did not consider summer Chin for on-reservation tribs to Roosevelt.
; historic-used 25% of the historic estimate for the area in the Kettle River</t>
  </si>
  <si>
    <t>MAT not previously estimated, assuming a population of "Large Size" with an associated MAT of 1000 as assigned by ICTRT; Habitat potential estimates found in Bussanich et al. 2017. Capacities from ONA IP Report - SAME NUMBERS ALREADY REPORTED UNDER SPRING CHIN. Relative abundance (including present barriers) for regions within the Koot/Transb population = 65% of total 3,475 chinook from ONA IP report assigned to summer Chinook.  10,000 from 50% of Transboundary capacity estimates from CCT (other 50% assigned to fall Chinook).  Historic was 25% of the Kootenai estimate because most of the summer Chinook would have been going to the  far upper Columbia which is not accounted for in the Scholz estimates</t>
  </si>
  <si>
    <t>historic * 0.8, likely much of the historic abundance was spread througout the mainstem areas and they got a portion of the harvest from Kettle Falls; Current equilib abund (6729) from STI EDT report for all subpopulations within Spokane Subbasin under BiOp passage scenario.  Removed 765, which is 50% of summer/fall chinook modeled for the mainstem spokane assessment unit because these were assigned to fall Chinook.</t>
  </si>
  <si>
    <t>Anticipated</t>
  </si>
  <si>
    <t>Potential</t>
  </si>
  <si>
    <t>Passing &gt; Chief Joseph</t>
  </si>
  <si>
    <t>Limit</t>
  </si>
  <si>
    <t>40-80%</t>
  </si>
  <si>
    <t>20-35 thou</t>
  </si>
  <si>
    <t>Record type</t>
  </si>
  <si>
    <t>Subject</t>
  </si>
  <si>
    <t>Variable</t>
  </si>
  <si>
    <t>Value</t>
  </si>
  <si>
    <t>Metric</t>
  </si>
  <si>
    <t>Method</t>
  </si>
  <si>
    <t>Years</t>
  </si>
  <si>
    <t>Quantitative Goal Rules</t>
  </si>
  <si>
    <t>Reference</t>
  </si>
  <si>
    <t>Reference Link</t>
  </si>
  <si>
    <t>Notes</t>
  </si>
  <si>
    <t>Mainstem non treaty</t>
  </si>
  <si>
    <t>Mainstem treaty</t>
  </si>
  <si>
    <t xml:space="preserve">NOS = 2007-2016 10 yr mean (CCT spawning ground surveys);  NOS+ HOS = 2007-2016 10 yr mean (CCT spawning ground surveys); </t>
  </si>
  <si>
    <t xml:space="preserve">Chelan is not a historic 'population' but it is a current spawning aggregate and needs to be included in the accounting of spawners and ESU level objectives, similar to Entiat; (current abundance 2000-2015) Hillman et al 2016. </t>
  </si>
  <si>
    <t>Historic abundance estimates were calculated using data derived from Scholz et al. 1985.</t>
  </si>
  <si>
    <t>natural origin spawners adults</t>
  </si>
  <si>
    <t>no goal identified, not a historical population, system being managed for spring chinook</t>
  </si>
  <si>
    <t>UCR Regional Technical Team</t>
  </si>
  <si>
    <t>geomean</t>
  </si>
  <si>
    <t>minimum abundance threshold</t>
  </si>
  <si>
    <t>not applicable</t>
  </si>
  <si>
    <t>Low range - 2</t>
  </si>
  <si>
    <t>Defined to produce equivalent number of fish to historical fishery area (based on MATs for upstream populations)</t>
  </si>
  <si>
    <t xml:space="preserve">Empirical and EDT capacity estimates both right around 16,000 under template conditions, 6,000 under 2009 conditions (CCT OBMEP status and trends report for 2009); EDT capacity for US portion of Okan (17,411) found on pg. 2 of "2015 Chinook Habitat Status and Trend Report Cards for 2013 monitoring" </t>
  </si>
  <si>
    <t>Okanogan Basin Monitoring and Evaluation Program. 2015. Chinook Habitat Status and Trend Report Cards for 2013 monitoring.</t>
  </si>
  <si>
    <t>EDT model (scenario)</t>
  </si>
  <si>
    <t>Mid range - 1</t>
  </si>
  <si>
    <t>2007-2016</t>
  </si>
  <si>
    <t xml:space="preserve">Hillman T, T Kahler, G Mackey, A Murdoch, K Murdoch, T Pearsons, M Tonseth, and C Willard. 2017. Monitoring and evaluation plan for PUD hatchery programs: 2017 update. Report to the HCP and PRCC Hatchery Committees, Wenatchee and Ephrata, WA. </t>
  </si>
  <si>
    <t>https://www.grantpud.org/templates/galaxy/images/images/Downloads/ResourceCommittees/OtherDocuments/2017_Final_Annual_Report_with_Appendices.pdf</t>
  </si>
  <si>
    <t>Spawning escapement</t>
  </si>
  <si>
    <t>NOS</t>
  </si>
  <si>
    <t>pHOS</t>
  </si>
  <si>
    <t>Okanogan/Similkameen</t>
  </si>
  <si>
    <t>Chelan R</t>
  </si>
  <si>
    <t>spawners</t>
  </si>
  <si>
    <t>Frasier and Hamstreet 2016</t>
  </si>
  <si>
    <t>https://www.fws.gov/leavenworthfisheriescomplex/MidColumbiaFWCO/pdf/Entiat%20River%20Chinook%20Spawning%20Grd%20Survey%202017.pdf</t>
  </si>
  <si>
    <t>Frasier, G.S., C. O. Hamstreet, J. Bednarek and M. R. Cooper. 2018. Chinook Salmon spawning ground surveys on the Entiat River, 2017. USFWS. Leavenworth WA</t>
  </si>
  <si>
    <t>Entiat summer Chinook spawner estimates</t>
  </si>
  <si>
    <t>Frasier and Hamstreet 2018</t>
  </si>
  <si>
    <t>total spnrs</t>
  </si>
  <si>
    <t>natl spners</t>
  </si>
  <si>
    <t>Dam counts</t>
  </si>
  <si>
    <t>https://static1.squarespace.com/static/56f45574d51cd42551248613/t/5b70edaf575d1febd102deb3/1534127541467/2017+Okanogan+Adult+Fish+Pilot+Weir+Report_final.pdf</t>
  </si>
  <si>
    <t>HOS</t>
  </si>
  <si>
    <t>old</t>
  </si>
  <si>
    <t>Pearl, A., and C. Baldwin. 2018. The Chief Joseph Hatchery Program Okanogan River adult fish pilot weir 2017 summary of methods and results. Colville Confederated Tribes.</t>
  </si>
  <si>
    <t>average</t>
  </si>
  <si>
    <t>Stock-recruitment analysis</t>
  </si>
  <si>
    <t>pre 1900</t>
  </si>
  <si>
    <t>Scholz, A., K. O’Laughlin, D. Geist, D. Peone, J. Vehara, L. Fields, T. Kliest, I. Zonzaya, T. Peone, and K. Teesatuski. 1985. Compilation of information on salmon and steelhead total run size, catch and hydropower related losses in the Upper Columbia River Basin, above Grand Coulee Dam. Upper Columbia United Tribes Fisheries Center, Fisheries Technical Report Number 2, Cheney, WA.</t>
  </si>
  <si>
    <t>blocked area</t>
  </si>
  <si>
    <t>Present condition</t>
  </si>
  <si>
    <t>Inference from tribal consumption</t>
  </si>
  <si>
    <t>From Baldwin "Chelan is not a historic 'population' but it is a current spawning aggregate and needs to be included in the accounting of spawners and ESU level objectives, Historic, no info, but seems reasonable that there would have been Chinook spawning in the chelan river below the falls"</t>
  </si>
  <si>
    <t>https://static1.squarespace.com/static/56f45574d51cd42551248613/t/57c5bcc0e6f2e11d59e11983/1472576706446/2009StatusReport.pdf</t>
  </si>
  <si>
    <t>Appleby et al. 2009 Proceedings and Findings of the  Summer/Fall Chinook Salmon Summits. Confederated Colville Tribes.</t>
  </si>
  <si>
    <t>Based on ICRT guidance</t>
  </si>
  <si>
    <t>Yakama</t>
  </si>
  <si>
    <t>@ Prosser</t>
  </si>
  <si>
    <t>adults</t>
  </si>
  <si>
    <t>jacks</t>
  </si>
  <si>
    <t>C Frederikson, YN</t>
  </si>
  <si>
    <t>Extirpated from Yakima subbasin by 1970. Reintroduced with YN juvenile releases starting in 2009. early phase of reintroduction, NOR abundance refects &lt;10% of total returns back to Yakima in recent years</t>
  </si>
  <si>
    <t>natl ad</t>
  </si>
  <si>
    <t>Inference from dam counts</t>
  </si>
  <si>
    <t>http://dashboard.yakamafish-star.net/DataQuery/TotalReturnsDash</t>
  </si>
  <si>
    <t>2016-2018</t>
  </si>
  <si>
    <t>recent 10-yr</t>
  </si>
  <si>
    <t>J Zendt, YN</t>
  </si>
  <si>
    <t>expert judgement</t>
  </si>
  <si>
    <t>spawning ground survey</t>
  </si>
  <si>
    <t>reflects half of summer/fall chinook escapement goal in masterplan</t>
  </si>
  <si>
    <t>number is not so much a goal as a recognition that all wild summer Chinook in the UCR don’t enter a tributary, many stay in the Columbia.  Its unclear what their origin is, if they are separate spawning populations from the tributaries, or if they are productive</t>
  </si>
  <si>
    <t>https://www.bpa.gov/efw/Analysis/NEPADocuments/nepa/MelvinSampsonHatchery/REFERENCE-1%20Yakima%20Subbasin%20Summer-%20and%20Fall-Run%20Chinook%20and%20Coho%20Salmon%20Hatchery%20Master%20Plan%20-%20May%202012.pdf</t>
  </si>
  <si>
    <t>defined by YN staff for the purposes of this project</t>
  </si>
  <si>
    <t>Inferred from ICRT guidance for Chinook</t>
  </si>
  <si>
    <t>Mid range - 3</t>
  </si>
  <si>
    <t>Capacity based on Ricker curve Neq in Hillman et al.; historic from Chapman 50% summer and spring split</t>
  </si>
  <si>
    <t>https://www.okanoganmonitoring.org/Reports/ViewReportsForType/8</t>
  </si>
  <si>
    <t>Mid range - 4</t>
  </si>
  <si>
    <t>Assuming 12% of tributary escapements based on current distribution</t>
  </si>
  <si>
    <t>run reconstruction</t>
  </si>
  <si>
    <t>1.5 x current</t>
  </si>
  <si>
    <t>High range - 3</t>
  </si>
  <si>
    <t xml:space="preserve">Conor Giorgi: Estimates from OBMEP EDT modeling differ between 2009 report (current cndtn. = ~6000, template = ~16000; Doyle 2013) and 2013 report cards (17,411; 2015).  Report cards unclear whether estimates are for current condition or template. </t>
  </si>
  <si>
    <t>Based on existing spawning capacity in blocked areas - intended to deliver an equivalent number of fish to historical fishery area</t>
  </si>
  <si>
    <t>MULTIPLIER OF SPAWNING HABITAT CAPACITY to reflect improvements to ecosystem and/or operations</t>
  </si>
  <si>
    <t>To Bonneville Dam</t>
  </si>
  <si>
    <t>Harvest (Total)</t>
  </si>
  <si>
    <t>Escapement</t>
  </si>
  <si>
    <t>natl spnrs</t>
  </si>
  <si>
    <t>% of wells</t>
  </si>
  <si>
    <t>2006-2017</t>
  </si>
  <si>
    <t>Combined Natural/Hatchery</t>
  </si>
  <si>
    <t>col R</t>
  </si>
  <si>
    <t>non trty</t>
  </si>
  <si>
    <t>trty</t>
  </si>
  <si>
    <t>terminal</t>
  </si>
  <si>
    <t>Current avg</t>
  </si>
  <si>
    <t>(2008-2017)</t>
  </si>
  <si>
    <t>current</t>
  </si>
  <si>
    <t>ocn harv total</t>
  </si>
  <si>
    <t>ocn abundance</t>
  </si>
  <si>
    <t>ocn ER total</t>
  </si>
  <si>
    <t>check 1 (ocn harv total)</t>
  </si>
  <si>
    <t>ER v Ocn</t>
  </si>
  <si>
    <t>forwards</t>
  </si>
  <si>
    <t>backwards</t>
  </si>
  <si>
    <t>Medium</t>
  </si>
  <si>
    <t>actual</t>
  </si>
  <si>
    <t>mort</t>
  </si>
  <si>
    <t>surv</t>
  </si>
  <si>
    <t>cummul</t>
  </si>
  <si>
    <t>diff</t>
  </si>
  <si>
    <t>terminal run</t>
  </si>
  <si>
    <t>wild</t>
  </si>
  <si>
    <t>Natl loss from PRD to terminal area</t>
  </si>
  <si>
    <t>Harvest from PRD to terminal area</t>
  </si>
  <si>
    <t>@ PRD</t>
  </si>
  <si>
    <t>Natl loss from BON to PRD</t>
  </si>
  <si>
    <t>Harvest from BON to PRD</t>
  </si>
  <si>
    <t>@BON</t>
  </si>
  <si>
    <t>Natl loss from mouth to BON</t>
  </si>
  <si>
    <t>Harvest from mouth to BON</t>
  </si>
  <si>
    <t>CR run</t>
  </si>
  <si>
    <t>ER v mouth</t>
  </si>
  <si>
    <t>Conversion loss</t>
  </si>
  <si>
    <t>%</t>
  </si>
  <si>
    <t>ER goal</t>
  </si>
  <si>
    <t>These are aspirational harvest rates identified to provide progressively reasonable opportunity</t>
  </si>
  <si>
    <t>scalar</t>
  </si>
  <si>
    <t>hatchery</t>
  </si>
  <si>
    <t>Natl loss from LGr to terminal area</t>
  </si>
  <si>
    <t>Harvest from LGR to terminal area</t>
  </si>
  <si>
    <t>harv rates adjusted to maintain similar hatchery escapement</t>
  </si>
  <si>
    <t>Natl loss from BON to MCN</t>
  </si>
  <si>
    <t>Harvest from BON to MCN</t>
  </si>
  <si>
    <t>releases</t>
  </si>
  <si>
    <t>Subjective assumptions for how much hatchery harvest rates might increase relative to wild rates</t>
  </si>
  <si>
    <t>Ocn abundance</t>
  </si>
  <si>
    <t>Harvest in ocean</t>
  </si>
  <si>
    <t>Hat % =</t>
  </si>
  <si>
    <t>Total harvest CR</t>
  </si>
  <si>
    <t>Expl rates (v CR)</t>
  </si>
  <si>
    <t>LCR</t>
  </si>
  <si>
    <t>v CR</t>
  </si>
  <si>
    <t>Zn 6 + McN</t>
  </si>
  <si>
    <t>v BON</t>
  </si>
  <si>
    <t>UCR</t>
  </si>
  <si>
    <t>v PRD</t>
  </si>
  <si>
    <t>v ocn (PSC)</t>
  </si>
  <si>
    <t>v ocn (use)</t>
  </si>
  <si>
    <t>comm</t>
  </si>
  <si>
    <t>BON-PRD</t>
  </si>
  <si>
    <t>conv</t>
  </si>
  <si>
    <t>weird</t>
  </si>
  <si>
    <t>PIT tag conversion rates not reported in recovery plans (not listed)</t>
  </si>
  <si>
    <t>forwards (upstream)</t>
  </si>
  <si>
    <t>backwards (downstream)</t>
  </si>
  <si>
    <t>Avg (v ocn)</t>
  </si>
  <si>
    <t>Avg (v CR)</t>
  </si>
  <si>
    <t>Total harvest (incl ocean)</t>
  </si>
  <si>
    <t>ER v ocean</t>
  </si>
  <si>
    <t>assume no change in ocean fisheries</t>
  </si>
  <si>
    <t>JS</t>
  </si>
  <si>
    <t>CHSu</t>
  </si>
  <si>
    <t>RB: increase in abundance since 2000s appears to result from better ocean, increase in hatchery releases, and presumably improving freshwater considtions</t>
  </si>
  <si>
    <t>2003-2012</t>
  </si>
  <si>
    <t>Catch Year</t>
  </si>
  <si>
    <t>Est</t>
  </si>
  <si>
    <t>AABM Fishery</t>
  </si>
  <si>
    <t>ISBM Fishery</t>
  </si>
  <si>
    <t>Terminal Fishery</t>
  </si>
  <si>
    <t>CWT</t>
  </si>
  <si>
    <t>NBC &amp; CBC</t>
  </si>
  <si>
    <t>Southern BC</t>
  </si>
  <si>
    <t>WAC</t>
  </si>
  <si>
    <t>Puget Sd</t>
  </si>
  <si>
    <t>Southern US</t>
  </si>
  <si>
    <t>Stray</t>
  </si>
  <si>
    <t>T</t>
  </si>
  <si>
    <t>N</t>
  </si>
  <si>
    <t>S</t>
  </si>
  <si>
    <t>Failed Criteria</t>
  </si>
  <si>
    <t>85–95</t>
  </si>
  <si>
    <t>96–98</t>
  </si>
  <si>
    <t>99–08</t>
  </si>
  <si>
    <t>09–16</t>
  </si>
  <si>
    <t>(less stray)</t>
  </si>
  <si>
    <t>million</t>
  </si>
  <si>
    <t>total spnr</t>
  </si>
  <si>
    <t>Life History: Summer run, ocean type</t>
  </si>
  <si>
    <t>Yakima (Prosser/Marion Drain)</t>
  </si>
  <si>
    <t>5.9-23.0 mil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</si>
</sst>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0.000"/>
    <numFmt numFmtId="167" formatCode="#,##0.0"/>
  </numFmts>
  <fonts count="6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entury Gothic"/>
      <family val="2"/>
    </font>
    <font>
      <sz val="10"/>
      <color theme="1"/>
      <name val="Century Gothic"/>
      <family val="2"/>
    </font>
    <font>
      <sz val="11"/>
      <color rgb="FF222222"/>
      <name val="Arial"/>
      <family val="2"/>
    </font>
    <font>
      <b/>
      <sz val="11"/>
      <color rgb="FF222222"/>
      <name val="Arial"/>
      <family val="2"/>
    </font>
    <font>
      <sz val="11"/>
      <color rgb="FF222222"/>
      <name val="Inherit"/>
    </font>
    <font>
      <sz val="12"/>
      <color theme="1"/>
      <name val="Calibri"/>
      <family val="2"/>
      <scheme val="minor"/>
    </font>
    <font>
      <b/>
      <sz val="12"/>
      <color theme="1"/>
      <name val="Calibri"/>
      <family val="2"/>
      <scheme val="minor"/>
    </font>
    <font>
      <b/>
      <vertAlign val="superscript"/>
      <sz val="11"/>
      <color theme="1"/>
      <name val="Calibri"/>
      <family val="2"/>
      <scheme val="minor"/>
    </font>
    <font>
      <vertAlign val="superscript"/>
      <sz val="11"/>
      <color theme="1"/>
      <name val="Calibri"/>
      <family val="2"/>
      <scheme val="minor"/>
    </font>
    <font>
      <i/>
      <vertAlign val="superscript"/>
      <sz val="11"/>
      <color theme="1"/>
      <name val="Calibri"/>
      <family val="2"/>
      <scheme val="minor"/>
    </font>
    <font>
      <i/>
      <sz val="11"/>
      <color theme="1"/>
      <name val="Calibri"/>
      <family val="2"/>
      <scheme val="minor"/>
    </font>
    <font>
      <sz val="12"/>
      <color rgb="FF000000"/>
      <name val="Calibri"/>
      <family val="2"/>
      <scheme val="minor"/>
    </font>
    <font>
      <b/>
      <sz val="12"/>
      <color rgb="FFFFFFFF"/>
      <name val="Calibri"/>
      <family val="2"/>
      <scheme val="minor"/>
    </font>
    <font>
      <vertAlign val="superscript"/>
      <sz val="12"/>
      <color rgb="FF000000"/>
      <name val="Calibri"/>
      <family val="2"/>
      <scheme val="minor"/>
    </font>
    <font>
      <u/>
      <sz val="11"/>
      <color theme="10"/>
      <name val="Calibri"/>
      <family val="2"/>
      <scheme val="minor"/>
    </font>
    <font>
      <sz val="9"/>
      <color indexed="81"/>
      <name val="Tahoma"/>
      <family val="2"/>
    </font>
    <font>
      <b/>
      <sz val="9"/>
      <color indexed="81"/>
      <name val="Tahoma"/>
      <family val="2"/>
    </font>
    <font>
      <u/>
      <sz val="11"/>
      <color theme="1"/>
      <name val="Calibri"/>
      <family val="2"/>
      <scheme val="minor"/>
    </font>
    <font>
      <b/>
      <sz val="11"/>
      <color rgb="FFFF0000"/>
      <name val="Calibri"/>
      <family val="2"/>
      <scheme val="minor"/>
    </font>
    <font>
      <b/>
      <strike/>
      <sz val="11"/>
      <color rgb="FFFF0000"/>
      <name val="Calibri"/>
      <family val="2"/>
      <scheme val="minor"/>
    </font>
    <font>
      <b/>
      <sz val="14"/>
      <color theme="0"/>
      <name val="Calibri"/>
      <family val="2"/>
      <scheme val="minor"/>
    </font>
    <font>
      <b/>
      <sz val="14"/>
      <color rgb="FFFF0000"/>
      <name val="Calibri"/>
      <family val="2"/>
      <scheme val="minor"/>
    </font>
    <font>
      <b/>
      <u/>
      <sz val="11"/>
      <color theme="1"/>
      <name val="Calibri"/>
      <family val="2"/>
      <scheme val="minor"/>
    </font>
    <font>
      <sz val="11"/>
      <name val="Calibri"/>
      <family val="2"/>
      <scheme val="minor"/>
    </font>
    <font>
      <sz val="10"/>
      <color rgb="FF000000"/>
      <name val="Times New Roman"/>
      <family val="1"/>
    </font>
    <font>
      <b/>
      <i/>
      <sz val="10"/>
      <color rgb="FF000000"/>
      <name val="Times New Roman"/>
      <family val="1"/>
    </font>
    <font>
      <i/>
      <sz val="11"/>
      <color indexed="8"/>
      <name val="Calibri"/>
      <family val="2"/>
    </font>
    <font>
      <sz val="11"/>
      <color indexed="8"/>
      <name val="Calibri"/>
      <family val="2"/>
    </font>
    <font>
      <sz val="11"/>
      <name val="Times New Roman"/>
      <family val="1"/>
      <charset val="204"/>
    </font>
    <font>
      <sz val="11"/>
      <color indexed="8"/>
      <name val="Arial"/>
      <family val="2"/>
    </font>
    <font>
      <sz val="11"/>
      <color rgb="FF1F497D"/>
      <name val="Calibri"/>
      <family val="2"/>
    </font>
    <font>
      <sz val="11"/>
      <color rgb="FF1F497D"/>
      <name val="Calibri"/>
      <family val="2"/>
      <scheme val="minor"/>
    </font>
    <font>
      <sz val="10"/>
      <name val="Arial"/>
      <family val="2"/>
    </font>
    <font>
      <sz val="10"/>
      <color theme="1"/>
      <name val="Arial"/>
      <family val="2"/>
    </font>
    <font>
      <b/>
      <i/>
      <sz val="11"/>
      <color theme="1"/>
      <name val="Calibri"/>
      <family val="2"/>
      <scheme val="minor"/>
    </font>
    <font>
      <sz val="14"/>
      <color rgb="FFFF0000"/>
      <name val="Calibri"/>
      <family val="2"/>
      <scheme val="minor"/>
    </font>
    <font>
      <sz val="14"/>
      <color theme="1"/>
      <name val="Calibri"/>
      <family val="2"/>
      <scheme val="minor"/>
    </font>
    <font>
      <sz val="11"/>
      <color rgb="FF000000"/>
      <name val="Calibri"/>
      <family val="2"/>
      <scheme val="minor"/>
    </font>
    <font>
      <sz val="11"/>
      <color theme="0" tint="-0.499984740745262"/>
      <name val="Calibri"/>
      <family val="2"/>
      <scheme val="minor"/>
    </font>
    <font>
      <b/>
      <sz val="11"/>
      <color theme="0" tint="-0.499984740745262"/>
      <name val="Calibri"/>
      <family val="2"/>
      <scheme val="minor"/>
    </font>
    <font>
      <b/>
      <u/>
      <sz val="11"/>
      <color theme="0" tint="-0.499984740745262"/>
      <name val="Calibri"/>
      <family val="2"/>
      <scheme val="minor"/>
    </font>
    <font>
      <b/>
      <i/>
      <sz val="11"/>
      <color theme="0" tint="-0.499984740745262"/>
      <name val="Calibri"/>
      <family val="2"/>
      <scheme val="minor"/>
    </font>
    <font>
      <b/>
      <sz val="8"/>
      <color theme="0" tint="-0.499984740745262"/>
      <name val="Calibri"/>
      <family val="2"/>
      <scheme val="minor"/>
    </font>
    <font>
      <sz val="10"/>
      <color rgb="FFFF0000"/>
      <name val="Century Gothic"/>
      <family val="2"/>
    </font>
    <font>
      <sz val="9"/>
      <color rgb="FFFF0000"/>
      <name val="Cambria"/>
      <family val="1"/>
    </font>
    <font>
      <sz val="11"/>
      <color theme="3" tint="-0.499984740745262"/>
      <name val="Calibri"/>
      <family val="2"/>
      <scheme val="minor"/>
    </font>
    <font>
      <sz val="10"/>
      <color rgb="FFFF0000"/>
      <name val="Times New Roman"/>
      <family val="1"/>
    </font>
    <font>
      <sz val="11"/>
      <color rgb="FF000000"/>
      <name val="Calibri"/>
      <family val="2"/>
    </font>
    <font>
      <b/>
      <sz val="14"/>
      <color theme="1"/>
      <name val="Calibri"/>
      <family val="2"/>
      <scheme val="minor"/>
    </font>
    <font>
      <sz val="14"/>
      <color theme="0" tint="-0.499984740745262"/>
      <name val="Calibri"/>
      <family val="2"/>
      <scheme val="minor"/>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F00"/>
        <bgColor indexed="64"/>
      </patternFill>
    </fill>
    <fill>
      <patternFill patternType="solid">
        <fgColor rgb="FFD9E2F3"/>
        <bgColor indexed="64"/>
      </patternFill>
    </fill>
    <fill>
      <patternFill patternType="solid">
        <fgColor rgb="FFC5E0B3"/>
        <bgColor indexed="64"/>
      </patternFill>
    </fill>
    <fill>
      <patternFill patternType="solid">
        <fgColor rgb="FF538135"/>
        <bgColor indexed="64"/>
      </patternFill>
    </fill>
    <fill>
      <patternFill patternType="solid">
        <fgColor theme="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4" tint="0.79998168889431442"/>
        <bgColor indexed="64"/>
      </patternFill>
    </fill>
    <fill>
      <patternFill patternType="solid">
        <fgColor rgb="FFDADADA"/>
        <bgColor indexed="64"/>
      </patternFill>
    </fill>
    <fill>
      <patternFill patternType="solid">
        <fgColor theme="8"/>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C0C0C0"/>
        <bgColor indexed="64"/>
      </patternFill>
    </fill>
    <fill>
      <patternFill patternType="solid">
        <fgColor rgb="FF008D85"/>
        <bgColor indexed="64"/>
      </patternFill>
    </fill>
    <fill>
      <patternFill patternType="solid">
        <fgColor theme="6" tint="0.59999389629810485"/>
        <bgColor indexed="64"/>
      </patternFill>
    </fill>
    <fill>
      <patternFill patternType="solid">
        <fgColor rgb="FFCDFFFD"/>
        <bgColor indexed="64"/>
      </patternFill>
    </fill>
    <fill>
      <patternFill patternType="solid">
        <fgColor rgb="FFEBFFFE"/>
        <bgColor indexed="64"/>
      </patternFill>
    </fill>
  </fills>
  <borders count="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32" fillId="0" borderId="0" applyNumberFormat="0" applyFill="0" applyBorder="0" applyAlignment="0" applyProtection="0"/>
    <xf numFmtId="9" fontId="1" fillId="0" borderId="0" applyFont="0" applyFill="0" applyBorder="0" applyAlignment="0" applyProtection="0"/>
    <xf numFmtId="0" fontId="50" fillId="0" borderId="0"/>
  </cellStyleXfs>
  <cellXfs count="755">
    <xf numFmtId="0" fontId="0" fillId="0" borderId="0" xfId="0"/>
    <xf numFmtId="0" fontId="18" fillId="0" borderId="0" xfId="0" applyFont="1"/>
    <xf numFmtId="0" fontId="19" fillId="0" borderId="0" xfId="0" applyFont="1"/>
    <xf numFmtId="0" fontId="21" fillId="34" borderId="10" xfId="0" applyFont="1" applyFill="1" applyBorder="1" applyAlignment="1">
      <alignment vertical="center" wrapText="1"/>
    </xf>
    <xf numFmtId="0" fontId="20" fillId="33" borderId="10" xfId="0" applyFont="1" applyFill="1" applyBorder="1" applyAlignment="1">
      <alignment vertical="center" wrapText="1"/>
    </xf>
    <xf numFmtId="0" fontId="16" fillId="35" borderId="17" xfId="0" applyFont="1" applyFill="1" applyBorder="1" applyAlignment="1">
      <alignment horizontal="center" vertical="center" wrapText="1"/>
    </xf>
    <xf numFmtId="0" fontId="1" fillId="0" borderId="17" xfId="0" applyFont="1" applyBorder="1" applyAlignment="1">
      <alignment horizontal="center" vertical="center" wrapText="1"/>
    </xf>
    <xf numFmtId="0" fontId="27" fillId="0" borderId="0" xfId="0" applyFont="1" applyAlignment="1">
      <alignment vertical="center"/>
    </xf>
    <xf numFmtId="0" fontId="29" fillId="36" borderId="18" xfId="0" applyFont="1" applyFill="1" applyBorder="1" applyAlignment="1">
      <alignment horizontal="center" vertical="center" wrapText="1"/>
    </xf>
    <xf numFmtId="0" fontId="23" fillId="36" borderId="18" xfId="0" applyFont="1" applyFill="1" applyBorder="1" applyAlignment="1">
      <alignment vertical="center" wrapText="1"/>
    </xf>
    <xf numFmtId="0" fontId="29" fillId="36" borderId="17" xfId="0" applyFont="1" applyFill="1" applyBorder="1" applyAlignment="1">
      <alignment horizontal="center" vertical="center" wrapText="1"/>
    </xf>
    <xf numFmtId="0" fontId="23" fillId="36" borderId="17" xfId="0" applyFont="1" applyFill="1" applyBorder="1" applyAlignment="1">
      <alignment vertical="center" wrapText="1"/>
    </xf>
    <xf numFmtId="0" fontId="30" fillId="37" borderId="11" xfId="0" applyFont="1" applyFill="1" applyBorder="1" applyAlignment="1">
      <alignment horizontal="center" vertical="center" wrapText="1"/>
    </xf>
    <xf numFmtId="0" fontId="30" fillId="37" borderId="18" xfId="0" applyFont="1" applyFill="1" applyBorder="1" applyAlignment="1">
      <alignment horizontal="center" vertical="center" wrapText="1"/>
    </xf>
    <xf numFmtId="0" fontId="32" fillId="0" borderId="0" xfId="43"/>
    <xf numFmtId="3" fontId="0" fillId="0" borderId="0" xfId="0" applyNumberFormat="1"/>
    <xf numFmtId="3" fontId="1" fillId="0" borderId="17" xfId="0" applyNumberFormat="1" applyFont="1" applyBorder="1" applyAlignment="1">
      <alignment horizontal="center" vertical="center" wrapText="1"/>
    </xf>
    <xf numFmtId="0" fontId="0" fillId="0" borderId="17" xfId="0" applyBorder="1" applyAlignment="1">
      <alignment horizontal="center" vertical="center" wrapText="1"/>
    </xf>
    <xf numFmtId="0" fontId="0" fillId="0" borderId="0" xfId="0" applyAlignment="1">
      <alignment horizontal="center"/>
    </xf>
    <xf numFmtId="1" fontId="19" fillId="0" borderId="0" xfId="0" applyNumberFormat="1" applyFont="1" applyAlignment="1">
      <alignment horizontal="center"/>
    </xf>
    <xf numFmtId="0" fontId="0" fillId="0" borderId="0" xfId="0" applyAlignment="1">
      <alignment horizontal="left" vertical="center" wrapText="1"/>
    </xf>
    <xf numFmtId="0" fontId="0" fillId="0" borderId="21" xfId="0" applyBorder="1" applyAlignment="1">
      <alignment horizontal="center" vertical="center" wrapText="1"/>
    </xf>
    <xf numFmtId="0" fontId="16" fillId="35" borderId="25" xfId="0" applyFont="1" applyFill="1" applyBorder="1" applyAlignment="1">
      <alignment horizontal="center" vertical="center" wrapText="1"/>
    </xf>
    <xf numFmtId="0" fontId="1" fillId="0" borderId="21" xfId="0" applyFont="1" applyBorder="1" applyAlignment="1">
      <alignment horizontal="center" vertical="center" wrapText="1"/>
    </xf>
    <xf numFmtId="0" fontId="0" fillId="34" borderId="0" xfId="0" applyFill="1"/>
    <xf numFmtId="0" fontId="1" fillId="0" borderId="16" xfId="0" applyFont="1" applyBorder="1" applyAlignment="1">
      <alignment horizontal="center" vertical="center" wrapText="1"/>
    </xf>
    <xf numFmtId="0" fontId="1" fillId="0" borderId="10" xfId="0" applyFont="1" applyBorder="1" applyAlignment="1">
      <alignment horizontal="center" vertical="center" wrapText="1"/>
    </xf>
    <xf numFmtId="0" fontId="0" fillId="0" borderId="25" xfId="0" applyBorder="1" applyAlignment="1">
      <alignment horizontal="center" vertical="center" wrapText="1"/>
    </xf>
    <xf numFmtId="0" fontId="0" fillId="0" borderId="10" xfId="0" applyBorder="1"/>
    <xf numFmtId="0" fontId="0" fillId="0" borderId="10" xfId="0" applyBorder="1" applyAlignment="1">
      <alignment horizontal="center" vertical="center" wrapText="1"/>
    </xf>
    <xf numFmtId="0" fontId="1" fillId="34" borderId="10" xfId="0" applyFont="1" applyFill="1" applyBorder="1" applyAlignment="1">
      <alignment horizontal="center" vertical="center" wrapText="1"/>
    </xf>
    <xf numFmtId="164" fontId="1" fillId="0" borderId="10" xfId="42" applyNumberFormat="1" applyBorder="1" applyAlignment="1">
      <alignment horizontal="center" vertical="center" wrapText="1"/>
    </xf>
    <xf numFmtId="0" fontId="0" fillId="0" borderId="0" xfId="0" applyAlignment="1">
      <alignment horizontal="center" vertical="center" wrapText="1"/>
    </xf>
    <xf numFmtId="0" fontId="1" fillId="0" borderId="36"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0" xfId="0" applyFont="1" applyAlignment="1">
      <alignment horizontal="center" vertical="center" wrapText="1"/>
    </xf>
    <xf numFmtId="0" fontId="1" fillId="34" borderId="16" xfId="0" applyFont="1" applyFill="1" applyBorder="1" applyAlignment="1">
      <alignment horizontal="center" vertical="center" wrapText="1"/>
    </xf>
    <xf numFmtId="3" fontId="0" fillId="34" borderId="10" xfId="0" applyNumberFormat="1" applyFill="1" applyBorder="1"/>
    <xf numFmtId="0" fontId="0" fillId="34" borderId="10" xfId="0" applyFill="1" applyBorder="1"/>
    <xf numFmtId="0" fontId="0" fillId="34" borderId="10" xfId="0" applyFill="1" applyBorder="1" applyAlignment="1">
      <alignment horizontal="center"/>
    </xf>
    <xf numFmtId="0" fontId="39" fillId="38" borderId="0" xfId="0" applyFont="1" applyFill="1" applyAlignment="1">
      <alignment vertical="center"/>
    </xf>
    <xf numFmtId="0" fontId="14" fillId="38" borderId="0" xfId="0" applyFont="1" applyFill="1" applyAlignment="1">
      <alignment vertical="center"/>
    </xf>
    <xf numFmtId="0" fontId="36" fillId="38" borderId="0" xfId="0" applyFont="1" applyFill="1" applyAlignment="1">
      <alignment vertical="center"/>
    </xf>
    <xf numFmtId="0" fontId="14" fillId="38" borderId="0" xfId="0" applyFont="1" applyFill="1"/>
    <xf numFmtId="0" fontId="0" fillId="38" borderId="0" xfId="0" applyFill="1"/>
    <xf numFmtId="0" fontId="16" fillId="40" borderId="37" xfId="0" applyFont="1" applyFill="1" applyBorder="1"/>
    <xf numFmtId="0" fontId="40" fillId="41" borderId="35" xfId="0" applyFont="1" applyFill="1" applyBorder="1" applyAlignment="1">
      <alignment horizontal="centerContinuous"/>
    </xf>
    <xf numFmtId="0" fontId="16" fillId="41" borderId="35" xfId="0" applyFont="1" applyFill="1" applyBorder="1" applyAlignment="1">
      <alignment horizontal="centerContinuous"/>
    </xf>
    <xf numFmtId="0" fontId="0" fillId="0" borderId="41" xfId="0" applyBorder="1"/>
    <xf numFmtId="0" fontId="14" fillId="0" borderId="0" xfId="0" applyFont="1"/>
    <xf numFmtId="0" fontId="41" fillId="0" borderId="41" xfId="0" applyFont="1" applyBorder="1"/>
    <xf numFmtId="3" fontId="41" fillId="0" borderId="0" xfId="0" applyNumberFormat="1" applyFont="1"/>
    <xf numFmtId="0" fontId="42" fillId="0" borderId="0" xfId="0" applyFont="1" applyAlignment="1">
      <alignment vertical="center" wrapText="1"/>
    </xf>
    <xf numFmtId="0" fontId="43" fillId="0" borderId="0" xfId="0" applyFont="1"/>
    <xf numFmtId="0" fontId="16" fillId="47" borderId="0" xfId="0" applyFont="1" applyFill="1"/>
    <xf numFmtId="0" fontId="40" fillId="47" borderId="0" xfId="0" applyFont="1" applyFill="1"/>
    <xf numFmtId="0" fontId="16" fillId="47" borderId="0" xfId="0" applyFont="1" applyFill="1" applyAlignment="1">
      <alignment horizontal="center"/>
    </xf>
    <xf numFmtId="0" fontId="44" fillId="0" borderId="0" xfId="0" applyFont="1" applyAlignment="1">
      <alignment horizontal="left" vertical="top"/>
    </xf>
    <xf numFmtId="0" fontId="45" fillId="48" borderId="48" xfId="0" applyFont="1" applyFill="1" applyBorder="1" applyAlignment="1">
      <alignment horizontal="left" vertical="top" wrapText="1" indent="1"/>
    </xf>
    <xf numFmtId="0" fontId="45" fillId="48" borderId="48" xfId="0" applyFont="1" applyFill="1" applyBorder="1" applyAlignment="1">
      <alignment horizontal="left" vertical="top" wrapText="1"/>
    </xf>
    <xf numFmtId="0" fontId="46" fillId="48" borderId="49" xfId="0" applyFont="1" applyFill="1" applyBorder="1" applyAlignment="1">
      <alignment horizontal="left" vertical="top" wrapText="1"/>
    </xf>
    <xf numFmtId="0" fontId="45" fillId="48" borderId="50" xfId="0" applyFont="1" applyFill="1" applyBorder="1" applyAlignment="1">
      <alignment horizontal="left" vertical="top" wrapText="1" indent="1"/>
    </xf>
    <xf numFmtId="0" fontId="46" fillId="48" borderId="51" xfId="0" applyFont="1" applyFill="1" applyBorder="1" applyAlignment="1">
      <alignment horizontal="left" vertical="top" wrapText="1"/>
    </xf>
    <xf numFmtId="0" fontId="45" fillId="48" borderId="49" xfId="0" applyFont="1" applyFill="1" applyBorder="1" applyAlignment="1">
      <alignment horizontal="right" vertical="top" wrapText="1"/>
    </xf>
    <xf numFmtId="0" fontId="45" fillId="48" borderId="50" xfId="0" applyFont="1" applyFill="1" applyBorder="1" applyAlignment="1">
      <alignment horizontal="right" vertical="top" wrapText="1"/>
    </xf>
    <xf numFmtId="0" fontId="45" fillId="48" borderId="51" xfId="0" applyFont="1" applyFill="1" applyBorder="1" applyAlignment="1">
      <alignment horizontal="right" vertical="top" wrapText="1" indent="1"/>
    </xf>
    <xf numFmtId="0" fontId="46" fillId="0" borderId="0" xfId="0" applyFont="1" applyAlignment="1">
      <alignment horizontal="left"/>
    </xf>
    <xf numFmtId="0" fontId="45" fillId="48" borderId="52" xfId="0" applyFont="1" applyFill="1" applyBorder="1" applyAlignment="1">
      <alignment horizontal="left" vertical="top" wrapText="1" indent="1"/>
    </xf>
    <xf numFmtId="0" fontId="45" fillId="48" borderId="52" xfId="0" applyFont="1" applyFill="1" applyBorder="1" applyAlignment="1">
      <alignment horizontal="left" vertical="top" wrapText="1"/>
    </xf>
    <xf numFmtId="0" fontId="45" fillId="48" borderId="53" xfId="0" applyFont="1" applyFill="1" applyBorder="1" applyAlignment="1">
      <alignment horizontal="right" vertical="top" wrapText="1" indent="1"/>
    </xf>
    <xf numFmtId="0" fontId="45" fillId="48" borderId="54" xfId="0" applyFont="1" applyFill="1" applyBorder="1" applyAlignment="1">
      <alignment horizontal="left" vertical="top" wrapText="1" indent="1"/>
    </xf>
    <xf numFmtId="0" fontId="45" fillId="48" borderId="55" xfId="0" applyFont="1" applyFill="1" applyBorder="1" applyAlignment="1">
      <alignment horizontal="right" vertical="top" wrapText="1"/>
    </xf>
    <xf numFmtId="0" fontId="45" fillId="48" borderId="53" xfId="0" applyFont="1" applyFill="1" applyBorder="1" applyAlignment="1">
      <alignment horizontal="right" vertical="top" wrapText="1"/>
    </xf>
    <xf numFmtId="0" fontId="45" fillId="48" borderId="55" xfId="0" applyFont="1" applyFill="1" applyBorder="1" applyAlignment="1">
      <alignment horizontal="right" vertical="top" wrapText="1" indent="1"/>
    </xf>
    <xf numFmtId="0" fontId="45" fillId="48" borderId="54" xfId="0" applyFont="1" applyFill="1" applyBorder="1" applyAlignment="1">
      <alignment horizontal="right" vertical="top" wrapText="1"/>
    </xf>
    <xf numFmtId="0" fontId="45" fillId="48" borderId="0" xfId="0" applyFont="1" applyFill="1" applyAlignment="1">
      <alignment horizontal="left" vertical="top" wrapText="1" indent="1"/>
    </xf>
    <xf numFmtId="1" fontId="47" fillId="0" borderId="50" xfId="0" applyNumberFormat="1" applyFont="1" applyBorder="1" applyAlignment="1">
      <alignment horizontal="left" vertical="top" wrapText="1" indent="1"/>
    </xf>
    <xf numFmtId="1" fontId="47" fillId="0" borderId="50" xfId="0" applyNumberFormat="1" applyFont="1" applyBorder="1" applyAlignment="1">
      <alignment horizontal="right" vertical="top" wrapText="1"/>
    </xf>
    <xf numFmtId="0" fontId="45" fillId="0" borderId="50" xfId="0" applyFont="1" applyBorder="1" applyAlignment="1">
      <alignment horizontal="left" vertical="top" wrapText="1"/>
    </xf>
    <xf numFmtId="165" fontId="47" fillId="0" borderId="50" xfId="0" applyNumberFormat="1" applyFont="1" applyBorder="1" applyAlignment="1">
      <alignment horizontal="right" vertical="top" wrapText="1"/>
    </xf>
    <xf numFmtId="165" fontId="47" fillId="0" borderId="50" xfId="0" applyNumberFormat="1" applyFont="1" applyBorder="1" applyAlignment="1">
      <alignment horizontal="right" vertical="top" wrapText="1" indent="1"/>
    </xf>
    <xf numFmtId="165" fontId="47" fillId="0" borderId="0" xfId="0" applyNumberFormat="1" applyFont="1" applyAlignment="1">
      <alignment horizontal="right" vertical="top" wrapText="1"/>
    </xf>
    <xf numFmtId="1" fontId="47" fillId="0" borderId="0" xfId="0" applyNumberFormat="1" applyFont="1" applyAlignment="1">
      <alignment horizontal="left" vertical="top" wrapText="1" indent="1"/>
    </xf>
    <xf numFmtId="1" fontId="47" fillId="0" borderId="0" xfId="0" applyNumberFormat="1" applyFont="1" applyAlignment="1">
      <alignment horizontal="right" vertical="top" wrapText="1"/>
    </xf>
    <xf numFmtId="0" fontId="45" fillId="0" borderId="0" xfId="0" applyFont="1" applyAlignment="1">
      <alignment horizontal="left" vertical="top" wrapText="1"/>
    </xf>
    <xf numFmtId="165" fontId="47" fillId="0" borderId="0" xfId="0" applyNumberFormat="1" applyFont="1" applyAlignment="1">
      <alignment horizontal="right" vertical="top" wrapText="1" indent="1"/>
    </xf>
    <xf numFmtId="0" fontId="45" fillId="0" borderId="0" xfId="0" applyFont="1" applyAlignment="1">
      <alignment horizontal="right" vertical="top" wrapText="1"/>
    </xf>
    <xf numFmtId="0" fontId="45" fillId="0" borderId="0" xfId="0" applyFont="1" applyAlignment="1">
      <alignment horizontal="right" vertical="top" wrapText="1" indent="1"/>
    </xf>
    <xf numFmtId="1" fontId="47" fillId="0" borderId="0" xfId="0" applyNumberFormat="1" applyFont="1" applyAlignment="1">
      <alignment horizontal="left" vertical="top" wrapText="1"/>
    </xf>
    <xf numFmtId="0" fontId="45" fillId="0" borderId="0" xfId="0" applyFont="1" applyAlignment="1">
      <alignment horizontal="left" vertical="top" wrapText="1" indent="1"/>
    </xf>
    <xf numFmtId="0" fontId="46" fillId="0" borderId="0" xfId="0" applyFont="1" applyAlignment="1">
      <alignment horizontal="left" vertical="top" wrapText="1"/>
    </xf>
    <xf numFmtId="165" fontId="0" fillId="0" borderId="0" xfId="0" applyNumberFormat="1"/>
    <xf numFmtId="9" fontId="0" fillId="0" borderId="0" xfId="44" applyFont="1"/>
    <xf numFmtId="165" fontId="0" fillId="0" borderId="0" xfId="44" applyNumberFormat="1" applyFont="1"/>
    <xf numFmtId="0" fontId="49" fillId="0" borderId="0" xfId="0" applyFont="1"/>
    <xf numFmtId="0" fontId="48" fillId="0" borderId="0" xfId="0" applyFont="1" applyAlignment="1">
      <alignment vertical="center"/>
    </xf>
    <xf numFmtId="0" fontId="16" fillId="35" borderId="0" xfId="0" applyFont="1" applyFill="1" applyAlignment="1">
      <alignment horizontal="center" vertical="center" wrapText="1"/>
    </xf>
    <xf numFmtId="37" fontId="0" fillId="0" borderId="0" xfId="42" applyNumberFormat="1" applyFont="1" applyAlignment="1">
      <alignment horizontal="center" vertical="center" wrapText="1"/>
    </xf>
    <xf numFmtId="3" fontId="1" fillId="0" borderId="0" xfId="0" applyNumberFormat="1" applyFont="1" applyAlignment="1">
      <alignment horizontal="center" vertical="center" wrapText="1"/>
    </xf>
    <xf numFmtId="3" fontId="0" fillId="0" borderId="0" xfId="0" applyNumberFormat="1" applyAlignment="1">
      <alignment horizontal="center" vertical="center" wrapText="1"/>
    </xf>
    <xf numFmtId="0" fontId="36" fillId="35" borderId="0" xfId="0" applyFont="1" applyFill="1" applyAlignment="1">
      <alignment horizontal="center" vertical="center" wrapText="1"/>
    </xf>
    <xf numFmtId="0" fontId="0" fillId="0" borderId="0" xfId="0" applyAlignment="1">
      <alignment vertical="top" wrapText="1"/>
    </xf>
    <xf numFmtId="3" fontId="16" fillId="0" borderId="0" xfId="0" applyNumberFormat="1" applyFont="1" applyAlignment="1">
      <alignment horizontal="center" vertical="center" wrapText="1"/>
    </xf>
    <xf numFmtId="3" fontId="51" fillId="0" borderId="0" xfId="45" applyNumberFormat="1" applyFont="1" applyAlignment="1">
      <alignment horizontal="right"/>
    </xf>
    <xf numFmtId="3" fontId="50" fillId="0" borderId="0" xfId="45" applyNumberFormat="1" applyAlignment="1">
      <alignment horizontal="right"/>
    </xf>
    <xf numFmtId="1" fontId="0" fillId="0" borderId="0" xfId="0" applyNumberFormat="1" applyAlignment="1">
      <alignment horizontal="center" vertical="center" wrapText="1"/>
    </xf>
    <xf numFmtId="0" fontId="28" fillId="0" borderId="0" xfId="0" applyFont="1" applyAlignment="1">
      <alignment vertical="center"/>
    </xf>
    <xf numFmtId="0" fontId="0" fillId="0" borderId="0" xfId="0" quotePrefix="1" applyAlignment="1">
      <alignment horizontal="center" vertical="center" wrapText="1"/>
    </xf>
    <xf numFmtId="0" fontId="0" fillId="0" borderId="0" xfId="0" applyAlignment="1">
      <alignment vertical="center" wrapText="1"/>
    </xf>
    <xf numFmtId="0" fontId="16" fillId="0" borderId="0" xfId="0" applyFont="1" applyAlignment="1">
      <alignment vertical="center" wrapText="1"/>
    </xf>
    <xf numFmtId="1" fontId="1" fillId="0" borderId="0" xfId="0" applyNumberFormat="1" applyFont="1" applyAlignment="1">
      <alignment horizontal="center" vertical="center" wrapText="1"/>
    </xf>
    <xf numFmtId="1" fontId="19" fillId="0" borderId="0" xfId="0" applyNumberFormat="1" applyFont="1"/>
    <xf numFmtId="0" fontId="0" fillId="0" borderId="40" xfId="0" applyBorder="1"/>
    <xf numFmtId="0" fontId="0" fillId="0" borderId="42" xfId="0" applyBorder="1"/>
    <xf numFmtId="0" fontId="41" fillId="0" borderId="42" xfId="0" applyFont="1" applyBorder="1"/>
    <xf numFmtId="0" fontId="0" fillId="0" borderId="43" xfId="0" applyBorder="1"/>
    <xf numFmtId="0" fontId="0" fillId="0" borderId="0" xfId="0" applyAlignment="1">
      <alignment horizontal="left" vertical="top" wrapText="1"/>
    </xf>
    <xf numFmtId="3" fontId="0" fillId="0" borderId="25" xfId="0" applyNumberFormat="1" applyBorder="1" applyAlignment="1">
      <alignment horizontal="center"/>
    </xf>
    <xf numFmtId="0" fontId="28" fillId="0" borderId="0" xfId="0" applyFont="1" applyAlignment="1">
      <alignment horizontal="center"/>
    </xf>
    <xf numFmtId="3" fontId="28" fillId="0" borderId="25" xfId="0" applyNumberFormat="1" applyFont="1" applyBorder="1"/>
    <xf numFmtId="0" fontId="0" fillId="0" borderId="24" xfId="0" applyBorder="1"/>
    <xf numFmtId="3" fontId="0" fillId="0" borderId="25" xfId="0" applyNumberFormat="1" applyBorder="1"/>
    <xf numFmtId="3" fontId="0" fillId="0" borderId="31" xfId="0" applyNumberFormat="1" applyBorder="1"/>
    <xf numFmtId="0" fontId="16" fillId="0" borderId="16" xfId="0" applyFont="1" applyBorder="1"/>
    <xf numFmtId="3" fontId="16" fillId="0" borderId="17" xfId="0" applyNumberFormat="1" applyFont="1" applyBorder="1"/>
    <xf numFmtId="3" fontId="16" fillId="0" borderId="17" xfId="0" applyNumberFormat="1" applyFont="1" applyBorder="1" applyAlignment="1">
      <alignment horizontal="center"/>
    </xf>
    <xf numFmtId="0" fontId="16" fillId="0" borderId="30" xfId="0" applyFont="1" applyBorder="1" applyAlignment="1">
      <alignment horizontal="center"/>
    </xf>
    <xf numFmtId="3" fontId="0" fillId="0" borderId="0" xfId="0" applyNumberFormat="1" applyAlignment="1">
      <alignment horizontal="center"/>
    </xf>
    <xf numFmtId="0" fontId="0" fillId="0" borderId="12" xfId="0" applyBorder="1"/>
    <xf numFmtId="0" fontId="16" fillId="0" borderId="29" xfId="0" applyFont="1" applyBorder="1"/>
    <xf numFmtId="3" fontId="16" fillId="0" borderId="25" xfId="0" applyNumberFormat="1" applyFont="1" applyBorder="1"/>
    <xf numFmtId="3" fontId="0" fillId="0" borderId="30" xfId="0" applyNumberFormat="1" applyBorder="1" applyAlignment="1">
      <alignment horizontal="center"/>
    </xf>
    <xf numFmtId="3" fontId="16" fillId="0" borderId="31" xfId="0" applyNumberFormat="1" applyFont="1" applyBorder="1"/>
    <xf numFmtId="3" fontId="16" fillId="0" borderId="16" xfId="0" applyNumberFormat="1" applyFont="1" applyBorder="1" applyAlignment="1">
      <alignment horizontal="center"/>
    </xf>
    <xf numFmtId="0" fontId="16" fillId="39" borderId="29" xfId="0" applyFont="1" applyFill="1" applyBorder="1"/>
    <xf numFmtId="3" fontId="0" fillId="39" borderId="0" xfId="0" applyNumberFormat="1" applyFill="1" applyAlignment="1">
      <alignment horizontal="center"/>
    </xf>
    <xf numFmtId="3" fontId="16" fillId="39" borderId="31" xfId="0" applyNumberFormat="1" applyFont="1" applyFill="1" applyBorder="1" applyAlignment="1">
      <alignment horizontal="center"/>
    </xf>
    <xf numFmtId="3" fontId="16" fillId="39" borderId="16" xfId="0" applyNumberFormat="1" applyFont="1" applyFill="1" applyBorder="1" applyAlignment="1">
      <alignment horizontal="center"/>
    </xf>
    <xf numFmtId="3" fontId="16" fillId="39" borderId="17" xfId="0" applyNumberFormat="1" applyFont="1" applyFill="1" applyBorder="1" applyAlignment="1">
      <alignment horizontal="center"/>
    </xf>
    <xf numFmtId="3" fontId="0" fillId="0" borderId="31" xfId="0" applyNumberFormat="1" applyBorder="1" applyAlignment="1">
      <alignment horizontal="center"/>
    </xf>
    <xf numFmtId="3" fontId="28" fillId="0" borderId="0" xfId="0" applyNumberFormat="1" applyFont="1" applyAlignment="1">
      <alignment horizontal="center"/>
    </xf>
    <xf numFmtId="3" fontId="28" fillId="0" borderId="25" xfId="0" applyNumberFormat="1" applyFont="1" applyBorder="1" applyAlignment="1">
      <alignment horizontal="center"/>
    </xf>
    <xf numFmtId="0" fontId="16" fillId="39" borderId="28" xfId="0" applyFont="1" applyFill="1" applyBorder="1"/>
    <xf numFmtId="0" fontId="16" fillId="39" borderId="28" xfId="0" applyFont="1" applyFill="1" applyBorder="1" applyAlignment="1">
      <alignment horizontal="center"/>
    </xf>
    <xf numFmtId="0" fontId="16" fillId="39" borderId="27" xfId="0" applyFont="1" applyFill="1" applyBorder="1" applyAlignment="1">
      <alignment horizontal="center"/>
    </xf>
    <xf numFmtId="0" fontId="0" fillId="39" borderId="0" xfId="0" applyFill="1"/>
    <xf numFmtId="3" fontId="0" fillId="39" borderId="25" xfId="0" applyNumberFormat="1" applyFill="1" applyBorder="1" applyAlignment="1">
      <alignment horizontal="center"/>
    </xf>
    <xf numFmtId="0" fontId="16" fillId="39" borderId="30" xfId="0" applyFont="1" applyFill="1" applyBorder="1"/>
    <xf numFmtId="3" fontId="16" fillId="39" borderId="30" xfId="0" applyNumberFormat="1" applyFont="1" applyFill="1" applyBorder="1" applyAlignment="1">
      <alignment horizontal="center"/>
    </xf>
    <xf numFmtId="0" fontId="16" fillId="39" borderId="32" xfId="0" applyFont="1" applyFill="1" applyBorder="1"/>
    <xf numFmtId="0" fontId="16" fillId="39" borderId="33" xfId="0" applyFont="1" applyFill="1" applyBorder="1"/>
    <xf numFmtId="3" fontId="16" fillId="39" borderId="33" xfId="0" applyNumberFormat="1" applyFont="1" applyFill="1" applyBorder="1" applyAlignment="1">
      <alignment horizontal="center"/>
    </xf>
    <xf numFmtId="3" fontId="16" fillId="39" borderId="34" xfId="0" applyNumberFormat="1" applyFont="1" applyFill="1" applyBorder="1" applyAlignment="1">
      <alignment horizontal="center"/>
    </xf>
    <xf numFmtId="0" fontId="0" fillId="39" borderId="16" xfId="0" applyFill="1" applyBorder="1"/>
    <xf numFmtId="164" fontId="0" fillId="0" borderId="0" xfId="42" applyNumberFormat="1" applyFont="1" applyAlignment="1">
      <alignment horizontal="center"/>
    </xf>
    <xf numFmtId="0" fontId="0" fillId="34" borderId="26" xfId="0" applyFill="1" applyBorder="1" applyAlignment="1">
      <alignment horizontal="center"/>
    </xf>
    <xf numFmtId="0" fontId="0" fillId="34" borderId="27" xfId="0" applyFill="1" applyBorder="1" applyAlignment="1">
      <alignment horizontal="center"/>
    </xf>
    <xf numFmtId="0" fontId="0" fillId="34" borderId="24" xfId="0" applyFill="1" applyBorder="1" applyAlignment="1">
      <alignment horizontal="center"/>
    </xf>
    <xf numFmtId="9" fontId="0" fillId="34" borderId="25" xfId="44" applyFont="1" applyFill="1" applyBorder="1" applyAlignment="1">
      <alignment horizontal="center"/>
    </xf>
    <xf numFmtId="0" fontId="0" fillId="34" borderId="15" xfId="0" applyFill="1" applyBorder="1" applyAlignment="1">
      <alignment horizontal="center"/>
    </xf>
    <xf numFmtId="9" fontId="0" fillId="34" borderId="17" xfId="44" applyFont="1" applyFill="1" applyBorder="1" applyAlignment="1">
      <alignment horizontal="center"/>
    </xf>
    <xf numFmtId="37" fontId="0" fillId="0" borderId="0" xfId="42" applyNumberFormat="1" applyFont="1"/>
    <xf numFmtId="0" fontId="0" fillId="39" borderId="24" xfId="0" applyFill="1" applyBorder="1"/>
    <xf numFmtId="3" fontId="0" fillId="39" borderId="0" xfId="0" applyNumberFormat="1" applyFill="1"/>
    <xf numFmtId="4" fontId="0" fillId="39" borderId="0" xfId="0" applyNumberFormat="1" applyFill="1"/>
    <xf numFmtId="3" fontId="0" fillId="39" borderId="25" xfId="0" applyNumberFormat="1" applyFill="1" applyBorder="1"/>
    <xf numFmtId="0" fontId="0" fillId="39" borderId="29" xfId="0" applyFill="1" applyBorder="1"/>
    <xf numFmtId="3" fontId="0" fillId="39" borderId="30" xfId="0" applyNumberFormat="1" applyFill="1" applyBorder="1"/>
    <xf numFmtId="4" fontId="0" fillId="39" borderId="30" xfId="0" applyNumberFormat="1" applyFill="1" applyBorder="1"/>
    <xf numFmtId="3" fontId="0" fillId="39" borderId="31" xfId="0" applyNumberFormat="1" applyFill="1" applyBorder="1"/>
    <xf numFmtId="0" fontId="16" fillId="39" borderId="15" xfId="0" applyFont="1" applyFill="1" applyBorder="1"/>
    <xf numFmtId="0" fontId="16" fillId="39" borderId="16" xfId="0" applyFont="1" applyFill="1" applyBorder="1"/>
    <xf numFmtId="3" fontId="16" fillId="39" borderId="16" xfId="0" applyNumberFormat="1" applyFont="1" applyFill="1" applyBorder="1"/>
    <xf numFmtId="3" fontId="16" fillId="39" borderId="17" xfId="0" applyNumberFormat="1" applyFont="1" applyFill="1" applyBorder="1"/>
    <xf numFmtId="0" fontId="16" fillId="0" borderId="26" xfId="0" applyFont="1" applyBorder="1"/>
    <xf numFmtId="0" fontId="16" fillId="0" borderId="28" xfId="0" applyFont="1" applyBorder="1" applyAlignment="1">
      <alignment horizontal="center"/>
    </xf>
    <xf numFmtId="0" fontId="16" fillId="0" borderId="27" xfId="0" applyFont="1" applyBorder="1" applyAlignment="1">
      <alignment horizontal="center"/>
    </xf>
    <xf numFmtId="0" fontId="28" fillId="0" borderId="24" xfId="0" applyFont="1" applyBorder="1" applyAlignment="1">
      <alignment horizontal="right"/>
    </xf>
    <xf numFmtId="2" fontId="28" fillId="0" borderId="0" xfId="0" applyNumberFormat="1" applyFont="1"/>
    <xf numFmtId="0" fontId="28" fillId="0" borderId="25" xfId="0" applyFont="1" applyBorder="1" applyAlignment="1">
      <alignment horizontal="center"/>
    </xf>
    <xf numFmtId="0" fontId="0" fillId="0" borderId="25" xfId="0" applyBorder="1" applyAlignment="1">
      <alignment horizontal="center"/>
    </xf>
    <xf numFmtId="0" fontId="0" fillId="0" borderId="29" xfId="0" applyBorder="1"/>
    <xf numFmtId="0" fontId="0" fillId="0" borderId="31" xfId="0" applyBorder="1" applyAlignment="1">
      <alignment horizontal="center"/>
    </xf>
    <xf numFmtId="0" fontId="16" fillId="0" borderId="15" xfId="0" applyFont="1" applyBorder="1"/>
    <xf numFmtId="0" fontId="16" fillId="0" borderId="16" xfId="0" applyFont="1" applyBorder="1" applyAlignment="1">
      <alignment horizontal="center"/>
    </xf>
    <xf numFmtId="0" fontId="16" fillId="0" borderId="17" xfId="0" applyFont="1" applyBorder="1"/>
    <xf numFmtId="9" fontId="0" fillId="0" borderId="0" xfId="0" applyNumberFormat="1"/>
    <xf numFmtId="0" fontId="0" fillId="34" borderId="24" xfId="0" applyFill="1" applyBorder="1"/>
    <xf numFmtId="3" fontId="0" fillId="34" borderId="0" xfId="0" applyNumberFormat="1" applyFill="1"/>
    <xf numFmtId="4" fontId="0" fillId="34" borderId="0" xfId="0" applyNumberFormat="1" applyFill="1"/>
    <xf numFmtId="0" fontId="16" fillId="50" borderId="37" xfId="0" applyFont="1" applyFill="1" applyBorder="1"/>
    <xf numFmtId="0" fontId="0" fillId="50" borderId="38" xfId="0" applyFill="1" applyBorder="1"/>
    <xf numFmtId="0" fontId="0" fillId="0" borderId="30" xfId="0" applyBorder="1" applyAlignment="1">
      <alignment horizontal="center"/>
    </xf>
    <xf numFmtId="0" fontId="52" fillId="0" borderId="37" xfId="0" applyFont="1" applyBorder="1"/>
    <xf numFmtId="0" fontId="52" fillId="0" borderId="33" xfId="0" applyFont="1" applyBorder="1" applyAlignment="1">
      <alignment horizontal="center"/>
    </xf>
    <xf numFmtId="0" fontId="0" fillId="0" borderId="0" xfId="0" quotePrefix="1" applyAlignment="1">
      <alignment horizontal="center"/>
    </xf>
    <xf numFmtId="165" fontId="0" fillId="0" borderId="0" xfId="44" applyNumberFormat="1" applyFont="1" applyAlignment="1">
      <alignment horizontal="center"/>
    </xf>
    <xf numFmtId="0" fontId="0" fillId="0" borderId="30" xfId="0" applyBorder="1"/>
    <xf numFmtId="0" fontId="40" fillId="52" borderId="39" xfId="0" applyFont="1" applyFill="1" applyBorder="1" applyAlignment="1">
      <alignment horizontal="centerContinuous"/>
    </xf>
    <xf numFmtId="0" fontId="16" fillId="52" borderId="42" xfId="0" applyFont="1" applyFill="1" applyBorder="1" applyAlignment="1">
      <alignment horizontal="center" vertical="center"/>
    </xf>
    <xf numFmtId="0" fontId="16" fillId="52" borderId="0" xfId="0" applyFont="1" applyFill="1" applyAlignment="1">
      <alignment horizontal="center" vertical="center"/>
    </xf>
    <xf numFmtId="0" fontId="16" fillId="47" borderId="40" xfId="0" applyFont="1" applyFill="1" applyBorder="1" applyAlignment="1">
      <alignment horizontal="center"/>
    </xf>
    <xf numFmtId="0" fontId="16" fillId="47" borderId="30" xfId="0" applyFont="1" applyFill="1" applyBorder="1" applyAlignment="1">
      <alignment horizontal="center"/>
    </xf>
    <xf numFmtId="0" fontId="16" fillId="47" borderId="43" xfId="0" applyFont="1" applyFill="1" applyBorder="1" applyAlignment="1">
      <alignment horizontal="center"/>
    </xf>
    <xf numFmtId="0" fontId="16" fillId="47" borderId="37" xfId="0" applyFont="1" applyFill="1" applyBorder="1"/>
    <xf numFmtId="0" fontId="16" fillId="47" borderId="33" xfId="0" applyFont="1" applyFill="1" applyBorder="1"/>
    <xf numFmtId="0" fontId="16" fillId="40" borderId="38" xfId="0" applyFont="1" applyFill="1" applyBorder="1"/>
    <xf numFmtId="0" fontId="40" fillId="41" borderId="40" xfId="0" applyFont="1" applyFill="1" applyBorder="1" applyAlignment="1">
      <alignment horizontal="centerContinuous"/>
    </xf>
    <xf numFmtId="0" fontId="16" fillId="41" borderId="30" xfId="0" applyFont="1" applyFill="1" applyBorder="1" applyAlignment="1">
      <alignment horizontal="center"/>
    </xf>
    <xf numFmtId="0" fontId="16" fillId="41" borderId="43" xfId="0" applyFont="1" applyFill="1" applyBorder="1" applyAlignment="1">
      <alignment horizontal="center"/>
    </xf>
    <xf numFmtId="0" fontId="16" fillId="41" borderId="46" xfId="0" applyFont="1" applyFill="1" applyBorder="1"/>
    <xf numFmtId="0" fontId="16" fillId="41" borderId="30" xfId="0" applyFont="1" applyFill="1" applyBorder="1"/>
    <xf numFmtId="3" fontId="16" fillId="0" borderId="0" xfId="0" applyNumberFormat="1" applyFont="1" applyAlignment="1">
      <alignment horizontal="center"/>
    </xf>
    <xf numFmtId="0" fontId="16" fillId="47" borderId="35" xfId="0" applyFont="1" applyFill="1" applyBorder="1" applyAlignment="1">
      <alignment horizontal="centerContinuous"/>
    </xf>
    <xf numFmtId="3" fontId="16" fillId="47" borderId="33" xfId="0" applyNumberFormat="1" applyFont="1" applyFill="1" applyBorder="1"/>
    <xf numFmtId="164" fontId="16" fillId="47" borderId="33" xfId="0" applyNumberFormat="1" applyFont="1" applyFill="1" applyBorder="1"/>
    <xf numFmtId="3" fontId="0" fillId="0" borderId="45" xfId="0" applyNumberFormat="1" applyBorder="1" applyAlignment="1">
      <alignment horizontal="center"/>
    </xf>
    <xf numFmtId="0" fontId="0" fillId="39" borderId="24" xfId="0" applyFill="1" applyBorder="1" applyAlignment="1">
      <alignment horizontal="left" vertical="center"/>
    </xf>
    <xf numFmtId="3" fontId="0" fillId="0" borderId="35" xfId="0" applyNumberFormat="1" applyBorder="1" applyAlignment="1">
      <alignment horizontal="center"/>
    </xf>
    <xf numFmtId="3" fontId="16" fillId="0" borderId="25" xfId="0" applyNumberFormat="1" applyFont="1" applyBorder="1" applyAlignment="1">
      <alignment horizontal="center"/>
    </xf>
    <xf numFmtId="3" fontId="16" fillId="0" borderId="31" xfId="0" applyNumberFormat="1" applyFont="1" applyBorder="1" applyAlignment="1">
      <alignment horizontal="center"/>
    </xf>
    <xf numFmtId="0" fontId="16" fillId="0" borderId="0" xfId="0" applyFont="1"/>
    <xf numFmtId="0" fontId="16" fillId="34" borderId="12" xfId="0" applyFont="1" applyFill="1" applyBorder="1"/>
    <xf numFmtId="0" fontId="16" fillId="34" borderId="13" xfId="0" applyFont="1" applyFill="1" applyBorder="1"/>
    <xf numFmtId="3" fontId="16" fillId="34" borderId="58" xfId="0" applyNumberFormat="1" applyFont="1" applyFill="1" applyBorder="1" applyAlignment="1">
      <alignment horizontal="center"/>
    </xf>
    <xf numFmtId="0" fontId="16" fillId="34" borderId="29" xfId="0" applyFont="1" applyFill="1" applyBorder="1"/>
    <xf numFmtId="0" fontId="16" fillId="34" borderId="30" xfId="0" applyFont="1" applyFill="1" applyBorder="1"/>
    <xf numFmtId="0" fontId="0" fillId="34" borderId="46" xfId="0" applyFill="1" applyBorder="1" applyAlignment="1">
      <alignment horizontal="center"/>
    </xf>
    <xf numFmtId="0" fontId="0" fillId="34" borderId="30" xfId="0" applyFill="1" applyBorder="1" applyAlignment="1">
      <alignment horizontal="center"/>
    </xf>
    <xf numFmtId="0" fontId="0" fillId="34" borderId="43" xfId="0" applyFill="1" applyBorder="1" applyAlignment="1">
      <alignment horizontal="center"/>
    </xf>
    <xf numFmtId="3" fontId="16" fillId="34" borderId="47" xfId="0" applyNumberFormat="1" applyFont="1" applyFill="1" applyBorder="1" applyAlignment="1">
      <alignment horizontal="center"/>
    </xf>
    <xf numFmtId="9" fontId="1" fillId="34" borderId="41" xfId="44" applyFill="1" applyBorder="1" applyAlignment="1">
      <alignment horizontal="center"/>
    </xf>
    <xf numFmtId="9" fontId="1" fillId="34" borderId="0" xfId="44" applyFill="1" applyAlignment="1">
      <alignment horizontal="center"/>
    </xf>
    <xf numFmtId="9" fontId="1" fillId="34" borderId="42" xfId="44" applyFill="1" applyBorder="1" applyAlignment="1">
      <alignment horizontal="center"/>
    </xf>
    <xf numFmtId="9" fontId="16" fillId="34" borderId="0" xfId="44" applyFont="1" applyFill="1" applyAlignment="1">
      <alignment horizontal="center"/>
    </xf>
    <xf numFmtId="9" fontId="1" fillId="34" borderId="45" xfId="44" applyFill="1" applyBorder="1" applyAlignment="1">
      <alignment horizontal="center"/>
    </xf>
    <xf numFmtId="9" fontId="0" fillId="34" borderId="25" xfId="0" applyNumberFormat="1" applyFill="1" applyBorder="1"/>
    <xf numFmtId="9" fontId="16" fillId="34" borderId="45" xfId="44" applyFont="1" applyFill="1" applyBorder="1" applyAlignment="1">
      <alignment horizontal="center"/>
    </xf>
    <xf numFmtId="9" fontId="16" fillId="34" borderId="42" xfId="44" applyFont="1" applyFill="1" applyBorder="1" applyAlignment="1">
      <alignment horizontal="center"/>
    </xf>
    <xf numFmtId="0" fontId="0" fillId="34" borderId="29" xfId="0" applyFill="1" applyBorder="1"/>
    <xf numFmtId="3" fontId="0" fillId="34" borderId="43" xfId="0" applyNumberFormat="1" applyFill="1" applyBorder="1"/>
    <xf numFmtId="9" fontId="1" fillId="34" borderId="46" xfId="44" applyFill="1" applyBorder="1" applyAlignment="1">
      <alignment horizontal="center"/>
    </xf>
    <xf numFmtId="9" fontId="1" fillId="34" borderId="30" xfId="44" applyFill="1" applyBorder="1" applyAlignment="1">
      <alignment horizontal="center"/>
    </xf>
    <xf numFmtId="9" fontId="1" fillId="34" borderId="43" xfId="44" applyFill="1" applyBorder="1" applyAlignment="1">
      <alignment horizontal="center"/>
    </xf>
    <xf numFmtId="9" fontId="16" fillId="34" borderId="30" xfId="44" applyFont="1" applyFill="1" applyBorder="1" applyAlignment="1">
      <alignment horizontal="center"/>
    </xf>
    <xf numFmtId="9" fontId="1" fillId="34" borderId="47" xfId="44" applyFill="1" applyBorder="1" applyAlignment="1">
      <alignment horizontal="center"/>
    </xf>
    <xf numFmtId="9" fontId="0" fillId="34" borderId="31" xfId="0" applyNumberFormat="1" applyFill="1" applyBorder="1"/>
    <xf numFmtId="0" fontId="16" fillId="34" borderId="15" xfId="0" applyFont="1" applyFill="1" applyBorder="1"/>
    <xf numFmtId="3" fontId="16" fillId="34" borderId="61" xfId="0" applyNumberFormat="1" applyFont="1" applyFill="1" applyBorder="1"/>
    <xf numFmtId="9" fontId="1" fillId="34" borderId="16" xfId="44" applyFill="1" applyBorder="1" applyAlignment="1">
      <alignment horizontal="center"/>
    </xf>
    <xf numFmtId="9" fontId="1" fillId="34" borderId="61" xfId="44" applyFill="1" applyBorder="1" applyAlignment="1">
      <alignment horizontal="center"/>
    </xf>
    <xf numFmtId="9" fontId="0" fillId="34" borderId="17" xfId="0" applyNumberFormat="1" applyFill="1" applyBorder="1"/>
    <xf numFmtId="3" fontId="16" fillId="0" borderId="0" xfId="0" applyNumberFormat="1" applyFont="1"/>
    <xf numFmtId="9" fontId="1" fillId="0" borderId="0" xfId="44"/>
    <xf numFmtId="0" fontId="16" fillId="34" borderId="57" xfId="0" applyFont="1" applyFill="1" applyBorder="1"/>
    <xf numFmtId="3" fontId="16" fillId="34" borderId="57" xfId="0" applyNumberFormat="1" applyFont="1" applyFill="1" applyBorder="1" applyAlignment="1">
      <alignment horizontal="center"/>
    </xf>
    <xf numFmtId="0" fontId="16" fillId="34" borderId="43" xfId="0" applyFont="1" applyFill="1" applyBorder="1"/>
    <xf numFmtId="3" fontId="16" fillId="34" borderId="43" xfId="0" applyNumberFormat="1" applyFont="1" applyFill="1" applyBorder="1" applyAlignment="1">
      <alignment horizontal="center"/>
    </xf>
    <xf numFmtId="3" fontId="0" fillId="34" borderId="42" xfId="0" applyNumberFormat="1" applyFill="1" applyBorder="1"/>
    <xf numFmtId="3" fontId="1" fillId="34" borderId="0" xfId="44" applyNumberFormat="1" applyFill="1" applyAlignment="1">
      <alignment horizontal="center"/>
    </xf>
    <xf numFmtId="3" fontId="1" fillId="34" borderId="42" xfId="44" applyNumberFormat="1" applyFill="1" applyBorder="1" applyAlignment="1">
      <alignment horizontal="center"/>
    </xf>
    <xf numFmtId="3" fontId="0" fillId="34" borderId="25" xfId="0" applyNumberFormat="1" applyFill="1" applyBorder="1"/>
    <xf numFmtId="3" fontId="1" fillId="34" borderId="30" xfId="44" applyNumberFormat="1" applyFill="1" applyBorder="1" applyAlignment="1">
      <alignment horizontal="center"/>
    </xf>
    <xf numFmtId="3" fontId="1" fillId="34" borderId="43" xfId="44" applyNumberFormat="1" applyFill="1" applyBorder="1" applyAlignment="1">
      <alignment horizontal="center"/>
    </xf>
    <xf numFmtId="3" fontId="0" fillId="34" borderId="31" xfId="0" applyNumberFormat="1" applyFill="1" applyBorder="1"/>
    <xf numFmtId="3" fontId="1" fillId="34" borderId="16" xfId="44" applyNumberFormat="1" applyFill="1" applyBorder="1" applyAlignment="1">
      <alignment horizontal="center"/>
    </xf>
    <xf numFmtId="3" fontId="1" fillId="34" borderId="61" xfId="44" applyNumberFormat="1" applyFill="1" applyBorder="1" applyAlignment="1">
      <alignment horizontal="center"/>
    </xf>
    <xf numFmtId="3" fontId="0" fillId="34" borderId="17" xfId="0" applyNumberFormat="1" applyFill="1" applyBorder="1"/>
    <xf numFmtId="0" fontId="16" fillId="39" borderId="26" xfId="0" applyFont="1" applyFill="1" applyBorder="1"/>
    <xf numFmtId="0" fontId="16" fillId="39" borderId="27" xfId="0" applyFont="1" applyFill="1" applyBorder="1"/>
    <xf numFmtId="3" fontId="0" fillId="34" borderId="30" xfId="0" applyNumberFormat="1" applyFill="1" applyBorder="1"/>
    <xf numFmtId="4" fontId="0" fillId="34" borderId="30" xfId="0" applyNumberFormat="1" applyFill="1" applyBorder="1"/>
    <xf numFmtId="0" fontId="0" fillId="34" borderId="32" xfId="0" applyFill="1" applyBorder="1"/>
    <xf numFmtId="3" fontId="0" fillId="39" borderId="33" xfId="0" applyNumberFormat="1" applyFill="1" applyBorder="1"/>
    <xf numFmtId="3" fontId="16" fillId="0" borderId="28" xfId="0" applyNumberFormat="1" applyFont="1" applyBorder="1" applyAlignment="1">
      <alignment horizontal="center"/>
    </xf>
    <xf numFmtId="3" fontId="16" fillId="0" borderId="27" xfId="0" applyNumberFormat="1" applyFont="1" applyBorder="1" applyAlignment="1">
      <alignment horizontal="center"/>
    </xf>
    <xf numFmtId="9" fontId="0" fillId="0" borderId="24" xfId="0" applyNumberFormat="1" applyBorder="1" applyAlignment="1">
      <alignment horizontal="left"/>
    </xf>
    <xf numFmtId="37" fontId="0" fillId="0" borderId="0" xfId="42" applyNumberFormat="1" applyFont="1" applyAlignment="1">
      <alignment horizontal="center"/>
    </xf>
    <xf numFmtId="37" fontId="0" fillId="39" borderId="0" xfId="42" applyNumberFormat="1" applyFont="1" applyFill="1" applyAlignment="1">
      <alignment horizontal="center"/>
    </xf>
    <xf numFmtId="37" fontId="0" fillId="0" borderId="25" xfId="42" applyNumberFormat="1" applyFont="1" applyBorder="1" applyAlignment="1">
      <alignment horizontal="center"/>
    </xf>
    <xf numFmtId="9" fontId="0" fillId="0" borderId="15" xfId="0" applyNumberFormat="1" applyBorder="1" applyAlignment="1">
      <alignment horizontal="left"/>
    </xf>
    <xf numFmtId="37" fontId="0" fillId="0" borderId="16" xfId="42" applyNumberFormat="1" applyFont="1" applyBorder="1" applyAlignment="1">
      <alignment horizontal="center"/>
    </xf>
    <xf numFmtId="37" fontId="0" fillId="39" borderId="16" xfId="42" applyNumberFormat="1" applyFont="1" applyFill="1" applyBorder="1" applyAlignment="1">
      <alignment horizontal="center"/>
    </xf>
    <xf numFmtId="37" fontId="0" fillId="0" borderId="17" xfId="42" applyNumberFormat="1" applyFont="1" applyBorder="1" applyAlignment="1">
      <alignment horizontal="center"/>
    </xf>
    <xf numFmtId="3" fontId="55" fillId="0" borderId="0" xfId="0" applyNumberFormat="1" applyFont="1" applyAlignment="1">
      <alignment horizontal="right" vertical="center" wrapText="1"/>
    </xf>
    <xf numFmtId="1" fontId="55" fillId="46" borderId="0" xfId="0" applyNumberFormat="1" applyFont="1" applyFill="1" applyAlignment="1">
      <alignment horizontal="right" vertical="center" wrapText="1"/>
    </xf>
    <xf numFmtId="0" fontId="55" fillId="0" borderId="0" xfId="0" applyFont="1" applyAlignment="1">
      <alignment horizontal="right" vertical="center" wrapText="1"/>
    </xf>
    <xf numFmtId="0" fontId="55" fillId="0" borderId="0" xfId="0" applyFont="1" applyAlignment="1">
      <alignment vertical="center" wrapText="1"/>
    </xf>
    <xf numFmtId="0" fontId="55" fillId="46" borderId="0" xfId="0" applyFont="1" applyFill="1" applyAlignment="1">
      <alignment vertical="center" wrapText="1"/>
    </xf>
    <xf numFmtId="0" fontId="41" fillId="0" borderId="0" xfId="0" applyFont="1" applyAlignment="1">
      <alignment horizontal="right"/>
    </xf>
    <xf numFmtId="0" fontId="41" fillId="0" borderId="35" xfId="0" applyFont="1" applyBorder="1" applyAlignment="1">
      <alignment horizontal="right"/>
    </xf>
    <xf numFmtId="3" fontId="0" fillId="0" borderId="42" xfId="0" applyNumberFormat="1" applyBorder="1" applyAlignment="1">
      <alignment horizontal="center"/>
    </xf>
    <xf numFmtId="0" fontId="0" fillId="0" borderId="42" xfId="0" applyBorder="1" applyAlignment="1">
      <alignment horizontal="center"/>
    </xf>
    <xf numFmtId="3" fontId="0" fillId="38" borderId="0" xfId="0" applyNumberFormat="1" applyFill="1"/>
    <xf numFmtId="164" fontId="16" fillId="47" borderId="38" xfId="0" applyNumberFormat="1" applyFont="1" applyFill="1" applyBorder="1" applyAlignment="1">
      <alignment horizontal="center"/>
    </xf>
    <xf numFmtId="0" fontId="0" fillId="0" borderId="38" xfId="0" applyBorder="1"/>
    <xf numFmtId="0" fontId="56" fillId="0" borderId="0" xfId="0" applyFont="1"/>
    <xf numFmtId="0" fontId="56" fillId="38" borderId="0" xfId="0" applyFont="1" applyFill="1"/>
    <xf numFmtId="0" fontId="57" fillId="41" borderId="0" xfId="0" applyFont="1" applyFill="1" applyAlignment="1">
      <alignment horizontal="center" vertical="center" wrapText="1"/>
    </xf>
    <xf numFmtId="0" fontId="57" fillId="41" borderId="0" xfId="0" applyFont="1" applyFill="1" applyAlignment="1">
      <alignment horizontal="center" vertical="center"/>
    </xf>
    <xf numFmtId="9" fontId="56" fillId="0" borderId="0" xfId="44" applyFont="1"/>
    <xf numFmtId="9" fontId="56" fillId="0" borderId="0" xfId="0" applyNumberFormat="1" applyFont="1"/>
    <xf numFmtId="0" fontId="57" fillId="49" borderId="37" xfId="0" applyFont="1" applyFill="1" applyBorder="1"/>
    <xf numFmtId="0" fontId="57" fillId="49" borderId="33" xfId="0" applyFont="1" applyFill="1" applyBorder="1"/>
    <xf numFmtId="0" fontId="57" fillId="49" borderId="38" xfId="0" applyFont="1" applyFill="1" applyBorder="1"/>
    <xf numFmtId="0" fontId="57" fillId="42" borderId="41" xfId="0" applyFont="1" applyFill="1" applyBorder="1" applyAlignment="1">
      <alignment horizontal="center"/>
    </xf>
    <xf numFmtId="0" fontId="57" fillId="42" borderId="0" xfId="0" applyFont="1" applyFill="1" applyAlignment="1">
      <alignment horizontal="center"/>
    </xf>
    <xf numFmtId="0" fontId="57" fillId="42" borderId="42" xfId="0" applyFont="1" applyFill="1" applyBorder="1" applyAlignment="1">
      <alignment horizontal="center"/>
    </xf>
    <xf numFmtId="164" fontId="56" fillId="34" borderId="39" xfId="42" applyNumberFormat="1" applyFont="1" applyFill="1" applyBorder="1"/>
    <xf numFmtId="164" fontId="56" fillId="34" borderId="35" xfId="42" applyNumberFormat="1" applyFont="1" applyFill="1" applyBorder="1"/>
    <xf numFmtId="164" fontId="56" fillId="34" borderId="40" xfId="42" applyNumberFormat="1" applyFont="1" applyFill="1" applyBorder="1"/>
    <xf numFmtId="164" fontId="56" fillId="34" borderId="41" xfId="42" applyNumberFormat="1" applyFont="1" applyFill="1" applyBorder="1"/>
    <xf numFmtId="164" fontId="56" fillId="34" borderId="0" xfId="42" applyNumberFormat="1" applyFont="1" applyFill="1"/>
    <xf numFmtId="164" fontId="56" fillId="34" borderId="42" xfId="42" applyNumberFormat="1" applyFont="1" applyFill="1" applyBorder="1"/>
    <xf numFmtId="164" fontId="56" fillId="34" borderId="46" xfId="42" applyNumberFormat="1" applyFont="1" applyFill="1" applyBorder="1"/>
    <xf numFmtId="164" fontId="56" fillId="34" borderId="30" xfId="42" applyNumberFormat="1" applyFont="1" applyFill="1" applyBorder="1"/>
    <xf numFmtId="164" fontId="56" fillId="34" borderId="43" xfId="42" applyNumberFormat="1" applyFont="1" applyFill="1" applyBorder="1"/>
    <xf numFmtId="164" fontId="56" fillId="42" borderId="46" xfId="42" applyNumberFormat="1" applyFont="1" applyFill="1" applyBorder="1"/>
    <xf numFmtId="164" fontId="56" fillId="42" borderId="30" xfId="42" applyNumberFormat="1" applyFont="1" applyFill="1" applyBorder="1"/>
    <xf numFmtId="164" fontId="56" fillId="42" borderId="43" xfId="42" applyNumberFormat="1" applyFont="1" applyFill="1" applyBorder="1"/>
    <xf numFmtId="0" fontId="57" fillId="43" borderId="37" xfId="0" applyFont="1" applyFill="1" applyBorder="1"/>
    <xf numFmtId="0" fontId="57" fillId="43" borderId="38" xfId="0" applyFont="1" applyFill="1" applyBorder="1"/>
    <xf numFmtId="0" fontId="56" fillId="44" borderId="35" xfId="0" applyFont="1" applyFill="1" applyBorder="1"/>
    <xf numFmtId="0" fontId="58" fillId="44" borderId="35" xfId="0" applyFont="1" applyFill="1" applyBorder="1" applyAlignment="1">
      <alignment horizontal="center"/>
    </xf>
    <xf numFmtId="0" fontId="57" fillId="44" borderId="35" xfId="0" applyFont="1" applyFill="1" applyBorder="1" applyAlignment="1">
      <alignment horizontal="center"/>
    </xf>
    <xf numFmtId="0" fontId="57" fillId="44" borderId="40" xfId="0" applyFont="1" applyFill="1" applyBorder="1" applyAlignment="1">
      <alignment horizontal="center"/>
    </xf>
    <xf numFmtId="0" fontId="57" fillId="44" borderId="46" xfId="0" applyFont="1" applyFill="1" applyBorder="1"/>
    <xf numFmtId="0" fontId="57" fillId="44" borderId="30" xfId="0" applyFont="1" applyFill="1" applyBorder="1"/>
    <xf numFmtId="0" fontId="56" fillId="44" borderId="30" xfId="0" applyFont="1" applyFill="1" applyBorder="1"/>
    <xf numFmtId="0" fontId="58" fillId="44" borderId="30" xfId="0" applyFont="1" applyFill="1" applyBorder="1" applyAlignment="1">
      <alignment horizontal="center"/>
    </xf>
    <xf numFmtId="0" fontId="57" fillId="44" borderId="30" xfId="0" applyFont="1" applyFill="1" applyBorder="1" applyAlignment="1">
      <alignment horizontal="center"/>
    </xf>
    <xf numFmtId="0" fontId="57" fillId="44" borderId="43" xfId="0" applyFont="1" applyFill="1" applyBorder="1" applyAlignment="1">
      <alignment horizontal="center"/>
    </xf>
    <xf numFmtId="0" fontId="57" fillId="51" borderId="37" xfId="0" applyFont="1" applyFill="1" applyBorder="1"/>
    <xf numFmtId="0" fontId="56" fillId="51" borderId="38" xfId="0" applyFont="1" applyFill="1" applyBorder="1"/>
    <xf numFmtId="0" fontId="58" fillId="52" borderId="39" xfId="0" applyFont="1" applyFill="1" applyBorder="1" applyAlignment="1">
      <alignment horizontal="centerContinuous"/>
    </xf>
    <xf numFmtId="0" fontId="56" fillId="52" borderId="40" xfId="0" applyFont="1" applyFill="1" applyBorder="1" applyAlignment="1">
      <alignment horizontal="centerContinuous"/>
    </xf>
    <xf numFmtId="0" fontId="58" fillId="52" borderId="35" xfId="0" applyFont="1" applyFill="1" applyBorder="1" applyAlignment="1">
      <alignment horizontal="centerContinuous"/>
    </xf>
    <xf numFmtId="0" fontId="57" fillId="52" borderId="35" xfId="0" applyFont="1" applyFill="1" applyBorder="1" applyAlignment="1">
      <alignment horizontal="centerContinuous"/>
    </xf>
    <xf numFmtId="0" fontId="57" fillId="52" borderId="40" xfId="0" applyFont="1" applyFill="1" applyBorder="1" applyAlignment="1">
      <alignment horizontal="centerContinuous"/>
    </xf>
    <xf numFmtId="0" fontId="56" fillId="0" borderId="39" xfId="0" applyFont="1" applyBorder="1"/>
    <xf numFmtId="0" fontId="56" fillId="0" borderId="35" xfId="0" applyFont="1" applyBorder="1" applyAlignment="1">
      <alignment horizontal="center"/>
    </xf>
    <xf numFmtId="165" fontId="56" fillId="0" borderId="35" xfId="44" applyNumberFormat="1" applyFont="1" applyBorder="1" applyAlignment="1">
      <alignment horizontal="center"/>
    </xf>
    <xf numFmtId="0" fontId="57" fillId="52" borderId="37" xfId="0" applyFont="1" applyFill="1" applyBorder="1" applyAlignment="1">
      <alignment horizontal="center" vertical="center"/>
    </xf>
    <xf numFmtId="0" fontId="57" fillId="52" borderId="40" xfId="0" applyFont="1" applyFill="1" applyBorder="1" applyAlignment="1">
      <alignment horizontal="center" vertical="center"/>
    </xf>
    <xf numFmtId="0" fontId="57" fillId="52" borderId="41" xfId="0" applyFont="1" applyFill="1" applyBorder="1" applyAlignment="1">
      <alignment horizontal="center" vertical="center"/>
    </xf>
    <xf numFmtId="0" fontId="57" fillId="52" borderId="42" xfId="0" applyFont="1" applyFill="1" applyBorder="1" applyAlignment="1">
      <alignment horizontal="center" vertical="center"/>
    </xf>
    <xf numFmtId="0" fontId="57" fillId="52" borderId="30" xfId="0" applyFont="1" applyFill="1" applyBorder="1" applyAlignment="1">
      <alignment horizontal="center" vertical="center"/>
    </xf>
    <xf numFmtId="0" fontId="57" fillId="52" borderId="0" xfId="0" applyFont="1" applyFill="1" applyAlignment="1">
      <alignment horizontal="center" vertical="center"/>
    </xf>
    <xf numFmtId="0" fontId="56" fillId="0" borderId="41" xfId="0" applyFont="1" applyBorder="1"/>
    <xf numFmtId="0" fontId="56" fillId="0" borderId="0" xfId="0" applyFont="1" applyAlignment="1">
      <alignment horizontal="center"/>
    </xf>
    <xf numFmtId="165" fontId="56" fillId="0" borderId="0" xfId="44" applyNumberFormat="1" applyFont="1" applyAlignment="1">
      <alignment horizontal="center"/>
    </xf>
    <xf numFmtId="0" fontId="56" fillId="0" borderId="44" xfId="0" applyFont="1" applyBorder="1"/>
    <xf numFmtId="3" fontId="56" fillId="0" borderId="39" xfId="0" applyNumberFormat="1" applyFont="1" applyBorder="1"/>
    <xf numFmtId="3" fontId="56" fillId="0" borderId="40" xfId="0" applyNumberFormat="1" applyFont="1" applyBorder="1" applyAlignment="1">
      <alignment horizontal="center"/>
    </xf>
    <xf numFmtId="3" fontId="56" fillId="34" borderId="45" xfId="0" applyNumberFormat="1" applyFont="1" applyFill="1" applyBorder="1" applyAlignment="1">
      <alignment horizontal="center"/>
    </xf>
    <xf numFmtId="3" fontId="56" fillId="0" borderId="42" xfId="0" applyNumberFormat="1" applyFont="1" applyBorder="1" applyAlignment="1">
      <alignment horizontal="center"/>
    </xf>
    <xf numFmtId="0" fontId="56" fillId="0" borderId="45" xfId="0" applyFont="1" applyBorder="1"/>
    <xf numFmtId="3" fontId="56" fillId="0" borderId="41" xfId="0" applyNumberFormat="1" applyFont="1" applyBorder="1"/>
    <xf numFmtId="3" fontId="56" fillId="0" borderId="45" xfId="0" applyNumberFormat="1" applyFont="1" applyBorder="1" applyAlignment="1">
      <alignment horizontal="center"/>
    </xf>
    <xf numFmtId="0" fontId="56" fillId="0" borderId="46" xfId="0" applyFont="1" applyBorder="1"/>
    <xf numFmtId="0" fontId="56" fillId="0" borderId="30" xfId="0" applyFont="1" applyBorder="1" applyAlignment="1">
      <alignment horizontal="center"/>
    </xf>
    <xf numFmtId="165" fontId="56" fillId="0" borderId="30" xfId="0" applyNumberFormat="1" applyFont="1" applyBorder="1" applyAlignment="1">
      <alignment horizontal="center"/>
    </xf>
    <xf numFmtId="1" fontId="56" fillId="0" borderId="0" xfId="0" applyNumberFormat="1" applyFont="1" applyAlignment="1">
      <alignment horizontal="center"/>
    </xf>
    <xf numFmtId="165" fontId="56" fillId="0" borderId="0" xfId="0" applyNumberFormat="1" applyFont="1" applyAlignment="1">
      <alignment horizontal="center"/>
    </xf>
    <xf numFmtId="165" fontId="56" fillId="0" borderId="0" xfId="0" applyNumberFormat="1" applyFont="1"/>
    <xf numFmtId="0" fontId="59" fillId="0" borderId="35" xfId="0" applyFont="1" applyBorder="1" applyAlignment="1">
      <alignment horizontal="center"/>
    </xf>
    <xf numFmtId="165" fontId="59" fillId="0" borderId="35" xfId="0" applyNumberFormat="1" applyFont="1" applyBorder="1" applyAlignment="1">
      <alignment horizontal="center"/>
    </xf>
    <xf numFmtId="165" fontId="59" fillId="0" borderId="35" xfId="0" quotePrefix="1" applyNumberFormat="1" applyFont="1" applyBorder="1" applyAlignment="1">
      <alignment horizontal="center"/>
    </xf>
    <xf numFmtId="165" fontId="59" fillId="0" borderId="40" xfId="0" quotePrefix="1" applyNumberFormat="1" applyFont="1" applyBorder="1" applyAlignment="1">
      <alignment horizontal="center"/>
    </xf>
    <xf numFmtId="0" fontId="56" fillId="0" borderId="47" xfId="0" applyFont="1" applyBorder="1"/>
    <xf numFmtId="3" fontId="56" fillId="0" borderId="46" xfId="0" applyNumberFormat="1" applyFont="1" applyBorder="1"/>
    <xf numFmtId="3" fontId="56" fillId="0" borderId="43" xfId="0" applyNumberFormat="1" applyFont="1" applyBorder="1" applyAlignment="1">
      <alignment horizontal="center"/>
    </xf>
    <xf numFmtId="0" fontId="59" fillId="0" borderId="0" xfId="0" applyFont="1" applyAlignment="1">
      <alignment horizontal="center"/>
    </xf>
    <xf numFmtId="3" fontId="59" fillId="0" borderId="0" xfId="0" applyNumberFormat="1" applyFont="1" applyAlignment="1">
      <alignment horizontal="center"/>
    </xf>
    <xf numFmtId="37" fontId="59" fillId="0" borderId="42" xfId="0" applyNumberFormat="1" applyFont="1" applyBorder="1" applyAlignment="1">
      <alignment horizontal="center"/>
    </xf>
    <xf numFmtId="0" fontId="60" fillId="0" borderId="44" xfId="0" applyFont="1" applyBorder="1"/>
    <xf numFmtId="0" fontId="56" fillId="0" borderId="10" xfId="0" applyFont="1" applyBorder="1"/>
    <xf numFmtId="3" fontId="56" fillId="0" borderId="44" xfId="0" applyNumberFormat="1" applyFont="1" applyBorder="1" applyAlignment="1">
      <alignment horizontal="center"/>
    </xf>
    <xf numFmtId="0" fontId="57" fillId="0" borderId="45" xfId="0" applyFont="1" applyBorder="1" applyAlignment="1">
      <alignment horizontal="center" vertical="center" textRotation="90"/>
    </xf>
    <xf numFmtId="0" fontId="59" fillId="0" borderId="41" xfId="0" applyFont="1" applyBorder="1" applyAlignment="1">
      <alignment vertical="center"/>
    </xf>
    <xf numFmtId="165" fontId="56" fillId="0" borderId="35" xfId="44" quotePrefix="1" applyNumberFormat="1" applyFont="1" applyBorder="1" applyAlignment="1">
      <alignment horizontal="center"/>
    </xf>
    <xf numFmtId="3" fontId="56" fillId="0" borderId="35" xfId="0" quotePrefix="1" applyNumberFormat="1" applyFont="1" applyBorder="1" applyAlignment="1">
      <alignment horizontal="center"/>
    </xf>
    <xf numFmtId="0" fontId="56" fillId="0" borderId="40" xfId="0" quotePrefix="1" applyFont="1" applyBorder="1" applyAlignment="1">
      <alignment horizontal="center"/>
    </xf>
    <xf numFmtId="3" fontId="56" fillId="0" borderId="0" xfId="0" applyNumberFormat="1" applyFont="1"/>
    <xf numFmtId="165" fontId="56" fillId="0" borderId="0" xfId="44" quotePrefix="1" applyNumberFormat="1" applyFont="1" applyAlignment="1">
      <alignment horizontal="center"/>
    </xf>
    <xf numFmtId="3" fontId="56" fillId="0" borderId="0" xfId="0" quotePrefix="1" applyNumberFormat="1" applyFont="1" applyAlignment="1">
      <alignment horizontal="center"/>
    </xf>
    <xf numFmtId="0" fontId="56" fillId="0" borderId="42" xfId="0" quotePrefix="1" applyFont="1" applyBorder="1" applyAlignment="1">
      <alignment horizontal="center"/>
    </xf>
    <xf numFmtId="165" fontId="56" fillId="0" borderId="30" xfId="44" quotePrefix="1" applyNumberFormat="1" applyFont="1" applyBorder="1" applyAlignment="1">
      <alignment horizontal="center"/>
    </xf>
    <xf numFmtId="3" fontId="56" fillId="0" borderId="30" xfId="0" quotePrefix="1" applyNumberFormat="1" applyFont="1" applyBorder="1" applyAlignment="1">
      <alignment horizontal="center"/>
    </xf>
    <xf numFmtId="0" fontId="56" fillId="0" borderId="43" xfId="0" applyFont="1" applyBorder="1"/>
    <xf numFmtId="0" fontId="56" fillId="0" borderId="37" xfId="0" applyFont="1" applyBorder="1"/>
    <xf numFmtId="0" fontId="56" fillId="0" borderId="33" xfId="0" applyFont="1" applyBorder="1" applyAlignment="1">
      <alignment horizontal="center"/>
    </xf>
    <xf numFmtId="1" fontId="56" fillId="0" borderId="33" xfId="0" applyNumberFormat="1" applyFont="1" applyBorder="1" applyAlignment="1">
      <alignment horizontal="center"/>
    </xf>
    <xf numFmtId="165" fontId="56" fillId="0" borderId="33" xfId="44" quotePrefix="1" applyNumberFormat="1" applyFont="1" applyBorder="1" applyAlignment="1">
      <alignment horizontal="center"/>
    </xf>
    <xf numFmtId="3" fontId="56" fillId="0" borderId="33" xfId="0" quotePrefix="1" applyNumberFormat="1" applyFont="1" applyBorder="1" applyAlignment="1">
      <alignment horizontal="center"/>
    </xf>
    <xf numFmtId="0" fontId="56" fillId="0" borderId="38" xfId="0" applyFont="1" applyBorder="1"/>
    <xf numFmtId="165" fontId="59" fillId="0" borderId="40" xfId="0" applyNumberFormat="1" applyFont="1" applyBorder="1" applyAlignment="1">
      <alignment horizontal="center"/>
    </xf>
    <xf numFmtId="0" fontId="59" fillId="0" borderId="30" xfId="0" applyFont="1" applyBorder="1" applyAlignment="1">
      <alignment horizontal="center"/>
    </xf>
    <xf numFmtId="37" fontId="59" fillId="0" borderId="30" xfId="42" applyNumberFormat="1" applyFont="1" applyBorder="1" applyAlignment="1">
      <alignment horizontal="center"/>
    </xf>
    <xf numFmtId="3" fontId="59" fillId="0" borderId="43" xfId="0" applyNumberFormat="1" applyFont="1" applyBorder="1" applyAlignment="1">
      <alignment horizontal="center"/>
    </xf>
    <xf numFmtId="0" fontId="57" fillId="0" borderId="39" xfId="0" applyFont="1" applyBorder="1" applyAlignment="1">
      <alignment horizontal="center" vertical="center" textRotation="90" wrapText="1"/>
    </xf>
    <xf numFmtId="0" fontId="59" fillId="0" borderId="35" xfId="0" applyFont="1" applyBorder="1" applyAlignment="1">
      <alignment vertical="center"/>
    </xf>
    <xf numFmtId="37" fontId="59" fillId="0" borderId="35" xfId="42" applyNumberFormat="1" applyFont="1" applyBorder="1" applyAlignment="1">
      <alignment horizontal="center"/>
    </xf>
    <xf numFmtId="3" fontId="59" fillId="0" borderId="40" xfId="0" applyNumberFormat="1" applyFont="1" applyBorder="1" applyAlignment="1">
      <alignment horizontal="center"/>
    </xf>
    <xf numFmtId="0" fontId="57" fillId="0" borderId="46" xfId="0" applyFont="1" applyBorder="1" applyAlignment="1">
      <alignment horizontal="center" vertical="center" textRotation="90" wrapText="1"/>
    </xf>
    <xf numFmtId="0" fontId="59" fillId="0" borderId="30" xfId="0" applyFont="1" applyBorder="1" applyAlignment="1">
      <alignment vertical="center"/>
    </xf>
    <xf numFmtId="0" fontId="59" fillId="0" borderId="30" xfId="0" applyFont="1" applyBorder="1" applyAlignment="1">
      <alignment horizontal="center" vertical="center"/>
    </xf>
    <xf numFmtId="37" fontId="57" fillId="0" borderId="30" xfId="42" applyNumberFormat="1" applyFont="1" applyBorder="1" applyAlignment="1">
      <alignment horizontal="center" vertical="center" wrapText="1"/>
    </xf>
    <xf numFmtId="37" fontId="57" fillId="0" borderId="30" xfId="42" applyNumberFormat="1" applyFont="1" applyBorder="1" applyAlignment="1">
      <alignment horizontal="center" vertical="center"/>
    </xf>
    <xf numFmtId="3" fontId="57" fillId="0" borderId="43" xfId="0" applyNumberFormat="1" applyFont="1" applyBorder="1" applyAlignment="1">
      <alignment horizontal="center" vertical="center" wrapText="1"/>
    </xf>
    <xf numFmtId="0" fontId="57" fillId="45" borderId="46" xfId="0" applyFont="1" applyFill="1" applyBorder="1"/>
    <xf numFmtId="0" fontId="57" fillId="45" borderId="30" xfId="0" applyFont="1" applyFill="1" applyBorder="1"/>
    <xf numFmtId="3" fontId="59" fillId="45" borderId="30" xfId="0" applyNumberFormat="1" applyFont="1" applyFill="1" applyBorder="1" applyAlignment="1">
      <alignment horizontal="center" vertical="center"/>
    </xf>
    <xf numFmtId="37" fontId="57" fillId="45" borderId="30" xfId="0" applyNumberFormat="1" applyFont="1" applyFill="1" applyBorder="1" applyAlignment="1">
      <alignment horizontal="right"/>
    </xf>
    <xf numFmtId="37" fontId="57" fillId="45" borderId="43" xfId="0" applyNumberFormat="1" applyFont="1" applyFill="1" applyBorder="1" applyAlignment="1">
      <alignment horizontal="right"/>
    </xf>
    <xf numFmtId="164" fontId="56" fillId="0" borderId="0" xfId="42" applyNumberFormat="1" applyFont="1"/>
    <xf numFmtId="0" fontId="16" fillId="45" borderId="0" xfId="0" applyFont="1" applyFill="1"/>
    <xf numFmtId="0" fontId="16" fillId="45" borderId="0" xfId="0" applyFont="1" applyFill="1" applyAlignment="1">
      <alignment horizontal="center"/>
    </xf>
    <xf numFmtId="0" fontId="41" fillId="0" borderId="0" xfId="0" applyFont="1"/>
    <xf numFmtId="0" fontId="0" fillId="0" borderId="30" xfId="0" applyBorder="1" applyAlignment="1">
      <alignment horizontal="left" vertical="center"/>
    </xf>
    <xf numFmtId="3" fontId="0" fillId="0" borderId="30" xfId="0" applyNumberFormat="1" applyBorder="1"/>
    <xf numFmtId="9" fontId="0" fillId="0" borderId="0" xfId="44" applyFont="1" applyAlignment="1">
      <alignment horizontal="center"/>
    </xf>
    <xf numFmtId="165" fontId="52" fillId="0" borderId="33" xfId="0" applyNumberFormat="1" applyFont="1" applyBorder="1" applyAlignment="1">
      <alignment horizontal="center"/>
    </xf>
    <xf numFmtId="3" fontId="52" fillId="0" borderId="33" xfId="0" applyNumberFormat="1" applyFont="1" applyBorder="1" applyAlignment="1">
      <alignment horizontal="center"/>
    </xf>
    <xf numFmtId="0" fontId="57" fillId="43" borderId="46" xfId="0" applyFont="1" applyFill="1" applyBorder="1"/>
    <xf numFmtId="0" fontId="57" fillId="43" borderId="30" xfId="0" applyFont="1" applyFill="1" applyBorder="1"/>
    <xf numFmtId="0" fontId="56" fillId="44" borderId="0" xfId="0" applyFont="1" applyFill="1"/>
    <xf numFmtId="0" fontId="58" fillId="44" borderId="0" xfId="0" applyFont="1" applyFill="1" applyAlignment="1">
      <alignment horizontal="center"/>
    </xf>
    <xf numFmtId="0" fontId="57" fillId="44" borderId="0" xfId="0" applyFont="1" applyFill="1" applyAlignment="1">
      <alignment horizontal="center"/>
    </xf>
    <xf numFmtId="0" fontId="57" fillId="44" borderId="42" xfId="0" applyFont="1" applyFill="1" applyBorder="1" applyAlignment="1">
      <alignment horizontal="center"/>
    </xf>
    <xf numFmtId="0" fontId="0" fillId="0" borderId="0" xfId="0" applyAlignment="1">
      <alignment vertical="top"/>
    </xf>
    <xf numFmtId="9" fontId="16" fillId="47" borderId="0" xfId="44" applyFont="1" applyFill="1"/>
    <xf numFmtId="1" fontId="19" fillId="0" borderId="0" xfId="0" applyNumberFormat="1" applyFont="1" applyAlignment="1">
      <alignment horizontal="right"/>
    </xf>
    <xf numFmtId="0" fontId="19" fillId="0" borderId="0" xfId="0" applyFont="1" applyAlignment="1">
      <alignment horizontal="center"/>
    </xf>
    <xf numFmtId="9" fontId="19" fillId="0" borderId="0" xfId="44" applyFont="1" applyAlignment="1">
      <alignment horizontal="center"/>
    </xf>
    <xf numFmtId="1" fontId="61" fillId="0" borderId="0" xfId="0" applyNumberFormat="1" applyFont="1"/>
    <xf numFmtId="0" fontId="14" fillId="0" borderId="39" xfId="0" applyFont="1" applyBorder="1"/>
    <xf numFmtId="0" fontId="14" fillId="0" borderId="35" xfId="0" applyFont="1" applyBorder="1"/>
    <xf numFmtId="0" fontId="61" fillId="0" borderId="40" xfId="0" applyFont="1" applyBorder="1"/>
    <xf numFmtId="0" fontId="62" fillId="0" borderId="41" xfId="0" applyFont="1" applyBorder="1" applyAlignment="1">
      <alignment horizontal="center" vertical="center"/>
    </xf>
    <xf numFmtId="0" fontId="61" fillId="0" borderId="42" xfId="0" applyFont="1" applyBorder="1"/>
    <xf numFmtId="0" fontId="61" fillId="0" borderId="46" xfId="0" applyFont="1" applyBorder="1" applyAlignment="1">
      <alignment horizontal="center"/>
    </xf>
    <xf numFmtId="0" fontId="61" fillId="0" borderId="43" xfId="0" applyFont="1" applyBorder="1"/>
    <xf numFmtId="1" fontId="61" fillId="0" borderId="30" xfId="0" applyNumberFormat="1" applyFont="1" applyBorder="1"/>
    <xf numFmtId="0" fontId="0" fillId="0" borderId="30" xfId="0" applyBorder="1" applyAlignment="1">
      <alignment vertical="top"/>
    </xf>
    <xf numFmtId="3" fontId="0" fillId="0" borderId="0" xfId="0" applyNumberFormat="1" applyAlignment="1">
      <alignment horizontal="right"/>
    </xf>
    <xf numFmtId="3" fontId="14" fillId="0" borderId="0" xfId="0" applyNumberFormat="1" applyFont="1"/>
    <xf numFmtId="0" fontId="0" fillId="0" borderId="0" xfId="0" applyAlignment="1">
      <alignment horizontal="center" vertical="center"/>
    </xf>
    <xf numFmtId="0" fontId="0" fillId="0" borderId="0" xfId="0" applyAlignment="1">
      <alignment horizontal="left"/>
    </xf>
    <xf numFmtId="0" fontId="52" fillId="0" borderId="0" xfId="0" applyFont="1" applyAlignment="1">
      <alignment horizontal="center"/>
    </xf>
    <xf numFmtId="0" fontId="16" fillId="0" borderId="0" xfId="0" applyFont="1" applyAlignment="1">
      <alignment horizontal="center"/>
    </xf>
    <xf numFmtId="0" fontId="16" fillId="38" borderId="0" xfId="0" applyFont="1" applyFill="1" applyAlignment="1">
      <alignment horizontal="center"/>
    </xf>
    <xf numFmtId="0" fontId="0" fillId="38" borderId="0" xfId="0" quotePrefix="1" applyFill="1" applyAlignment="1">
      <alignment horizontal="center"/>
    </xf>
    <xf numFmtId="0" fontId="0" fillId="38" borderId="0" xfId="0" applyFill="1" applyAlignment="1">
      <alignment horizontal="center"/>
    </xf>
    <xf numFmtId="0" fontId="52" fillId="38" borderId="0" xfId="0" applyFont="1" applyFill="1" applyAlignment="1">
      <alignment horizontal="center"/>
    </xf>
    <xf numFmtId="0" fontId="40" fillId="38" borderId="0" xfId="0" applyFont="1" applyFill="1"/>
    <xf numFmtId="0" fontId="40" fillId="0" borderId="0" xfId="0" applyFont="1"/>
    <xf numFmtId="3" fontId="41" fillId="0" borderId="0" xfId="0" applyNumberFormat="1" applyFont="1" applyAlignment="1">
      <alignment horizontal="right" vertical="center" wrapText="1"/>
    </xf>
    <xf numFmtId="0" fontId="0" fillId="0" borderId="0" xfId="0" applyAlignment="1">
      <alignment horizontal="right"/>
    </xf>
    <xf numFmtId="165" fontId="63" fillId="0" borderId="0" xfId="0" applyNumberFormat="1" applyFont="1" applyAlignment="1">
      <alignment horizontal="center"/>
    </xf>
    <xf numFmtId="0" fontId="16" fillId="35" borderId="22" xfId="0" applyFont="1" applyFill="1" applyBorder="1" applyAlignment="1">
      <alignment horizontal="center" vertical="center" wrapText="1"/>
    </xf>
    <xf numFmtId="3" fontId="0" fillId="0" borderId="0" xfId="0" quotePrefix="1" applyNumberFormat="1" applyAlignment="1">
      <alignment horizontal="center"/>
    </xf>
    <xf numFmtId="165" fontId="52" fillId="0" borderId="0" xfId="0" applyNumberFormat="1" applyFont="1" applyAlignment="1">
      <alignment horizontal="center"/>
    </xf>
    <xf numFmtId="165" fontId="0" fillId="0" borderId="0" xfId="44" quotePrefix="1" applyNumberFormat="1" applyFont="1" applyAlignment="1">
      <alignment horizontal="center"/>
    </xf>
    <xf numFmtId="165" fontId="0" fillId="0" borderId="0" xfId="0" quotePrefix="1" applyNumberFormat="1" applyAlignment="1">
      <alignment horizontal="center"/>
    </xf>
    <xf numFmtId="165" fontId="28" fillId="0" borderId="0" xfId="0" applyNumberFormat="1" applyFont="1" applyAlignment="1">
      <alignment horizontal="center"/>
    </xf>
    <xf numFmtId="166" fontId="0" fillId="0" borderId="0" xfId="0" applyNumberFormat="1"/>
    <xf numFmtId="166" fontId="0" fillId="0" borderId="0" xfId="0" applyNumberFormat="1" applyAlignment="1">
      <alignment horizontal="left"/>
    </xf>
    <xf numFmtId="166" fontId="0" fillId="0" borderId="0" xfId="0" applyNumberFormat="1" applyAlignment="1">
      <alignment horizontal="center"/>
    </xf>
    <xf numFmtId="3" fontId="0" fillId="0" borderId="10" xfId="0" applyNumberFormat="1" applyBorder="1"/>
    <xf numFmtId="2" fontId="0" fillId="0" borderId="0" xfId="0" applyNumberFormat="1"/>
    <xf numFmtId="166" fontId="0" fillId="53" borderId="0" xfId="0" applyNumberFormat="1" applyFill="1"/>
    <xf numFmtId="166" fontId="0" fillId="54" borderId="0" xfId="0" applyNumberFormat="1" applyFill="1"/>
    <xf numFmtId="0" fontId="0" fillId="0" borderId="0" xfId="0" quotePrefix="1"/>
    <xf numFmtId="3" fontId="0" fillId="0" borderId="0" xfId="0" quotePrefix="1" applyNumberFormat="1"/>
    <xf numFmtId="166" fontId="14" fillId="0" borderId="0" xfId="0" applyNumberFormat="1" applyFont="1"/>
    <xf numFmtId="0" fontId="14" fillId="0" borderId="0" xfId="0" applyFont="1" applyAlignment="1">
      <alignment horizontal="right"/>
    </xf>
    <xf numFmtId="165" fontId="0" fillId="0" borderId="0" xfId="0" applyNumberFormat="1" applyAlignment="1">
      <alignment horizontal="right"/>
    </xf>
    <xf numFmtId="165" fontId="0" fillId="0" borderId="0" xfId="44" applyNumberFormat="1" applyFont="1" applyAlignment="1">
      <alignment horizontal="right"/>
    </xf>
    <xf numFmtId="9" fontId="0" fillId="0" borderId="0" xfId="44" applyFont="1" applyAlignment="1">
      <alignment horizontal="right"/>
    </xf>
    <xf numFmtId="0" fontId="0" fillId="47" borderId="0" xfId="0" applyFill="1"/>
    <xf numFmtId="165" fontId="0" fillId="41" borderId="0" xfId="44" applyNumberFormat="1" applyFont="1" applyFill="1"/>
    <xf numFmtId="9" fontId="14" fillId="0" borderId="0" xfId="44" applyFont="1" applyAlignment="1">
      <alignment horizontal="right"/>
    </xf>
    <xf numFmtId="9" fontId="0" fillId="52" borderId="0" xfId="0" applyNumberFormat="1" applyFill="1"/>
    <xf numFmtId="0" fontId="18" fillId="47" borderId="0" xfId="0" applyFont="1" applyFill="1"/>
    <xf numFmtId="0" fontId="16" fillId="47" borderId="0" xfId="0" quotePrefix="1" applyFont="1" applyFill="1"/>
    <xf numFmtId="9" fontId="16" fillId="47" borderId="0" xfId="44" quotePrefix="1" applyFont="1" applyFill="1" applyAlignment="1">
      <alignment horizontal="center"/>
    </xf>
    <xf numFmtId="9" fontId="18" fillId="47" borderId="0" xfId="44" applyFont="1" applyFill="1"/>
    <xf numFmtId="1" fontId="0" fillId="0" borderId="0" xfId="0" applyNumberFormat="1"/>
    <xf numFmtId="165" fontId="0" fillId="0" borderId="0" xfId="0" applyNumberFormat="1" applyAlignment="1">
      <alignment horizontal="center"/>
    </xf>
    <xf numFmtId="9" fontId="16" fillId="0" borderId="33" xfId="44" applyFont="1" applyBorder="1" applyAlignment="1">
      <alignment horizontal="center"/>
    </xf>
    <xf numFmtId="166" fontId="14" fillId="0" borderId="30" xfId="0" applyNumberFormat="1" applyFont="1" applyBorder="1"/>
    <xf numFmtId="2" fontId="0" fillId="0" borderId="30" xfId="0" applyNumberFormat="1" applyBorder="1"/>
    <xf numFmtId="166" fontId="0" fillId="0" borderId="30" xfId="0" applyNumberFormat="1" applyBorder="1"/>
    <xf numFmtId="9" fontId="55" fillId="0" borderId="0" xfId="44" applyFont="1" applyAlignment="1">
      <alignment horizontal="right" vertical="center" wrapText="1"/>
    </xf>
    <xf numFmtId="0" fontId="36" fillId="47" borderId="0" xfId="0" applyFont="1" applyFill="1"/>
    <xf numFmtId="9" fontId="14" fillId="0" borderId="0" xfId="44" applyFont="1" applyAlignment="1">
      <alignment horizontal="right" vertical="center" wrapText="1"/>
    </xf>
    <xf numFmtId="165" fontId="14" fillId="0" borderId="0" xfId="44" applyNumberFormat="1" applyFont="1"/>
    <xf numFmtId="0" fontId="14" fillId="0" borderId="0" xfId="0" applyFont="1" applyAlignment="1">
      <alignment horizontal="center"/>
    </xf>
    <xf numFmtId="10" fontId="0" fillId="0" borderId="0" xfId="44" applyNumberFormat="1" applyFont="1"/>
    <xf numFmtId="166" fontId="0" fillId="41" borderId="0" xfId="0" applyNumberFormat="1" applyFill="1"/>
    <xf numFmtId="0" fontId="64" fillId="0" borderId="0" xfId="0" applyFont="1" applyAlignment="1">
      <alignment vertical="center" wrapText="1"/>
    </xf>
    <xf numFmtId="0" fontId="64" fillId="0" borderId="30" xfId="0" applyFont="1" applyBorder="1" applyAlignment="1">
      <alignment vertical="center" wrapText="1"/>
    </xf>
    <xf numFmtId="0" fontId="36" fillId="0" borderId="0" xfId="0" applyFont="1"/>
    <xf numFmtId="9" fontId="16" fillId="0" borderId="0" xfId="44" applyFont="1"/>
    <xf numFmtId="9" fontId="55" fillId="55" borderId="44" xfId="44" applyFont="1" applyFill="1" applyBorder="1" applyAlignment="1">
      <alignment horizontal="right" vertical="center" wrapText="1"/>
    </xf>
    <xf numFmtId="9" fontId="55" fillId="55" borderId="45" xfId="44" applyFont="1" applyFill="1" applyBorder="1" applyAlignment="1">
      <alignment horizontal="right" vertical="center" wrapText="1"/>
    </xf>
    <xf numFmtId="9" fontId="55" fillId="55" borderId="47" xfId="44" applyFont="1" applyFill="1" applyBorder="1" applyAlignment="1">
      <alignment horizontal="right" vertical="center" wrapText="1"/>
    </xf>
    <xf numFmtId="9" fontId="0" fillId="55" borderId="0" xfId="0" applyNumberFormat="1" applyFill="1"/>
    <xf numFmtId="3" fontId="52" fillId="0" borderId="38" xfId="0" applyNumberFormat="1" applyFont="1" applyBorder="1" applyAlignment="1">
      <alignment horizontal="center"/>
    </xf>
    <xf numFmtId="0" fontId="35" fillId="0" borderId="0" xfId="0" applyFont="1"/>
    <xf numFmtId="0" fontId="65" fillId="56" borderId="64" xfId="0" applyFont="1" applyFill="1" applyBorder="1" applyAlignment="1">
      <alignment horizontal="center" vertical="center" wrapText="1"/>
    </xf>
    <xf numFmtId="0" fontId="65" fillId="56" borderId="68" xfId="0" applyFont="1" applyFill="1" applyBorder="1" applyAlignment="1">
      <alignment horizontal="center" vertical="center" wrapText="1"/>
    </xf>
    <xf numFmtId="0" fontId="65" fillId="0" borderId="68" xfId="0" applyFont="1" applyBorder="1" applyAlignment="1">
      <alignment horizontal="center" vertical="center" wrapText="1"/>
    </xf>
    <xf numFmtId="0" fontId="65" fillId="0" borderId="10" xfId="0" applyFont="1" applyBorder="1" applyAlignment="1">
      <alignment horizontal="left" vertical="center" wrapText="1"/>
    </xf>
    <xf numFmtId="0" fontId="0" fillId="0" borderId="71" xfId="0" applyBorder="1" applyAlignment="1">
      <alignment horizontal="center" vertical="top" wrapText="1"/>
    </xf>
    <xf numFmtId="0" fontId="65" fillId="0" borderId="70" xfId="0" applyFont="1" applyBorder="1" applyAlignment="1">
      <alignment horizontal="center" vertical="center" wrapText="1"/>
    </xf>
    <xf numFmtId="0" fontId="0" fillId="0" borderId="73" xfId="0" applyBorder="1" applyAlignment="1">
      <alignment horizontal="center" vertical="center" wrapText="1"/>
    </xf>
    <xf numFmtId="0" fontId="0" fillId="0" borderId="71" xfId="0" applyBorder="1" applyAlignment="1">
      <alignment horizontal="center" vertical="center" wrapText="1"/>
    </xf>
    <xf numFmtId="0" fontId="65" fillId="0" borderId="73" xfId="0" applyFont="1" applyBorder="1" applyAlignment="1">
      <alignment horizontal="center" vertical="center" wrapText="1"/>
    </xf>
    <xf numFmtId="0" fontId="65" fillId="0" borderId="71" xfId="0" applyFont="1" applyBorder="1" applyAlignment="1">
      <alignment horizontal="center" vertical="center" wrapText="1"/>
    </xf>
    <xf numFmtId="0" fontId="65" fillId="0" borderId="67" xfId="0" applyFont="1" applyBorder="1" applyAlignment="1">
      <alignment horizontal="center" vertical="center" wrapText="1"/>
    </xf>
    <xf numFmtId="0" fontId="65" fillId="0" borderId="68" xfId="0" applyFont="1" applyBorder="1" applyAlignment="1">
      <alignment horizontal="right" vertical="center" wrapText="1"/>
    </xf>
    <xf numFmtId="0" fontId="65" fillId="0" borderId="0" xfId="0" applyFont="1" applyAlignment="1">
      <alignment horizontal="right" vertical="center" wrapText="1"/>
    </xf>
    <xf numFmtId="0" fontId="65" fillId="0" borderId="0" xfId="0" applyFont="1" applyAlignment="1">
      <alignment horizontal="left" vertical="center" wrapText="1" indent="1"/>
    </xf>
    <xf numFmtId="0" fontId="65" fillId="0" borderId="0" xfId="0" applyFont="1" applyAlignment="1">
      <alignment vertical="center" wrapText="1"/>
    </xf>
    <xf numFmtId="0" fontId="65" fillId="0" borderId="68" xfId="0" applyFont="1" applyBorder="1" applyAlignment="1">
      <alignment vertical="center" wrapText="1"/>
    </xf>
    <xf numFmtId="0" fontId="65" fillId="56" borderId="67" xfId="0" applyFont="1" applyFill="1" applyBorder="1" applyAlignment="1">
      <alignment horizontal="center" vertical="center" wrapText="1"/>
    </xf>
    <xf numFmtId="0" fontId="65" fillId="56" borderId="68" xfId="0" applyFont="1" applyFill="1" applyBorder="1" applyAlignment="1">
      <alignment horizontal="right" vertical="center" wrapText="1"/>
    </xf>
    <xf numFmtId="0" fontId="65" fillId="56" borderId="0" xfId="0" applyFont="1" applyFill="1" applyAlignment="1">
      <alignment vertical="center" wrapText="1"/>
    </xf>
    <xf numFmtId="0" fontId="65" fillId="56" borderId="68" xfId="0" applyFont="1" applyFill="1" applyBorder="1" applyAlignment="1">
      <alignment vertical="center" wrapText="1"/>
    </xf>
    <xf numFmtId="0" fontId="65" fillId="0" borderId="72" xfId="0" applyFont="1" applyBorder="1" applyAlignment="1">
      <alignment horizontal="center" vertical="center" wrapText="1"/>
    </xf>
    <xf numFmtId="0" fontId="65" fillId="0" borderId="71" xfId="0" applyFont="1" applyBorder="1" applyAlignment="1">
      <alignment horizontal="right" vertical="center" wrapText="1"/>
    </xf>
    <xf numFmtId="0" fontId="65" fillId="0" borderId="71" xfId="0" applyFont="1" applyBorder="1" applyAlignment="1">
      <alignment vertical="center" wrapText="1"/>
    </xf>
    <xf numFmtId="0" fontId="65" fillId="0" borderId="73" xfId="0" applyFont="1" applyBorder="1" applyAlignment="1">
      <alignment horizontal="right" vertical="center" wrapText="1"/>
    </xf>
    <xf numFmtId="0" fontId="65" fillId="0" borderId="73" xfId="0" applyFont="1" applyBorder="1" applyAlignment="1">
      <alignment horizontal="left" vertical="center" wrapText="1" indent="1"/>
    </xf>
    <xf numFmtId="0" fontId="65" fillId="0" borderId="73" xfId="0" applyFont="1" applyBorder="1" applyAlignment="1">
      <alignment vertical="center" wrapText="1"/>
    </xf>
    <xf numFmtId="0" fontId="0" fillId="57" borderId="0" xfId="0" applyFill="1"/>
    <xf numFmtId="0" fontId="38" fillId="57" borderId="0" xfId="0" applyFont="1" applyFill="1" applyAlignment="1">
      <alignment vertical="center"/>
    </xf>
    <xf numFmtId="0" fontId="14" fillId="57" borderId="0" xfId="0" applyFont="1" applyFill="1" applyAlignment="1">
      <alignment vertical="center"/>
    </xf>
    <xf numFmtId="0" fontId="13" fillId="57" borderId="0" xfId="0" applyFont="1" applyFill="1" applyAlignment="1">
      <alignment vertical="center"/>
    </xf>
    <xf numFmtId="0" fontId="13" fillId="57" borderId="0" xfId="0" applyFont="1" applyFill="1" applyAlignment="1">
      <alignment horizontal="right" vertical="center"/>
    </xf>
    <xf numFmtId="0" fontId="36" fillId="57" borderId="0" xfId="0" applyFont="1" applyFill="1" applyAlignment="1">
      <alignment vertical="center"/>
    </xf>
    <xf numFmtId="0" fontId="38" fillId="57" borderId="0" xfId="0" applyFont="1" applyFill="1" applyAlignment="1">
      <alignment horizontal="left" vertical="center"/>
    </xf>
    <xf numFmtId="0" fontId="39" fillId="57" borderId="0" xfId="0" applyFont="1" applyFill="1" applyAlignment="1">
      <alignment vertical="center"/>
    </xf>
    <xf numFmtId="0" fontId="38" fillId="57" borderId="0" xfId="0" applyFont="1" applyFill="1"/>
    <xf numFmtId="0" fontId="54" fillId="57" borderId="0" xfId="0" applyFont="1" applyFill="1"/>
    <xf numFmtId="0" fontId="35" fillId="52" borderId="35" xfId="0" applyFont="1" applyFill="1" applyBorder="1" applyAlignment="1">
      <alignment horizontal="centerContinuous"/>
    </xf>
    <xf numFmtId="0" fontId="16" fillId="52" borderId="33" xfId="0" quotePrefix="1" applyFont="1" applyFill="1" applyBorder="1" applyAlignment="1">
      <alignment horizontal="centerContinuous"/>
    </xf>
    <xf numFmtId="0" fontId="16" fillId="52" borderId="33" xfId="0" applyFont="1" applyFill="1" applyBorder="1" applyAlignment="1">
      <alignment horizontal="centerContinuous"/>
    </xf>
    <xf numFmtId="0" fontId="16" fillId="52" borderId="38" xfId="0" applyFont="1" applyFill="1" applyBorder="1" applyAlignment="1">
      <alignment horizontal="centerContinuous"/>
    </xf>
    <xf numFmtId="0" fontId="16" fillId="52" borderId="41" xfId="0" applyFont="1" applyFill="1" applyBorder="1" applyAlignment="1">
      <alignment horizontal="centerContinuous" vertical="center"/>
    </xf>
    <xf numFmtId="0" fontId="0" fillId="52" borderId="0" xfId="0" applyFill="1" applyAlignment="1">
      <alignment horizontal="centerContinuous"/>
    </xf>
    <xf numFmtId="0" fontId="16" fillId="47" borderId="35" xfId="0" applyFont="1" applyFill="1" applyBorder="1"/>
    <xf numFmtId="0" fontId="40" fillId="47" borderId="35" xfId="0" applyFont="1" applyFill="1" applyBorder="1" applyAlignment="1">
      <alignment horizontal="centerContinuous"/>
    </xf>
    <xf numFmtId="0" fontId="16" fillId="59" borderId="37" xfId="0" applyFont="1" applyFill="1" applyBorder="1"/>
    <xf numFmtId="0" fontId="0" fillId="59" borderId="38" xfId="0" applyFill="1" applyBorder="1"/>
    <xf numFmtId="0" fontId="40" fillId="60" borderId="39" xfId="0" applyFont="1" applyFill="1" applyBorder="1" applyAlignment="1">
      <alignment horizontal="centerContinuous"/>
    </xf>
    <xf numFmtId="0" fontId="0" fillId="60" borderId="40" xfId="0" applyFill="1" applyBorder="1" applyAlignment="1">
      <alignment horizontal="centerContinuous"/>
    </xf>
    <xf numFmtId="0" fontId="40" fillId="60" borderId="35" xfId="0" applyFont="1" applyFill="1" applyBorder="1" applyAlignment="1">
      <alignment horizontal="centerContinuous"/>
    </xf>
    <xf numFmtId="0" fontId="16" fillId="60" borderId="35" xfId="0" applyFont="1" applyFill="1" applyBorder="1" applyAlignment="1">
      <alignment horizontal="centerContinuous"/>
    </xf>
    <xf numFmtId="0" fontId="16" fillId="60" borderId="40" xfId="0" applyFont="1" applyFill="1" applyBorder="1" applyAlignment="1">
      <alignment horizontal="centerContinuous"/>
    </xf>
    <xf numFmtId="0" fontId="16" fillId="60" borderId="41" xfId="0" applyFont="1" applyFill="1" applyBorder="1" applyAlignment="1">
      <alignment horizontal="center" vertical="center"/>
    </xf>
    <xf numFmtId="0" fontId="16" fillId="60" borderId="42" xfId="0" applyFont="1" applyFill="1" applyBorder="1" applyAlignment="1">
      <alignment horizontal="center" vertical="center"/>
    </xf>
    <xf numFmtId="0" fontId="16" fillId="60" borderId="0" xfId="0" applyFont="1" applyFill="1" applyAlignment="1">
      <alignment horizontal="center" vertical="center"/>
    </xf>
    <xf numFmtId="0" fontId="16" fillId="60" borderId="37" xfId="0" applyFont="1" applyFill="1" applyBorder="1" applyAlignment="1">
      <alignment horizontal="center" vertical="center"/>
    </xf>
    <xf numFmtId="0" fontId="16" fillId="60" borderId="40" xfId="0" applyFont="1" applyFill="1" applyBorder="1" applyAlignment="1">
      <alignment horizontal="center" vertical="center"/>
    </xf>
    <xf numFmtId="0" fontId="16" fillId="60" borderId="37" xfId="0" applyFont="1" applyFill="1" applyBorder="1" applyAlignment="1">
      <alignment horizontal="centerContinuous"/>
    </xf>
    <xf numFmtId="0" fontId="0" fillId="60" borderId="33" xfId="0" applyFill="1" applyBorder="1" applyAlignment="1">
      <alignment horizontal="centerContinuous"/>
    </xf>
    <xf numFmtId="0" fontId="16" fillId="0" borderId="37" xfId="0" applyFont="1" applyBorder="1" applyAlignment="1">
      <alignment horizontal="left" vertical="center"/>
    </xf>
    <xf numFmtId="3" fontId="0" fillId="0" borderId="39" xfId="0" applyNumberFormat="1" applyBorder="1" applyAlignment="1">
      <alignment horizontal="center"/>
    </xf>
    <xf numFmtId="3" fontId="41" fillId="0" borderId="40" xfId="0" applyNumberFormat="1" applyFont="1" applyBorder="1" applyAlignment="1">
      <alignment horizontal="center"/>
    </xf>
    <xf numFmtId="3" fontId="0" fillId="0" borderId="41" xfId="0" applyNumberFormat="1" applyBorder="1" applyAlignment="1">
      <alignment horizontal="center"/>
    </xf>
    <xf numFmtId="3" fontId="41" fillId="0" borderId="42" xfId="0" applyNumberFormat="1" applyFont="1" applyBorder="1" applyAlignment="1">
      <alignment horizontal="center"/>
    </xf>
    <xf numFmtId="3" fontId="0" fillId="0" borderId="33" xfId="0" applyNumberFormat="1" applyBorder="1" applyAlignment="1">
      <alignment horizontal="center"/>
    </xf>
    <xf numFmtId="0" fontId="0" fillId="0" borderId="33" xfId="0" applyBorder="1" applyAlignment="1">
      <alignment horizontal="center"/>
    </xf>
    <xf numFmtId="3" fontId="41" fillId="0" borderId="38" xfId="0" applyNumberFormat="1" applyFont="1" applyBorder="1" applyAlignment="1">
      <alignment horizontal="center"/>
    </xf>
    <xf numFmtId="3" fontId="16" fillId="60" borderId="37" xfId="0" applyNumberFormat="1" applyFont="1" applyFill="1" applyBorder="1" applyAlignment="1">
      <alignment horizontal="center"/>
    </xf>
    <xf numFmtId="3" fontId="16" fillId="60" borderId="38" xfId="0" applyNumberFormat="1" applyFont="1" applyFill="1" applyBorder="1" applyAlignment="1">
      <alignment horizontal="center"/>
    </xf>
    <xf numFmtId="3" fontId="16" fillId="60" borderId="33" xfId="0" applyNumberFormat="1" applyFont="1" applyFill="1" applyBorder="1" applyAlignment="1">
      <alignment horizontal="center"/>
    </xf>
    <xf numFmtId="3" fontId="41" fillId="0" borderId="0" xfId="0" applyNumberFormat="1" applyFont="1" applyAlignment="1">
      <alignment horizontal="center"/>
    </xf>
    <xf numFmtId="3" fontId="41" fillId="0" borderId="0" xfId="0" quotePrefix="1" applyNumberFormat="1" applyFont="1" applyAlignment="1">
      <alignment horizontal="center"/>
    </xf>
    <xf numFmtId="3" fontId="41" fillId="0" borderId="39" xfId="0" applyNumberFormat="1" applyFont="1" applyBorder="1" applyAlignment="1">
      <alignment horizontal="center"/>
    </xf>
    <xf numFmtId="3" fontId="41" fillId="0" borderId="41" xfId="0" applyNumberFormat="1" applyFont="1" applyBorder="1" applyAlignment="1">
      <alignment horizontal="center"/>
    </xf>
    <xf numFmtId="3" fontId="41" fillId="0" borderId="41" xfId="0" quotePrefix="1" applyNumberFormat="1" applyFont="1" applyBorder="1" applyAlignment="1">
      <alignment horizontal="center"/>
    </xf>
    <xf numFmtId="3" fontId="41" fillId="0" borderId="42" xfId="0" quotePrefix="1" applyNumberFormat="1" applyFont="1" applyBorder="1" applyAlignment="1">
      <alignment horizontal="center"/>
    </xf>
    <xf numFmtId="3" fontId="41" fillId="0" borderId="46" xfId="0" quotePrefix="1" applyNumberFormat="1" applyFont="1" applyBorder="1" applyAlignment="1">
      <alignment horizontal="center"/>
    </xf>
    <xf numFmtId="3" fontId="41" fillId="0" borderId="30" xfId="0" quotePrefix="1" applyNumberFormat="1" applyFont="1" applyBorder="1" applyAlignment="1">
      <alignment horizontal="center"/>
    </xf>
    <xf numFmtId="3" fontId="41" fillId="0" borderId="43" xfId="0" quotePrefix="1" applyNumberFormat="1" applyFont="1" applyBorder="1" applyAlignment="1">
      <alignment horizontal="center"/>
    </xf>
    <xf numFmtId="3" fontId="41" fillId="0" borderId="37" xfId="0" applyNumberFormat="1" applyFont="1" applyBorder="1" applyAlignment="1">
      <alignment horizontal="center"/>
    </xf>
    <xf numFmtId="164" fontId="56" fillId="42" borderId="0" xfId="42" applyNumberFormat="1" applyFont="1" applyFill="1"/>
    <xf numFmtId="0" fontId="54" fillId="38" borderId="0" xfId="0" applyFont="1" applyFill="1"/>
    <xf numFmtId="0" fontId="53" fillId="38" borderId="0" xfId="0" applyFont="1" applyFill="1"/>
    <xf numFmtId="0" fontId="66" fillId="38" borderId="37" xfId="0" applyFont="1" applyFill="1" applyBorder="1" applyAlignment="1">
      <alignment horizontal="center"/>
    </xf>
    <xf numFmtId="9" fontId="66" fillId="38" borderId="38" xfId="0" applyNumberFormat="1" applyFont="1" applyFill="1" applyBorder="1" applyAlignment="1">
      <alignment horizontal="center"/>
    </xf>
    <xf numFmtId="0" fontId="66" fillId="38" borderId="37" xfId="0" applyFont="1" applyFill="1" applyBorder="1" applyAlignment="1">
      <alignment horizontal="centerContinuous"/>
    </xf>
    <xf numFmtId="0" fontId="54" fillId="38" borderId="33" xfId="0" applyFont="1" applyFill="1" applyBorder="1" applyAlignment="1">
      <alignment horizontal="centerContinuous"/>
    </xf>
    <xf numFmtId="167" fontId="66" fillId="38" borderId="33" xfId="0" applyNumberFormat="1" applyFont="1" applyFill="1" applyBorder="1" applyAlignment="1">
      <alignment horizontal="center"/>
    </xf>
    <xf numFmtId="0" fontId="54" fillId="0" borderId="0" xfId="0" applyFont="1"/>
    <xf numFmtId="0" fontId="67" fillId="0" borderId="0" xfId="0" applyFont="1"/>
    <xf numFmtId="0" fontId="66" fillId="38" borderId="38" xfId="0" applyFont="1" applyFill="1" applyBorder="1" applyAlignment="1">
      <alignment horizontal="left"/>
    </xf>
    <xf numFmtId="0" fontId="16" fillId="38" borderId="0" xfId="0" applyFont="1" applyFill="1" applyAlignment="1">
      <alignment horizontal="center" vertical="center" textRotation="90" wrapText="1"/>
    </xf>
    <xf numFmtId="0" fontId="52" fillId="38" borderId="0" xfId="0" applyFont="1" applyFill="1"/>
    <xf numFmtId="9" fontId="16" fillId="38" borderId="0" xfId="44" applyFont="1" applyFill="1" applyAlignment="1">
      <alignment horizontal="center"/>
    </xf>
    <xf numFmtId="165" fontId="52" fillId="38" borderId="0" xfId="0" applyNumberFormat="1" applyFont="1" applyFill="1" applyAlignment="1">
      <alignment horizontal="center"/>
    </xf>
    <xf numFmtId="3" fontId="52" fillId="38" borderId="0" xfId="0" applyNumberFormat="1" applyFont="1" applyFill="1" applyAlignment="1">
      <alignment horizontal="center"/>
    </xf>
    <xf numFmtId="3" fontId="16" fillId="47" borderId="33" xfId="0" applyNumberFormat="1" applyFont="1" applyFill="1" applyBorder="1" applyAlignment="1">
      <alignment horizontal="center"/>
    </xf>
    <xf numFmtId="0" fontId="16" fillId="60" borderId="0" xfId="0" applyFont="1" applyFill="1" applyBorder="1" applyAlignment="1">
      <alignment horizontal="center" vertical="center"/>
    </xf>
    <xf numFmtId="0" fontId="0" fillId="0" borderId="41" xfId="0" applyBorder="1" applyAlignment="1">
      <alignment horizontal="left"/>
    </xf>
    <xf numFmtId="0" fontId="0" fillId="0" borderId="0" xfId="0" applyAlignment="1">
      <alignment horizontal="left"/>
    </xf>
    <xf numFmtId="3" fontId="0" fillId="0" borderId="0" xfId="0" applyNumberFormat="1" applyBorder="1" applyAlignment="1">
      <alignment horizontal="center"/>
    </xf>
    <xf numFmtId="3" fontId="0" fillId="0" borderId="46" xfId="0" applyNumberFormat="1" applyBorder="1" applyAlignment="1">
      <alignment horizontal="center"/>
    </xf>
    <xf numFmtId="3" fontId="41" fillId="0" borderId="43" xfId="0" applyNumberFormat="1" applyFont="1" applyBorder="1" applyAlignment="1">
      <alignment horizontal="center"/>
    </xf>
    <xf numFmtId="0" fontId="16" fillId="0" borderId="46" xfId="0" applyFont="1" applyBorder="1" applyAlignment="1">
      <alignment horizontal="center" vertical="center"/>
    </xf>
    <xf numFmtId="0" fontId="57" fillId="49" borderId="41" xfId="0" applyFont="1" applyFill="1" applyBorder="1"/>
    <xf numFmtId="0" fontId="57" fillId="49" borderId="0" xfId="0" applyFont="1" applyFill="1" applyBorder="1"/>
    <xf numFmtId="0" fontId="57" fillId="49" borderId="42" xfId="0" applyFont="1" applyFill="1" applyBorder="1"/>
    <xf numFmtId="3" fontId="64" fillId="0" borderId="0" xfId="0" applyNumberFormat="1" applyFont="1" applyAlignment="1">
      <alignment vertical="center" wrapText="1"/>
    </xf>
    <xf numFmtId="0" fontId="16" fillId="0" borderId="39" xfId="0" quotePrefix="1" applyFont="1" applyBorder="1" applyAlignment="1">
      <alignment horizontal="left"/>
    </xf>
    <xf numFmtId="0" fontId="0" fillId="0" borderId="35" xfId="0" applyFont="1" applyBorder="1"/>
    <xf numFmtId="0" fontId="0" fillId="0" borderId="41" xfId="0" applyFont="1" applyBorder="1"/>
    <xf numFmtId="0" fontId="0" fillId="0" borderId="0" xfId="0" applyFont="1"/>
    <xf numFmtId="0" fontId="0" fillId="0" borderId="46" xfId="0" applyFont="1" applyBorder="1"/>
    <xf numFmtId="0" fontId="0" fillId="0" borderId="30" xfId="0" applyFont="1" applyBorder="1"/>
    <xf numFmtId="0" fontId="16" fillId="0" borderId="39" xfId="0" applyFont="1" applyBorder="1"/>
    <xf numFmtId="3" fontId="63" fillId="34" borderId="0" xfId="0" applyNumberFormat="1" applyFont="1" applyFill="1" applyAlignment="1">
      <alignment horizontal="right" vertical="center" wrapText="1"/>
    </xf>
    <xf numFmtId="3" fontId="16" fillId="0" borderId="35" xfId="0" applyNumberFormat="1" applyFont="1" applyBorder="1" applyAlignment="1">
      <alignment horizontal="center"/>
    </xf>
    <xf numFmtId="3" fontId="16" fillId="0" borderId="40" xfId="0" applyNumberFormat="1" applyFont="1" applyBorder="1" applyAlignment="1">
      <alignment horizontal="center"/>
    </xf>
    <xf numFmtId="3" fontId="0" fillId="41" borderId="0" xfId="0" applyNumberFormat="1" applyFill="1"/>
    <xf numFmtId="3" fontId="0" fillId="47" borderId="0" xfId="0" applyNumberFormat="1" applyFill="1"/>
    <xf numFmtId="3" fontId="0" fillId="0" borderId="0" xfId="0" applyNumberFormat="1" applyFont="1" applyAlignment="1">
      <alignment horizontal="center"/>
    </xf>
    <xf numFmtId="3" fontId="0" fillId="0" borderId="42" xfId="0" applyNumberFormat="1" applyFont="1" applyBorder="1" applyAlignment="1">
      <alignment horizontal="center"/>
    </xf>
    <xf numFmtId="9" fontId="0" fillId="0" borderId="30" xfId="0" applyNumberFormat="1" applyFont="1" applyBorder="1" applyAlignment="1">
      <alignment horizontal="center"/>
    </xf>
    <xf numFmtId="9" fontId="0" fillId="0" borderId="43" xfId="0" applyNumberFormat="1" applyFont="1" applyBorder="1" applyAlignment="1">
      <alignment horizontal="center"/>
    </xf>
    <xf numFmtId="0" fontId="57" fillId="0" borderId="44" xfId="0" applyFont="1" applyBorder="1" applyAlignment="1">
      <alignment horizontal="center" vertical="center" textRotation="90"/>
    </xf>
    <xf numFmtId="0" fontId="57" fillId="0" borderId="45" xfId="0" applyFont="1" applyBorder="1" applyAlignment="1">
      <alignment horizontal="center" vertical="center" textRotation="90"/>
    </xf>
    <xf numFmtId="0" fontId="57" fillId="0" borderId="47" xfId="0" applyFont="1" applyBorder="1" applyAlignment="1">
      <alignment horizontal="center" vertical="center" textRotation="90"/>
    </xf>
    <xf numFmtId="165" fontId="0" fillId="0" borderId="0" xfId="0" quotePrefix="1" applyNumberFormat="1" applyAlignment="1">
      <alignment horizontal="center" vertical="center"/>
    </xf>
    <xf numFmtId="0" fontId="0" fillId="0" borderId="0" xfId="0" applyAlignment="1">
      <alignment horizontal="center" vertical="center"/>
    </xf>
    <xf numFmtId="9" fontId="0" fillId="0" borderId="30" xfId="44" applyFont="1" applyBorder="1" applyAlignment="1">
      <alignment horizontal="center"/>
    </xf>
    <xf numFmtId="0" fontId="0" fillId="0" borderId="30" xfId="0" applyFont="1" applyBorder="1" applyAlignment="1">
      <alignment horizontal="center"/>
    </xf>
    <xf numFmtId="3" fontId="16" fillId="0" borderId="0" xfId="44" applyNumberFormat="1" applyFont="1" applyAlignment="1">
      <alignment horizontal="center"/>
    </xf>
    <xf numFmtId="3" fontId="16" fillId="0" borderId="0" xfId="0" applyNumberFormat="1" applyFont="1" applyAlignment="1">
      <alignment horizontal="center"/>
    </xf>
    <xf numFmtId="3" fontId="0" fillId="0" borderId="0" xfId="44" applyNumberFormat="1" applyFont="1" applyAlignment="1">
      <alignment horizontal="center"/>
    </xf>
    <xf numFmtId="3" fontId="0" fillId="0" borderId="0" xfId="0" applyNumberFormat="1" applyFont="1" applyAlignment="1">
      <alignment horizontal="center"/>
    </xf>
    <xf numFmtId="3" fontId="16" fillId="0" borderId="35" xfId="0" applyNumberFormat="1" applyFont="1" applyBorder="1" applyAlignment="1">
      <alignment horizontal="center"/>
    </xf>
    <xf numFmtId="0" fontId="0" fillId="0" borderId="35" xfId="0" applyFont="1" applyBorder="1" applyAlignment="1">
      <alignment horizontal="center"/>
    </xf>
    <xf numFmtId="0" fontId="0" fillId="0" borderId="0" xfId="0" applyFont="1" applyAlignment="1">
      <alignment horizontal="center"/>
    </xf>
    <xf numFmtId="0" fontId="0" fillId="0" borderId="0" xfId="0" quotePrefix="1" applyAlignment="1">
      <alignment horizontal="center" vertical="center"/>
    </xf>
    <xf numFmtId="3" fontId="0" fillId="0" borderId="42" xfId="0" applyNumberFormat="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3" fontId="0" fillId="0" borderId="40" xfId="0" quotePrefix="1" applyNumberFormat="1" applyBorder="1" applyAlignment="1">
      <alignment horizontal="center" vertical="center"/>
    </xf>
    <xf numFmtId="0" fontId="59" fillId="0" borderId="39" xfId="0" applyFont="1" applyBorder="1" applyAlignment="1">
      <alignment vertical="center"/>
    </xf>
    <xf numFmtId="0" fontId="59" fillId="0" borderId="41" xfId="0" applyFont="1" applyBorder="1" applyAlignment="1">
      <alignment vertical="center"/>
    </xf>
    <xf numFmtId="0" fontId="59" fillId="0" borderId="46" xfId="0" applyFont="1" applyBorder="1" applyAlignment="1">
      <alignment vertical="center"/>
    </xf>
    <xf numFmtId="0" fontId="16" fillId="0" borderId="35" xfId="0" applyFont="1" applyBorder="1" applyAlignment="1">
      <alignment horizontal="center"/>
    </xf>
    <xf numFmtId="3" fontId="16" fillId="0" borderId="35" xfId="44" applyNumberFormat="1" applyFont="1" applyBorder="1" applyAlignment="1">
      <alignment horizontal="center"/>
    </xf>
    <xf numFmtId="0" fontId="16" fillId="0" borderId="44" xfId="0" applyFont="1" applyBorder="1" applyAlignment="1">
      <alignment horizontal="center" vertical="center" textRotation="90"/>
    </xf>
    <xf numFmtId="0" fontId="16" fillId="0" borderId="45" xfId="0" applyFont="1" applyBorder="1" applyAlignment="1">
      <alignment horizontal="center" vertical="center" textRotation="90"/>
    </xf>
    <xf numFmtId="0" fontId="16" fillId="0" borderId="47" xfId="0" applyFont="1" applyBorder="1" applyAlignment="1">
      <alignment horizontal="center" vertical="center" textRotation="90"/>
    </xf>
    <xf numFmtId="0" fontId="16" fillId="0" borderId="44" xfId="0" applyFont="1" applyBorder="1" applyAlignment="1">
      <alignment horizontal="center" vertical="center" textRotation="90" wrapText="1"/>
    </xf>
    <xf numFmtId="0" fontId="16" fillId="0" borderId="45" xfId="0" applyFont="1" applyBorder="1" applyAlignment="1">
      <alignment horizontal="center" vertical="center" textRotation="90" wrapText="1"/>
    </xf>
    <xf numFmtId="0" fontId="16" fillId="0" borderId="47" xfId="0" applyFont="1" applyBorder="1" applyAlignment="1">
      <alignment horizontal="center" vertical="center" textRotation="90" wrapText="1"/>
    </xf>
    <xf numFmtId="0" fontId="0" fillId="0" borderId="41" xfId="0" applyBorder="1" applyAlignment="1">
      <alignment horizontal="left"/>
    </xf>
    <xf numFmtId="0" fontId="0" fillId="0" borderId="0" xfId="0" applyAlignment="1">
      <alignment horizontal="left"/>
    </xf>
    <xf numFmtId="0" fontId="0" fillId="0" borderId="39" xfId="0" applyBorder="1" applyAlignment="1">
      <alignment horizontal="left"/>
    </xf>
    <xf numFmtId="0" fontId="0" fillId="0" borderId="35" xfId="0" applyBorder="1" applyAlignment="1">
      <alignment horizontal="left"/>
    </xf>
    <xf numFmtId="0" fontId="0" fillId="0" borderId="46" xfId="0" applyBorder="1" applyAlignment="1">
      <alignment horizontal="left"/>
    </xf>
    <xf numFmtId="0" fontId="0" fillId="0" borderId="30" xfId="0" applyBorder="1" applyAlignment="1">
      <alignment horizontal="left"/>
    </xf>
    <xf numFmtId="0" fontId="16" fillId="58" borderId="39" xfId="0" applyFont="1" applyFill="1" applyBorder="1" applyAlignment="1">
      <alignment horizontal="center" vertical="center"/>
    </xf>
    <xf numFmtId="0" fontId="0" fillId="58" borderId="40" xfId="0" applyFill="1" applyBorder="1" applyAlignment="1">
      <alignment horizontal="center" vertical="center"/>
    </xf>
    <xf numFmtId="0" fontId="0" fillId="58" borderId="46" xfId="0" applyFill="1" applyBorder="1" applyAlignment="1">
      <alignment horizontal="center" vertical="center"/>
    </xf>
    <xf numFmtId="0" fontId="0" fillId="58" borderId="43" xfId="0" applyFill="1" applyBorder="1" applyAlignment="1">
      <alignment horizontal="center" vertical="center"/>
    </xf>
    <xf numFmtId="0" fontId="0" fillId="39" borderId="62" xfId="0" applyFill="1" applyBorder="1" applyAlignment="1">
      <alignment horizontal="left" vertical="center"/>
    </xf>
    <xf numFmtId="0" fontId="0" fillId="39" borderId="24" xfId="0" applyFill="1" applyBorder="1" applyAlignment="1">
      <alignment horizontal="left" vertical="center"/>
    </xf>
    <xf numFmtId="0" fontId="0" fillId="34" borderId="0" xfId="0" applyFill="1" applyAlignment="1">
      <alignment horizontal="left"/>
    </xf>
    <xf numFmtId="0" fontId="0" fillId="34" borderId="56" xfId="0" applyFill="1" applyBorder="1" applyAlignment="1">
      <alignment horizontal="center"/>
    </xf>
    <xf numFmtId="0" fontId="0" fillId="34" borderId="13" xfId="0" applyFill="1" applyBorder="1" applyAlignment="1">
      <alignment horizontal="center"/>
    </xf>
    <xf numFmtId="0" fontId="0" fillId="34" borderId="57" xfId="0" applyFill="1" applyBorder="1" applyAlignment="1">
      <alignment horizontal="center"/>
    </xf>
    <xf numFmtId="3" fontId="16" fillId="34" borderId="13" xfId="0" applyNumberFormat="1" applyFont="1" applyFill="1" applyBorder="1" applyAlignment="1">
      <alignment horizontal="center"/>
    </xf>
    <xf numFmtId="0" fontId="0" fillId="34" borderId="59" xfId="0" applyFill="1" applyBorder="1" applyAlignment="1">
      <alignment horizontal="center"/>
    </xf>
    <xf numFmtId="0" fontId="0" fillId="34" borderId="60" xfId="0" applyFill="1" applyBorder="1" applyAlignment="1">
      <alignment horizontal="center"/>
    </xf>
    <xf numFmtId="3" fontId="16" fillId="34" borderId="57" xfId="0" applyNumberFormat="1" applyFont="1" applyFill="1" applyBorder="1" applyAlignment="1">
      <alignment horizontal="center"/>
    </xf>
    <xf numFmtId="0" fontId="0" fillId="34" borderId="14" xfId="0" applyFill="1" applyBorder="1" applyAlignment="1">
      <alignment horizontal="center"/>
    </xf>
    <xf numFmtId="0" fontId="0" fillId="34" borderId="31" xfId="0" applyFill="1" applyBorder="1" applyAlignment="1">
      <alignment horizontal="center"/>
    </xf>
    <xf numFmtId="0" fontId="0" fillId="0" borderId="0" xfId="0" applyAlignment="1">
      <alignment horizontal="left" vertical="top" wrapText="1"/>
    </xf>
    <xf numFmtId="0" fontId="16" fillId="0" borderId="13" xfId="0" applyFont="1" applyBorder="1" applyAlignment="1">
      <alignment horizontal="center"/>
    </xf>
    <xf numFmtId="0" fontId="16" fillId="0" borderId="14" xfId="0" applyFont="1" applyBorder="1" applyAlignment="1">
      <alignment horizontal="center" vertical="center"/>
    </xf>
    <xf numFmtId="0" fontId="16" fillId="0" borderId="31" xfId="0" applyFont="1" applyBorder="1" applyAlignment="1">
      <alignment horizontal="center" vertical="center"/>
    </xf>
    <xf numFmtId="0" fontId="16" fillId="0" borderId="0" xfId="0" applyFont="1" applyAlignment="1">
      <alignment horizontal="left" wrapText="1"/>
    </xf>
    <xf numFmtId="0" fontId="16" fillId="0" borderId="16" xfId="0" applyFont="1" applyBorder="1" applyAlignment="1">
      <alignment horizontal="left" wrapText="1"/>
    </xf>
    <xf numFmtId="3" fontId="0" fillId="34" borderId="33" xfId="0" applyNumberFormat="1" applyFill="1" applyBorder="1" applyAlignment="1">
      <alignment horizontal="center"/>
    </xf>
    <xf numFmtId="0" fontId="0" fillId="0" borderId="0" xfId="0" applyAlignment="1">
      <alignment horizontal="center" vertical="center" wrapText="1"/>
    </xf>
    <xf numFmtId="0" fontId="16" fillId="35" borderId="0" xfId="0" applyFont="1" applyFill="1" applyAlignment="1">
      <alignment horizontal="center" vertical="center" wrapText="1"/>
    </xf>
    <xf numFmtId="0" fontId="16" fillId="35" borderId="22" xfId="0" applyFont="1" applyFill="1" applyBorder="1" applyAlignment="1">
      <alignment horizontal="center" vertical="center" wrapText="1"/>
    </xf>
    <xf numFmtId="0" fontId="16" fillId="35" borderId="19" xfId="0" applyFont="1" applyFill="1" applyBorder="1" applyAlignment="1">
      <alignment horizontal="center" vertical="center" wrapText="1"/>
    </xf>
    <xf numFmtId="0" fontId="16" fillId="35" borderId="18" xfId="0" applyFont="1" applyFill="1" applyBorder="1" applyAlignment="1">
      <alignment horizontal="center" vertical="center" wrapText="1"/>
    </xf>
    <xf numFmtId="0" fontId="1" fillId="0" borderId="23" xfId="0" applyFont="1" applyBorder="1" applyAlignment="1">
      <alignment vertical="center" wrapText="1"/>
    </xf>
    <xf numFmtId="0" fontId="1" fillId="0" borderId="21" xfId="0" applyFont="1" applyBorder="1" applyAlignment="1">
      <alignment vertical="center" wrapText="1"/>
    </xf>
    <xf numFmtId="0" fontId="1" fillId="0" borderId="20" xfId="0" applyFont="1" applyBorder="1" applyAlignment="1">
      <alignment vertical="center" wrapText="1"/>
    </xf>
    <xf numFmtId="0" fontId="1" fillId="0" borderId="23"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0" xfId="0" applyFont="1" applyBorder="1" applyAlignment="1">
      <alignment horizontal="center" vertical="center" wrapText="1"/>
    </xf>
    <xf numFmtId="0" fontId="16" fillId="35" borderId="12" xfId="0" applyFont="1" applyFill="1" applyBorder="1" applyAlignment="1">
      <alignment horizontal="center" vertical="center" wrapText="1"/>
    </xf>
    <xf numFmtId="0" fontId="16" fillId="35" borderId="13" xfId="0" applyFont="1" applyFill="1" applyBorder="1" applyAlignment="1">
      <alignment horizontal="center" vertical="center" wrapText="1"/>
    </xf>
    <xf numFmtId="0" fontId="16" fillId="35" borderId="14" xfId="0" applyFont="1" applyFill="1" applyBorder="1" applyAlignment="1">
      <alignment horizontal="center" vertical="center" wrapText="1"/>
    </xf>
    <xf numFmtId="0" fontId="16" fillId="35" borderId="15" xfId="0" applyFont="1" applyFill="1" applyBorder="1" applyAlignment="1">
      <alignment horizontal="center" vertical="center" wrapText="1"/>
    </xf>
    <xf numFmtId="0" fontId="16" fillId="35" borderId="16" xfId="0" applyFont="1" applyFill="1" applyBorder="1" applyAlignment="1">
      <alignment horizontal="center" vertical="center" wrapText="1"/>
    </xf>
    <xf numFmtId="0" fontId="16" fillId="35" borderId="17" xfId="0" applyFont="1" applyFill="1" applyBorder="1" applyAlignment="1">
      <alignment horizontal="center" vertical="center" wrapText="1"/>
    </xf>
    <xf numFmtId="0" fontId="45" fillId="48" borderId="50" xfId="0" applyFont="1" applyFill="1" applyBorder="1" applyAlignment="1">
      <alignment horizontal="left" vertical="top" wrapText="1" indent="2"/>
    </xf>
    <xf numFmtId="0" fontId="45" fillId="48" borderId="49" xfId="0" applyFont="1" applyFill="1" applyBorder="1" applyAlignment="1">
      <alignment horizontal="center" vertical="top" wrapText="1"/>
    </xf>
    <xf numFmtId="0" fontId="45" fillId="48" borderId="51" xfId="0" applyFont="1" applyFill="1" applyBorder="1" applyAlignment="1">
      <alignment horizontal="center" vertical="top" wrapText="1"/>
    </xf>
    <xf numFmtId="0" fontId="45" fillId="48" borderId="49" xfId="0" applyFont="1" applyFill="1" applyBorder="1" applyAlignment="1">
      <alignment horizontal="left" vertical="top" wrapText="1" indent="2"/>
    </xf>
    <xf numFmtId="0" fontId="45" fillId="48" borderId="51" xfId="0" applyFont="1" applyFill="1" applyBorder="1" applyAlignment="1">
      <alignment horizontal="left" vertical="top" wrapText="1" indent="2"/>
    </xf>
    <xf numFmtId="0" fontId="45" fillId="48" borderId="49" xfId="0" applyFont="1" applyFill="1" applyBorder="1" applyAlignment="1">
      <alignment horizontal="left" vertical="top" wrapText="1" indent="1"/>
    </xf>
    <xf numFmtId="0" fontId="45" fillId="48" borderId="51" xfId="0" applyFont="1" applyFill="1" applyBorder="1" applyAlignment="1">
      <alignment horizontal="left" vertical="top" wrapText="1" indent="1"/>
    </xf>
    <xf numFmtId="0" fontId="65" fillId="56" borderId="63" xfId="0" applyFont="1" applyFill="1" applyBorder="1" applyAlignment="1">
      <alignment vertical="center" wrapText="1"/>
    </xf>
    <xf numFmtId="0" fontId="65" fillId="56" borderId="67" xfId="0" applyFont="1" applyFill="1" applyBorder="1" applyAlignment="1">
      <alignment vertical="center" wrapText="1"/>
    </xf>
    <xf numFmtId="0" fontId="65" fillId="56" borderId="72" xfId="0" applyFont="1" applyFill="1" applyBorder="1" applyAlignment="1">
      <alignment vertical="center" wrapText="1"/>
    </xf>
    <xf numFmtId="0" fontId="65" fillId="56" borderId="63" xfId="0" applyFont="1" applyFill="1" applyBorder="1" applyAlignment="1">
      <alignment horizontal="right" vertical="center" wrapText="1"/>
    </xf>
    <xf numFmtId="0" fontId="65" fillId="56" borderId="67" xfId="0" applyFont="1" applyFill="1" applyBorder="1" applyAlignment="1">
      <alignment horizontal="right" vertical="center" wrapText="1"/>
    </xf>
    <xf numFmtId="0" fontId="65" fillId="56" borderId="69" xfId="0" applyFont="1" applyFill="1" applyBorder="1" applyAlignment="1">
      <alignment horizontal="right" vertical="center" wrapText="1"/>
    </xf>
    <xf numFmtId="0" fontId="65" fillId="56" borderId="72" xfId="0" applyFont="1" applyFill="1" applyBorder="1" applyAlignment="1">
      <alignment horizontal="right" vertical="center" wrapText="1"/>
    </xf>
    <xf numFmtId="0" fontId="65" fillId="56" borderId="65" xfId="0" applyFont="1" applyFill="1" applyBorder="1" applyAlignment="1">
      <alignment vertical="center" wrapText="1"/>
    </xf>
    <xf numFmtId="0" fontId="65" fillId="56" borderId="69" xfId="0" applyFont="1" applyFill="1" applyBorder="1" applyAlignment="1">
      <alignment vertical="center" wrapText="1"/>
    </xf>
    <xf numFmtId="0" fontId="65" fillId="56" borderId="66" xfId="0" applyFont="1" applyFill="1" applyBorder="1" applyAlignment="1">
      <alignment vertical="center" wrapText="1"/>
    </xf>
    <xf numFmtId="0" fontId="65" fillId="56" borderId="0" xfId="0" applyFont="1" applyFill="1" applyAlignment="1">
      <alignment vertical="center" wrapText="1"/>
    </xf>
    <xf numFmtId="0" fontId="65" fillId="0" borderId="10" xfId="0" applyFont="1" applyBorder="1" applyAlignment="1">
      <alignment horizontal="center" vertical="center" wrapText="1"/>
    </xf>
    <xf numFmtId="0" fontId="0" fillId="0" borderId="10" xfId="0" applyBorder="1" applyAlignment="1">
      <alignment horizontal="center" vertical="center" wrapText="1"/>
    </xf>
    <xf numFmtId="0" fontId="65" fillId="56" borderId="64" xfId="0" applyFont="1" applyFill="1" applyBorder="1" applyAlignment="1">
      <alignment vertical="center" wrapText="1"/>
    </xf>
    <xf numFmtId="0" fontId="65" fillId="56" borderId="68" xfId="0" applyFont="1" applyFill="1" applyBorder="1" applyAlignment="1">
      <alignment vertical="center" wrapText="1"/>
    </xf>
    <xf numFmtId="0" fontId="65" fillId="56" borderId="66" xfId="0" applyFont="1" applyFill="1" applyBorder="1" applyAlignment="1">
      <alignment horizontal="center" vertical="center" wrapText="1"/>
    </xf>
    <xf numFmtId="0" fontId="65" fillId="56" borderId="0" xfId="0" applyFont="1" applyFill="1" applyAlignment="1">
      <alignment horizontal="center" vertical="center" wrapText="1"/>
    </xf>
    <xf numFmtId="0" fontId="65" fillId="56" borderId="66" xfId="0" applyFont="1" applyFill="1" applyBorder="1" applyAlignment="1">
      <alignment horizontal="right" vertical="center" wrapText="1"/>
    </xf>
    <xf numFmtId="0" fontId="65" fillId="56" borderId="0" xfId="0" applyFont="1" applyFill="1" applyAlignment="1">
      <alignment horizontal="right" vertical="center" wrapText="1"/>
    </xf>
    <xf numFmtId="0" fontId="65" fillId="56" borderId="65" xfId="0" applyFont="1" applyFill="1" applyBorder="1" applyAlignment="1">
      <alignment horizontal="center" vertical="center" wrapText="1"/>
    </xf>
    <xf numFmtId="0" fontId="65" fillId="56" borderId="64" xfId="0" applyFont="1" applyFill="1" applyBorder="1" applyAlignment="1">
      <alignment horizontal="center" vertical="center" wrapText="1"/>
    </xf>
    <xf numFmtId="0" fontId="65" fillId="56" borderId="70" xfId="0" applyFont="1" applyFill="1" applyBorder="1" applyAlignment="1">
      <alignment horizontal="center" vertical="center" wrapText="1"/>
    </xf>
    <xf numFmtId="0" fontId="65" fillId="56" borderId="71" xfId="0" applyFont="1" applyFill="1" applyBorder="1" applyAlignment="1">
      <alignment horizontal="center" vertical="center" wrapText="1"/>
    </xf>
    <xf numFmtId="0" fontId="65" fillId="0" borderId="64" xfId="0" applyFont="1" applyBorder="1" applyAlignment="1">
      <alignment horizontal="right" vertical="center" wrapText="1"/>
    </xf>
    <xf numFmtId="0" fontId="65" fillId="0" borderId="71" xfId="0" applyFont="1" applyBorder="1" applyAlignment="1">
      <alignment horizontal="right" vertical="center" wrapText="1"/>
    </xf>
    <xf numFmtId="0" fontId="65" fillId="0" borderId="65" xfId="0" applyFont="1" applyBorder="1" applyAlignment="1">
      <alignment horizontal="right" vertical="center" wrapText="1"/>
    </xf>
    <xf numFmtId="0" fontId="65" fillId="0" borderId="66" xfId="0" applyFont="1" applyBorder="1" applyAlignment="1">
      <alignment horizontal="right" vertical="center" wrapText="1"/>
    </xf>
    <xf numFmtId="0" fontId="65" fillId="0" borderId="70" xfId="0" applyFont="1" applyBorder="1" applyAlignment="1">
      <alignment horizontal="right" vertical="center" wrapText="1"/>
    </xf>
    <xf numFmtId="0" fontId="0" fillId="0" borderId="23" xfId="0" applyBorder="1" applyAlignment="1">
      <alignment horizontal="center" vertical="center" wrapText="1"/>
    </xf>
    <xf numFmtId="0" fontId="0" fillId="0" borderId="21" xfId="0" applyBorder="1" applyAlignment="1">
      <alignment horizontal="center" vertical="center" wrapText="1"/>
    </xf>
    <xf numFmtId="0" fontId="0" fillId="34" borderId="23" xfId="0" applyFill="1" applyBorder="1" applyAlignment="1">
      <alignment horizontal="center" vertical="center" wrapText="1"/>
    </xf>
    <xf numFmtId="0" fontId="0" fillId="34" borderId="21" xfId="0" applyFill="1" applyBorder="1" applyAlignment="1">
      <alignment horizontal="center" vertical="center" wrapText="1"/>
    </xf>
    <xf numFmtId="0" fontId="0" fillId="34" borderId="20" xfId="0" applyFill="1" applyBorder="1" applyAlignment="1">
      <alignment horizontal="center" vertical="center" wrapText="1"/>
    </xf>
    <xf numFmtId="0" fontId="24" fillId="36" borderId="23" xfId="0" applyFont="1" applyFill="1" applyBorder="1" applyAlignment="1">
      <alignment vertical="center" wrapText="1"/>
    </xf>
    <xf numFmtId="0" fontId="24" fillId="36" borderId="21" xfId="0" applyFont="1" applyFill="1" applyBorder="1" applyAlignment="1">
      <alignment vertical="center" wrapText="1"/>
    </xf>
    <xf numFmtId="0" fontId="24" fillId="36" borderId="20" xfId="0" applyFont="1" applyFill="1" applyBorder="1" applyAlignment="1">
      <alignment vertical="center" wrapText="1"/>
    </xf>
    <xf numFmtId="0" fontId="22" fillId="33" borderId="10" xfId="0" applyFont="1" applyFill="1" applyBorder="1" applyAlignment="1">
      <alignment vertical="center" wrapText="1"/>
    </xf>
    <xf numFmtId="0" fontId="20" fillId="33" borderId="10" xfId="0" applyFont="1" applyFill="1" applyBorder="1" applyAlignment="1">
      <alignment vertical="center"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3" xfId="45" xr:uid="{00000000-0005-0000-0000-000027000000}"/>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EBFFFE"/>
      <color rgb="FFC9FFFC"/>
      <color rgb="FF85FFF9"/>
      <color rgb="FF00FAEE"/>
      <color rgb="FF00C0B7"/>
      <color rgb="FF008D85"/>
      <color rgb="FF005854"/>
      <color rgb="FFCDFFFD"/>
      <color rgb="FF66FFFF"/>
      <color rgb="FF334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66093874586295"/>
          <c:y val="5.325819231772503E-2"/>
          <c:w val="0.82630735692839763"/>
          <c:h val="0.84808332182265445"/>
        </c:manualLayout>
      </c:layout>
      <c:barChart>
        <c:barDir val="col"/>
        <c:grouping val="clustered"/>
        <c:varyColors val="0"/>
        <c:ser>
          <c:idx val="0"/>
          <c:order val="0"/>
          <c:spPr>
            <a:solidFill>
              <a:srgbClr val="005854"/>
            </a:solidFill>
            <a:ln>
              <a:solidFill>
                <a:schemeClr val="tx1"/>
              </a:solidFill>
            </a:ln>
            <a:effectLst/>
          </c:spPr>
          <c:invertIfNegative val="0"/>
          <c:cat>
            <c:numRef>
              <c:f>run!$B$5:$B$44</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run!$D$5:$D$44</c:f>
              <c:numCache>
                <c:formatCode>#,##0</c:formatCode>
                <c:ptCount val="40"/>
                <c:pt idx="0">
                  <c:v>19893.813018919085</c:v>
                </c:pt>
                <c:pt idx="1">
                  <c:v>17279.561949125233</c:v>
                </c:pt>
                <c:pt idx="2">
                  <c:v>17024.513064267292</c:v>
                </c:pt>
                <c:pt idx="3">
                  <c:v>15111.646427832768</c:v>
                </c:pt>
                <c:pt idx="4">
                  <c:v>18299.757488556977</c:v>
                </c:pt>
                <c:pt idx="5">
                  <c:v>19319.953027988729</c:v>
                </c:pt>
                <c:pt idx="6">
                  <c:v>20021.337461348056</c:v>
                </c:pt>
                <c:pt idx="7">
                  <c:v>24420.930725147464</c:v>
                </c:pt>
                <c:pt idx="8">
                  <c:v>23400.735185715723</c:v>
                </c:pt>
                <c:pt idx="9">
                  <c:v>21105.295221994285</c:v>
                </c:pt>
                <c:pt idx="10">
                  <c:v>17917.184161270074</c:v>
                </c:pt>
                <c:pt idx="11">
                  <c:v>14091.450888401021</c:v>
                </c:pt>
                <c:pt idx="12">
                  <c:v>12242.346473180974</c:v>
                </c:pt>
                <c:pt idx="13">
                  <c:v>15047.884206618282</c:v>
                </c:pt>
                <c:pt idx="14">
                  <c:v>12433.63313682443</c:v>
                </c:pt>
                <c:pt idx="15">
                  <c:v>12455</c:v>
                </c:pt>
                <c:pt idx="16">
                  <c:v>12080</c:v>
                </c:pt>
                <c:pt idx="17">
                  <c:v>17709</c:v>
                </c:pt>
                <c:pt idx="18">
                  <c:v>15536</c:v>
                </c:pt>
                <c:pt idx="19">
                  <c:v>21867</c:v>
                </c:pt>
                <c:pt idx="20">
                  <c:v>22595</c:v>
                </c:pt>
                <c:pt idx="21">
                  <c:v>52960</c:v>
                </c:pt>
                <c:pt idx="22">
                  <c:v>89524</c:v>
                </c:pt>
                <c:pt idx="23">
                  <c:v>83058</c:v>
                </c:pt>
                <c:pt idx="24">
                  <c:v>65623</c:v>
                </c:pt>
                <c:pt idx="25">
                  <c:v>60272</c:v>
                </c:pt>
                <c:pt idx="26">
                  <c:v>77573</c:v>
                </c:pt>
                <c:pt idx="27">
                  <c:v>37035</c:v>
                </c:pt>
                <c:pt idx="28">
                  <c:v>55532</c:v>
                </c:pt>
                <c:pt idx="29">
                  <c:v>53881</c:v>
                </c:pt>
                <c:pt idx="30">
                  <c:v>72346</c:v>
                </c:pt>
                <c:pt idx="31">
                  <c:v>80574</c:v>
                </c:pt>
                <c:pt idx="32">
                  <c:v>58300</c:v>
                </c:pt>
                <c:pt idx="33">
                  <c:v>67603</c:v>
                </c:pt>
                <c:pt idx="34">
                  <c:v>78254</c:v>
                </c:pt>
                <c:pt idx="35">
                  <c:v>126777</c:v>
                </c:pt>
                <c:pt idx="36">
                  <c:v>91048</c:v>
                </c:pt>
                <c:pt idx="37">
                  <c:v>68204</c:v>
                </c:pt>
                <c:pt idx="38" formatCode="General">
                  <c:v>42120</c:v>
                </c:pt>
                <c:pt idx="39">
                  <c:v>34619</c:v>
                </c:pt>
              </c:numCache>
            </c:numRef>
          </c:val>
          <c:extLst>
            <c:ext xmlns:c16="http://schemas.microsoft.com/office/drawing/2014/chart" uri="{C3380CC4-5D6E-409C-BE32-E72D297353CC}">
              <c16:uniqueId val="{00000000-3F66-477B-BE6C-599B0D00A6C0}"/>
            </c:ext>
          </c:extLst>
        </c:ser>
        <c:dLbls>
          <c:showLegendKey val="0"/>
          <c:showVal val="0"/>
          <c:showCatName val="0"/>
          <c:showSerName val="0"/>
          <c:showPercent val="0"/>
          <c:showBubbleSize val="0"/>
        </c:dLbls>
        <c:gapWidth val="0"/>
        <c:overlap val="-100"/>
        <c:axId val="480159232"/>
        <c:axId val="480160408"/>
      </c:barChart>
      <c:catAx>
        <c:axId val="480159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480160408"/>
        <c:crosses val="autoZero"/>
        <c:auto val="1"/>
        <c:lblAlgn val="ctr"/>
        <c:lblOffset val="100"/>
        <c:tickLblSkip val="4"/>
        <c:tickMarkSkip val="4"/>
        <c:noMultiLvlLbl val="0"/>
      </c:catAx>
      <c:valAx>
        <c:axId val="480160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sz="1600" b="1"/>
                  <a:t>Col R Mouth Run </a:t>
                </a:r>
              </a:p>
              <a:p>
                <a:pPr>
                  <a:defRPr sz="1600" b="1"/>
                </a:pPr>
                <a:r>
                  <a:rPr lang="en-US" sz="1600" b="1"/>
                  <a:t>(Natural</a:t>
                </a:r>
                <a:r>
                  <a:rPr lang="en-US" sz="1600" b="1" baseline="0"/>
                  <a:t> &amp; Hatchery)</a:t>
                </a:r>
                <a:endParaRPr lang="en-US" sz="1600" b="1"/>
              </a:p>
            </c:rich>
          </c:tx>
          <c:layout>
            <c:manualLayout>
              <c:xMode val="edge"/>
              <c:yMode val="edge"/>
              <c:x val="8.272683545352242E-3"/>
              <c:y val="0.11283476076861386"/>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480159232"/>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Fishery Distribution</a:t>
            </a:r>
            <a:r>
              <a:rPr lang="en-US" b="1" baseline="0">
                <a:solidFill>
                  <a:schemeClr val="tx1"/>
                </a:solidFill>
              </a:rPr>
              <a:t> </a:t>
            </a:r>
          </a:p>
          <a:p>
            <a:pPr>
              <a:defRPr b="1">
                <a:solidFill>
                  <a:schemeClr val="tx1"/>
                </a:solidFill>
              </a:defRPr>
            </a:pPr>
            <a:r>
              <a:rPr lang="en-US" b="1" baseline="0">
                <a:solidFill>
                  <a:schemeClr val="tx1"/>
                </a:solidFill>
              </a:rPr>
              <a:t>(Exploitation Rate v Ocean abundance)</a:t>
            </a:r>
            <a:endParaRPr lang="en-US" b="1">
              <a:solidFill>
                <a:schemeClr val="tx1"/>
              </a:solidFill>
            </a:endParaRPr>
          </a:p>
        </c:rich>
      </c:tx>
      <c:layout>
        <c:manualLayout>
          <c:xMode val="edge"/>
          <c:yMode val="edge"/>
          <c:x val="0.20122067763375909"/>
          <c:y val="1.90419643106350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311849354048182"/>
          <c:y val="0.21571107451874202"/>
          <c:w val="0.54617650531743978"/>
          <c:h val="0.70825279944174324"/>
        </c:manualLayout>
      </c:layout>
      <c:pieChart>
        <c:varyColors val="1"/>
        <c:ser>
          <c:idx val="0"/>
          <c:order val="0"/>
          <c:spPr>
            <a:ln w="3175">
              <a:solidFill>
                <a:schemeClr val="bg1"/>
              </a:solidFill>
            </a:ln>
          </c:spPr>
          <c:dPt>
            <c:idx val="0"/>
            <c:bubble3D val="0"/>
            <c:spPr>
              <a:solidFill>
                <a:srgbClr val="334F44"/>
              </a:solidFill>
              <a:ln w="3175">
                <a:solidFill>
                  <a:schemeClr val="bg1"/>
                </a:solidFill>
              </a:ln>
              <a:effectLst/>
            </c:spPr>
            <c:extLst>
              <c:ext xmlns:c16="http://schemas.microsoft.com/office/drawing/2014/chart" uri="{C3380CC4-5D6E-409C-BE32-E72D297353CC}">
                <c16:uniqueId val="{00000001-9F06-483B-BAA2-F5253F97EE31}"/>
              </c:ext>
            </c:extLst>
          </c:dPt>
          <c:dPt>
            <c:idx val="1"/>
            <c:bubble3D val="0"/>
            <c:spPr>
              <a:solidFill>
                <a:srgbClr val="005854"/>
              </a:solidFill>
              <a:ln w="3175">
                <a:solidFill>
                  <a:schemeClr val="bg1"/>
                </a:solidFill>
              </a:ln>
              <a:effectLst/>
            </c:spPr>
            <c:extLst>
              <c:ext xmlns:c16="http://schemas.microsoft.com/office/drawing/2014/chart" uri="{C3380CC4-5D6E-409C-BE32-E72D297353CC}">
                <c16:uniqueId val="{00000003-9F06-483B-BAA2-F5253F97EE31}"/>
              </c:ext>
            </c:extLst>
          </c:dPt>
          <c:dPt>
            <c:idx val="2"/>
            <c:bubble3D val="0"/>
            <c:spPr>
              <a:solidFill>
                <a:srgbClr val="008D85"/>
              </a:solidFill>
              <a:ln w="3175">
                <a:solidFill>
                  <a:schemeClr val="bg1"/>
                </a:solidFill>
              </a:ln>
              <a:effectLst/>
            </c:spPr>
            <c:extLst>
              <c:ext xmlns:c16="http://schemas.microsoft.com/office/drawing/2014/chart" uri="{C3380CC4-5D6E-409C-BE32-E72D297353CC}">
                <c16:uniqueId val="{00000005-9F06-483B-BAA2-F5253F97EE31}"/>
              </c:ext>
            </c:extLst>
          </c:dPt>
          <c:dPt>
            <c:idx val="3"/>
            <c:bubble3D val="0"/>
            <c:spPr>
              <a:solidFill>
                <a:srgbClr val="00C0B7"/>
              </a:solidFill>
              <a:ln w="3175">
                <a:solidFill>
                  <a:schemeClr val="bg1"/>
                </a:solidFill>
              </a:ln>
              <a:effectLst/>
            </c:spPr>
            <c:extLst>
              <c:ext xmlns:c16="http://schemas.microsoft.com/office/drawing/2014/chart" uri="{C3380CC4-5D6E-409C-BE32-E72D297353CC}">
                <c16:uniqueId val="{00000007-9F06-483B-BAA2-F5253F97EE31}"/>
              </c:ext>
            </c:extLst>
          </c:dPt>
          <c:dPt>
            <c:idx val="4"/>
            <c:bubble3D val="0"/>
            <c:spPr>
              <a:solidFill>
                <a:srgbClr val="00FAEE"/>
              </a:solidFill>
              <a:ln w="3175">
                <a:solidFill>
                  <a:schemeClr val="bg1"/>
                </a:solidFill>
              </a:ln>
              <a:effectLst/>
            </c:spPr>
            <c:extLst>
              <c:ext xmlns:c16="http://schemas.microsoft.com/office/drawing/2014/chart" uri="{C3380CC4-5D6E-409C-BE32-E72D297353CC}">
                <c16:uniqueId val="{00000009-9F06-483B-BAA2-F5253F97EE31}"/>
              </c:ext>
            </c:extLst>
          </c:dPt>
          <c:dPt>
            <c:idx val="5"/>
            <c:bubble3D val="0"/>
            <c:spPr>
              <a:solidFill>
                <a:schemeClr val="accent6"/>
              </a:solidFill>
              <a:ln w="3175">
                <a:solidFill>
                  <a:schemeClr val="bg1"/>
                </a:solidFill>
              </a:ln>
              <a:effectLst/>
            </c:spPr>
            <c:extLst>
              <c:ext xmlns:c16="http://schemas.microsoft.com/office/drawing/2014/chart" uri="{C3380CC4-5D6E-409C-BE32-E72D297353CC}">
                <c16:uniqueId val="{0000000B-9F06-483B-BAA2-F5253F97EE31}"/>
              </c:ext>
            </c:extLst>
          </c:dPt>
          <c:dPt>
            <c:idx val="6"/>
            <c:bubble3D val="0"/>
            <c:spPr>
              <a:solidFill>
                <a:schemeClr val="accent1">
                  <a:lumMod val="60000"/>
                </a:schemeClr>
              </a:solidFill>
              <a:ln w="3175">
                <a:solidFill>
                  <a:schemeClr val="bg1"/>
                </a:solidFill>
              </a:ln>
              <a:effectLst/>
            </c:spPr>
            <c:extLst>
              <c:ext xmlns:c16="http://schemas.microsoft.com/office/drawing/2014/chart" uri="{C3380CC4-5D6E-409C-BE32-E72D297353CC}">
                <c16:uniqueId val="{0000000D-9F06-483B-BAA2-F5253F97EE31}"/>
              </c:ext>
            </c:extLst>
          </c:dPt>
          <c:dLbls>
            <c:dLbl>
              <c:idx val="0"/>
              <c:layout>
                <c:manualLayout>
                  <c:x val="8.8369194334240002E-3"/>
                  <c:y val="0.1102731008046801"/>
                </c:manualLayout>
              </c:layout>
              <c:showLegendKey val="0"/>
              <c:showVal val="1"/>
              <c:showCatName val="1"/>
              <c:showSerName val="0"/>
              <c:showPercent val="0"/>
              <c:showBubbleSize val="0"/>
              <c:extLst>
                <c:ext xmlns:c15="http://schemas.microsoft.com/office/drawing/2012/chart" uri="{CE6537A1-D6FC-4f65-9D91-7224C49458BB}">
                  <c15:layout>
                    <c:manualLayout>
                      <c:w val="0.27512909437377947"/>
                      <c:h val="0.18697735851304917"/>
                    </c:manualLayout>
                  </c15:layout>
                </c:ext>
                <c:ext xmlns:c16="http://schemas.microsoft.com/office/drawing/2014/chart" uri="{C3380CC4-5D6E-409C-BE32-E72D297353CC}">
                  <c16:uniqueId val="{00000001-9F06-483B-BAA2-F5253F97EE31}"/>
                </c:ext>
              </c:extLst>
            </c:dLbl>
            <c:dLbl>
              <c:idx val="1"/>
              <c:layout>
                <c:manualLayout>
                  <c:x val="-1.2913643702484164E-2"/>
                  <c:y val="-7.18037710620576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06-483B-BAA2-F5253F97EE31}"/>
                </c:ext>
              </c:extLst>
            </c:dLbl>
            <c:dLbl>
              <c:idx val="2"/>
              <c:layout>
                <c:manualLayout>
                  <c:x val="-2.8775807222101131E-3"/>
                  <c:y val="-1.14397474544280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06-483B-BAA2-F5253F97EE31}"/>
                </c:ext>
              </c:extLst>
            </c:dLbl>
            <c:dLbl>
              <c:idx val="3"/>
              <c:layout>
                <c:manualLayout>
                  <c:x val="5.2416033235875341E-2"/>
                  <c:y val="-2.3895026888000624E-2"/>
                </c:manualLayout>
              </c:layout>
              <c:showLegendKey val="0"/>
              <c:showVal val="1"/>
              <c:showCatName val="1"/>
              <c:showSerName val="0"/>
              <c:showPercent val="0"/>
              <c:showBubbleSize val="0"/>
              <c:extLst>
                <c:ext xmlns:c15="http://schemas.microsoft.com/office/drawing/2012/chart" uri="{CE6537A1-D6FC-4f65-9D91-7224C49458BB}">
                  <c15:layout>
                    <c:manualLayout>
                      <c:w val="0.23754706251894267"/>
                      <c:h val="0.18697735851304917"/>
                    </c:manualLayout>
                  </c15:layout>
                </c:ext>
                <c:ext xmlns:c16="http://schemas.microsoft.com/office/drawing/2014/chart" uri="{C3380CC4-5D6E-409C-BE32-E72D297353CC}">
                  <c16:uniqueId val="{00000007-9F06-483B-BAA2-F5253F97EE31}"/>
                </c:ext>
              </c:extLst>
            </c:dLbl>
            <c:dLbl>
              <c:idx val="4"/>
              <c:layout>
                <c:manualLayout>
                  <c:x val="4.399519887843472E-2"/>
                  <c:y val="-3.1859983587171903E-2"/>
                </c:manualLayout>
              </c:layout>
              <c:showLegendKey val="0"/>
              <c:showVal val="1"/>
              <c:showCatName val="1"/>
              <c:showSerName val="0"/>
              <c:showPercent val="0"/>
              <c:showBubbleSize val="0"/>
              <c:extLst>
                <c:ext xmlns:c15="http://schemas.microsoft.com/office/drawing/2012/chart" uri="{CE6537A1-D6FC-4f65-9D91-7224C49458BB}">
                  <c15:layout>
                    <c:manualLayout>
                      <c:w val="0.27813218272546636"/>
                      <c:h val="0.12863405069161848"/>
                    </c:manualLayout>
                  </c15:layout>
                </c:ext>
                <c:ext xmlns:c16="http://schemas.microsoft.com/office/drawing/2014/chart" uri="{C3380CC4-5D6E-409C-BE32-E72D297353CC}">
                  <c16:uniqueId val="{00000009-9F06-483B-BAA2-F5253F97EE31}"/>
                </c:ext>
              </c:extLst>
            </c:dLbl>
            <c:dLbl>
              <c:idx val="5"/>
              <c:layout>
                <c:manualLayout>
                  <c:x val="-2.4292203363022569E-2"/>
                  <c:y val="9.641191400557581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06-483B-BAA2-F5253F97EE31}"/>
                </c:ext>
              </c:extLst>
            </c:dLbl>
            <c:dLbl>
              <c:idx val="6"/>
              <c:layout>
                <c:manualLayout>
                  <c:x val="-6.1123030756657891E-2"/>
                  <c:y val="0.10845821783714285"/>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5724503010112792"/>
                      <c:h val="0.21109394575432297"/>
                    </c:manualLayout>
                  </c15:layout>
                </c:ext>
                <c:ext xmlns:c16="http://schemas.microsoft.com/office/drawing/2014/chart" uri="{C3380CC4-5D6E-409C-BE32-E72D297353CC}">
                  <c16:uniqueId val="{0000000D-9F06-483B-BAA2-F5253F97EE3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Summary!$S$32:$S$36</c:f>
              <c:strCache>
                <c:ptCount val="5"/>
                <c:pt idx="0">
                  <c:v>Ocean (AK/Can)</c:v>
                </c:pt>
                <c:pt idx="1">
                  <c:v>Ocean (US)</c:v>
                </c:pt>
                <c:pt idx="2">
                  <c:v>Mainstem non treaty</c:v>
                </c:pt>
                <c:pt idx="3">
                  <c:v>Mainstem treaty</c:v>
                </c:pt>
                <c:pt idx="4">
                  <c:v>Terminal</c:v>
                </c:pt>
              </c:strCache>
            </c:strRef>
          </c:cat>
          <c:val>
            <c:numRef>
              <c:f>Summary!$T$32:$T$36</c:f>
              <c:numCache>
                <c:formatCode>0.0%</c:formatCode>
                <c:ptCount val="5"/>
                <c:pt idx="0">
                  <c:v>0.28920000000000001</c:v>
                </c:pt>
                <c:pt idx="1">
                  <c:v>6.7299999999999999E-2</c:v>
                </c:pt>
                <c:pt idx="2">
                  <c:v>5.6597550950477575E-2</c:v>
                </c:pt>
                <c:pt idx="3">
                  <c:v>0.14267197696507936</c:v>
                </c:pt>
                <c:pt idx="4">
                  <c:v>5.8534911234562843E-2</c:v>
                </c:pt>
              </c:numCache>
            </c:numRef>
          </c:val>
          <c:extLst>
            <c:ext xmlns:c16="http://schemas.microsoft.com/office/drawing/2014/chart" uri="{C3380CC4-5D6E-409C-BE32-E72D297353CC}">
              <c16:uniqueId val="{0000000E-9F06-483B-BAA2-F5253F97EE31}"/>
            </c:ext>
          </c:extLst>
        </c:ser>
        <c:dLbls>
          <c:showLegendKey val="0"/>
          <c:showVal val="1"/>
          <c:showCatName val="0"/>
          <c:showSerName val="0"/>
          <c:showPercent val="0"/>
          <c:showBubbleSize val="0"/>
          <c:showLeaderLines val="0"/>
        </c:dLbls>
        <c:firstSliceAng val="230"/>
      </c:pieChart>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chemeClr val="tx1"/>
                </a:solidFill>
              </a:rPr>
              <a:t>Current Hatchery Production (smolts)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solidFill>
              <a:srgbClr val="005854"/>
            </a:solidFill>
            <a:ln w="3175">
              <a:solidFill>
                <a:schemeClr val="bg1"/>
              </a:solidFill>
            </a:ln>
          </c:spPr>
          <c:dPt>
            <c:idx val="0"/>
            <c:bubble3D val="0"/>
            <c:spPr>
              <a:solidFill>
                <a:srgbClr val="EBFFFE"/>
              </a:solidFill>
              <a:ln w="3175">
                <a:solidFill>
                  <a:schemeClr val="bg1"/>
                </a:solidFill>
              </a:ln>
              <a:effectLst/>
            </c:spPr>
            <c:extLst>
              <c:ext xmlns:c16="http://schemas.microsoft.com/office/drawing/2014/chart" uri="{C3380CC4-5D6E-409C-BE32-E72D297353CC}">
                <c16:uniqueId val="{00000005-32AC-4306-8CDF-2C0DA3A15E7C}"/>
              </c:ext>
            </c:extLst>
          </c:dPt>
          <c:dPt>
            <c:idx val="1"/>
            <c:bubble3D val="0"/>
            <c:spPr>
              <a:solidFill>
                <a:srgbClr val="C9FFFC"/>
              </a:solidFill>
              <a:ln w="3175">
                <a:solidFill>
                  <a:schemeClr val="bg1"/>
                </a:solidFill>
              </a:ln>
              <a:effectLst/>
            </c:spPr>
            <c:extLst>
              <c:ext xmlns:c16="http://schemas.microsoft.com/office/drawing/2014/chart" uri="{C3380CC4-5D6E-409C-BE32-E72D297353CC}">
                <c16:uniqueId val="{00000004-32AC-4306-8CDF-2C0DA3A15E7C}"/>
              </c:ext>
            </c:extLst>
          </c:dPt>
          <c:dPt>
            <c:idx val="2"/>
            <c:bubble3D val="0"/>
            <c:spPr>
              <a:solidFill>
                <a:srgbClr val="85FFF9"/>
              </a:solidFill>
              <a:ln w="3175">
                <a:solidFill>
                  <a:schemeClr val="bg1"/>
                </a:solidFill>
              </a:ln>
              <a:effectLst/>
            </c:spPr>
            <c:extLst>
              <c:ext xmlns:c16="http://schemas.microsoft.com/office/drawing/2014/chart" uri="{C3380CC4-5D6E-409C-BE32-E72D297353CC}">
                <c16:uniqueId val="{00000005-5D21-4157-BF20-B4264BB621E1}"/>
              </c:ext>
            </c:extLst>
          </c:dPt>
          <c:dPt>
            <c:idx val="3"/>
            <c:bubble3D val="0"/>
            <c:spPr>
              <a:solidFill>
                <a:srgbClr val="00FAEE"/>
              </a:solidFill>
              <a:ln w="3175">
                <a:solidFill>
                  <a:schemeClr val="bg1"/>
                </a:solidFill>
              </a:ln>
              <a:effectLst/>
            </c:spPr>
            <c:extLst>
              <c:ext xmlns:c16="http://schemas.microsoft.com/office/drawing/2014/chart" uri="{C3380CC4-5D6E-409C-BE32-E72D297353CC}">
                <c16:uniqueId val="{00000007-5D21-4157-BF20-B4264BB621E1}"/>
              </c:ext>
            </c:extLst>
          </c:dPt>
          <c:dPt>
            <c:idx val="4"/>
            <c:bubble3D val="0"/>
            <c:spPr>
              <a:solidFill>
                <a:srgbClr val="00C0B7"/>
              </a:solidFill>
              <a:ln w="3175">
                <a:solidFill>
                  <a:schemeClr val="bg1"/>
                </a:solidFill>
              </a:ln>
              <a:effectLst/>
            </c:spPr>
            <c:extLst>
              <c:ext xmlns:c16="http://schemas.microsoft.com/office/drawing/2014/chart" uri="{C3380CC4-5D6E-409C-BE32-E72D297353CC}">
                <c16:uniqueId val="{00000003-32AC-4306-8CDF-2C0DA3A15E7C}"/>
              </c:ext>
            </c:extLst>
          </c:dPt>
          <c:dPt>
            <c:idx val="5"/>
            <c:bubble3D val="0"/>
            <c:spPr>
              <a:solidFill>
                <a:srgbClr val="008D85"/>
              </a:solidFill>
              <a:ln w="3175">
                <a:solidFill>
                  <a:schemeClr val="bg1"/>
                </a:solidFill>
              </a:ln>
              <a:effectLst/>
            </c:spPr>
            <c:extLst>
              <c:ext xmlns:c16="http://schemas.microsoft.com/office/drawing/2014/chart" uri="{C3380CC4-5D6E-409C-BE32-E72D297353CC}">
                <c16:uniqueId val="{00000002-32AC-4306-8CDF-2C0DA3A15E7C}"/>
              </c:ext>
            </c:extLst>
          </c:dPt>
          <c:dPt>
            <c:idx val="6"/>
            <c:bubble3D val="0"/>
            <c:spPr>
              <a:solidFill>
                <a:srgbClr val="005854"/>
              </a:solidFill>
              <a:ln w="3175">
                <a:solidFill>
                  <a:schemeClr val="bg1"/>
                </a:solidFill>
              </a:ln>
              <a:effectLst/>
            </c:spPr>
            <c:extLst>
              <c:ext xmlns:c16="http://schemas.microsoft.com/office/drawing/2014/chart" uri="{C3380CC4-5D6E-409C-BE32-E72D297353CC}">
                <c16:uniqueId val="{00000001-32AC-4306-8CDF-2C0DA3A15E7C}"/>
              </c:ext>
            </c:extLst>
          </c:dPt>
          <c:dPt>
            <c:idx val="7"/>
            <c:bubble3D val="0"/>
            <c:spPr>
              <a:solidFill>
                <a:srgbClr val="005854"/>
              </a:solidFill>
              <a:ln w="3175">
                <a:solidFill>
                  <a:schemeClr val="bg1"/>
                </a:solidFill>
              </a:ln>
              <a:effectLst/>
            </c:spPr>
            <c:extLst>
              <c:ext xmlns:c16="http://schemas.microsoft.com/office/drawing/2014/chart" uri="{C3380CC4-5D6E-409C-BE32-E72D297353CC}">
                <c16:uniqueId val="{0000000F-5D21-4157-BF20-B4264BB621E1}"/>
              </c:ext>
            </c:extLst>
          </c:dPt>
          <c:dLbls>
            <c:dLbl>
              <c:idx val="0"/>
              <c:layout>
                <c:manualLayout>
                  <c:x val="0.11294513694616799"/>
                  <c:y val="9.575280209695744E-2"/>
                </c:manualLayout>
              </c:layout>
              <c:showLegendKey val="0"/>
              <c:showVal val="1"/>
              <c:showCatName val="1"/>
              <c:showSerName val="0"/>
              <c:showPercent val="0"/>
              <c:showBubbleSize val="0"/>
              <c:extLst>
                <c:ext xmlns:c15="http://schemas.microsoft.com/office/drawing/2012/chart" uri="{CE6537A1-D6FC-4f65-9D91-7224C49458BB}">
                  <c15:layout>
                    <c:manualLayout>
                      <c:w val="0.24141752895188048"/>
                      <c:h val="0.24709177915745847"/>
                    </c:manualLayout>
                  </c15:layout>
                </c:ext>
                <c:ext xmlns:c16="http://schemas.microsoft.com/office/drawing/2014/chart" uri="{C3380CC4-5D6E-409C-BE32-E72D297353CC}">
                  <c16:uniqueId val="{00000005-32AC-4306-8CDF-2C0DA3A15E7C}"/>
                </c:ext>
              </c:extLst>
            </c:dLbl>
            <c:dLbl>
              <c:idx val="1"/>
              <c:layout>
                <c:manualLayout>
                  <c:x val="8.6515037013562158E-3"/>
                  <c:y val="-2.13996137072662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AC-4306-8CDF-2C0DA3A15E7C}"/>
                </c:ext>
              </c:extLst>
            </c:dLbl>
            <c:dLbl>
              <c:idx val="2"/>
              <c:layout>
                <c:manualLayout>
                  <c:x val="3.0164005585084516E-2"/>
                  <c:y val="-1.4248710800095132E-2"/>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0311857221618443"/>
                      <c:h val="0.18220523538182964"/>
                    </c:manualLayout>
                  </c15:layout>
                </c:ext>
                <c:ext xmlns:c16="http://schemas.microsoft.com/office/drawing/2014/chart" uri="{C3380CC4-5D6E-409C-BE32-E72D297353CC}">
                  <c16:uniqueId val="{00000005-5D21-4157-BF20-B4264BB621E1}"/>
                </c:ext>
              </c:extLst>
            </c:dLbl>
            <c:dLbl>
              <c:idx val="3"/>
              <c:layout>
                <c:manualLayout>
                  <c:x val="-1.277909133148538E-2"/>
                  <c:y val="-2.8017021513143414E-3"/>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9662219907608689"/>
                      <c:h val="9.3461663220272426E-2"/>
                    </c:manualLayout>
                  </c15:layout>
                </c:ext>
                <c:ext xmlns:c16="http://schemas.microsoft.com/office/drawing/2014/chart" uri="{C3380CC4-5D6E-409C-BE32-E72D297353CC}">
                  <c16:uniqueId val="{00000007-5D21-4157-BF20-B4264BB621E1}"/>
                </c:ext>
              </c:extLst>
            </c:dLbl>
            <c:dLbl>
              <c:idx val="4"/>
              <c:layout>
                <c:manualLayout>
                  <c:x val="-6.5838147940485772E-2"/>
                  <c:y val="-8.40917360367428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AC-4306-8CDF-2C0DA3A15E7C}"/>
                </c:ext>
              </c:extLst>
            </c:dLbl>
            <c:dLbl>
              <c:idx val="5"/>
              <c:layout>
                <c:manualLayout>
                  <c:x val="-3.4117809577208419E-2"/>
                  <c:y val="9.0646682377183777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AC-4306-8CDF-2C0DA3A15E7C}"/>
                </c:ext>
              </c:extLst>
            </c:dLbl>
            <c:dLbl>
              <c:idx val="6"/>
              <c:layout>
                <c:manualLayout>
                  <c:x val="-9.7125875691394664E-3"/>
                  <c:y val="5.7646847216113878E-2"/>
                </c:manualLayout>
              </c:layout>
              <c:showLegendKey val="0"/>
              <c:showVal val="1"/>
              <c:showCatName val="1"/>
              <c:showSerName val="0"/>
              <c:showPercent val="0"/>
              <c:showBubbleSize val="0"/>
              <c:extLst>
                <c:ext xmlns:c15="http://schemas.microsoft.com/office/drawing/2012/chart" uri="{CE6537A1-D6FC-4f65-9D91-7224C49458BB}">
                  <c15:layout>
                    <c:manualLayout>
                      <c:w val="0.30565222424252603"/>
                      <c:h val="0.16871707909166797"/>
                    </c:manualLayout>
                  </c15:layout>
                </c:ext>
                <c:ext xmlns:c16="http://schemas.microsoft.com/office/drawing/2014/chart" uri="{C3380CC4-5D6E-409C-BE32-E72D297353CC}">
                  <c16:uniqueId val="{00000001-32AC-4306-8CDF-2C0DA3A15E7C}"/>
                </c:ext>
              </c:extLst>
            </c:dLbl>
            <c:dLbl>
              <c:idx val="7"/>
              <c:layout>
                <c:manualLayout>
                  <c:x val="5.0059799562439659E-2"/>
                  <c:y val="-9.1474734465109443E-3"/>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1455539650364067"/>
                      <c:h val="9.3022954659517626E-2"/>
                    </c:manualLayout>
                  </c15:layout>
                </c:ext>
                <c:ext xmlns:c16="http://schemas.microsoft.com/office/drawing/2014/chart" uri="{C3380CC4-5D6E-409C-BE32-E72D297353CC}">
                  <c16:uniqueId val="{0000000F-5D21-4157-BF20-B4264BB621E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Summary!$R$18:$R$25</c:f>
              <c:strCache>
                <c:ptCount val="8"/>
                <c:pt idx="0">
                  <c:v>Chief Joseph (mainstem)</c:v>
                </c:pt>
                <c:pt idx="1">
                  <c:v>Okanogan (Chief Joseph)</c:v>
                </c:pt>
                <c:pt idx="2">
                  <c:v>Methow/Carlton</c:v>
                </c:pt>
                <c:pt idx="3">
                  <c:v>Wells</c:v>
                </c:pt>
                <c:pt idx="4">
                  <c:v>Chelan Falls</c:v>
                </c:pt>
                <c:pt idx="5">
                  <c:v>Entiat</c:v>
                </c:pt>
                <c:pt idx="6">
                  <c:v>Wenatchee (Dryden)</c:v>
                </c:pt>
                <c:pt idx="7">
                  <c:v>Penticton</c:v>
                </c:pt>
              </c:strCache>
            </c:strRef>
          </c:cat>
          <c:val>
            <c:numRef>
              <c:f>Summary!$U$18:$U$25</c:f>
              <c:numCache>
                <c:formatCode>#,##0</c:formatCode>
                <c:ptCount val="8"/>
                <c:pt idx="0">
                  <c:v>500000</c:v>
                </c:pt>
                <c:pt idx="1">
                  <c:v>591000</c:v>
                </c:pt>
                <c:pt idx="2">
                  <c:v>200000</c:v>
                </c:pt>
                <c:pt idx="3">
                  <c:v>320000</c:v>
                </c:pt>
                <c:pt idx="4">
                  <c:v>576000</c:v>
                </c:pt>
                <c:pt idx="5">
                  <c:v>400000</c:v>
                </c:pt>
                <c:pt idx="6">
                  <c:v>500000</c:v>
                </c:pt>
                <c:pt idx="7">
                  <c:v>15000</c:v>
                </c:pt>
              </c:numCache>
            </c:numRef>
          </c:val>
          <c:extLst>
            <c:ext xmlns:c16="http://schemas.microsoft.com/office/drawing/2014/chart" uri="{C3380CC4-5D6E-409C-BE32-E72D297353CC}">
              <c16:uniqueId val="{00000000-32AC-4306-8CDF-2C0DA3A15E7C}"/>
            </c:ext>
          </c:extLst>
        </c:ser>
        <c:dLbls>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1512519457403871"/>
          <c:y val="0.14367978138259491"/>
        </c:manualLayout>
      </c:layout>
      <c:overlay val="0"/>
      <c:spPr>
        <a:solidFill>
          <a:schemeClr val="bg1"/>
        </a:solid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7956561679790026"/>
          <c:y val="1.8533071603625152E-2"/>
          <c:w val="0.74718164802147846"/>
          <c:h val="0.84791618326273532"/>
        </c:manualLayout>
      </c:layout>
      <c:barChart>
        <c:barDir val="bar"/>
        <c:grouping val="clustered"/>
        <c:varyColors val="0"/>
        <c:ser>
          <c:idx val="0"/>
          <c:order val="0"/>
          <c:tx>
            <c:v>Natural Production</c:v>
          </c:tx>
          <c:spPr>
            <a:solidFill>
              <a:srgbClr val="008D85"/>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Summary!$D$24:$D$28</c:f>
              <c:strCache>
                <c:ptCount val="5"/>
                <c:pt idx="0">
                  <c:v>Current</c:v>
                </c:pt>
                <c:pt idx="1">
                  <c:v>Low goal</c:v>
                </c:pt>
                <c:pt idx="2">
                  <c:v>Med goal</c:v>
                </c:pt>
                <c:pt idx="3">
                  <c:v>High goal</c:v>
                </c:pt>
                <c:pt idx="4">
                  <c:v>Historical</c:v>
                </c:pt>
              </c:strCache>
            </c:strRef>
          </c:cat>
          <c:val>
            <c:numRef>
              <c:f>Summary!$E$24:$E$28</c:f>
              <c:numCache>
                <c:formatCode>#,##0</c:formatCode>
                <c:ptCount val="5"/>
                <c:pt idx="0">
                  <c:v>16919.964632999538</c:v>
                </c:pt>
                <c:pt idx="1">
                  <c:v>9000</c:v>
                </c:pt>
                <c:pt idx="2">
                  <c:v>78350</c:v>
                </c:pt>
                <c:pt idx="3">
                  <c:v>131300</c:v>
                </c:pt>
                <c:pt idx="4">
                  <c:v>733500</c:v>
                </c:pt>
              </c:numCache>
            </c:numRef>
          </c:val>
          <c:extLst>
            <c:ext xmlns:c16="http://schemas.microsoft.com/office/drawing/2014/chart" uri="{C3380CC4-5D6E-409C-BE32-E72D297353CC}">
              <c16:uniqueId val="{00000000-7577-4BA2-B385-54FC9FC66F45}"/>
            </c:ext>
          </c:extLst>
        </c:ser>
        <c:dLbls>
          <c:showLegendKey val="0"/>
          <c:showVal val="0"/>
          <c:showCatName val="0"/>
          <c:showSerName val="0"/>
          <c:showPercent val="0"/>
          <c:showBubbleSize val="0"/>
        </c:dLbls>
        <c:gapWidth val="20"/>
        <c:axId val="338258640"/>
        <c:axId val="338259032"/>
      </c:barChart>
      <c:catAx>
        <c:axId val="338258640"/>
        <c:scaling>
          <c:orientation val="maxMin"/>
        </c:scaling>
        <c:delete val="0"/>
        <c:axPos val="l"/>
        <c:numFmt formatCode="General" sourceLinked="1"/>
        <c:majorTickMark val="none"/>
        <c:minorTickMark val="none"/>
        <c:tickLblPos val="nextTo"/>
        <c:spPr>
          <a:solidFill>
            <a:schemeClr val="lt1"/>
          </a:solid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338259032"/>
        <c:crosses val="autoZero"/>
        <c:auto val="1"/>
        <c:lblAlgn val="ctr"/>
        <c:lblOffset val="100"/>
        <c:noMultiLvlLbl val="0"/>
      </c:catAx>
      <c:valAx>
        <c:axId val="3382590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338258640"/>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Current Fishery Distribution</a:t>
            </a:r>
            <a:r>
              <a:rPr lang="en-US" b="1" baseline="0">
                <a:solidFill>
                  <a:schemeClr val="tx1"/>
                </a:solidFill>
              </a:rPr>
              <a:t> </a:t>
            </a:r>
          </a:p>
          <a:p>
            <a:pPr>
              <a:defRPr b="1">
                <a:solidFill>
                  <a:schemeClr val="tx1"/>
                </a:solidFill>
              </a:defRPr>
            </a:pPr>
            <a:r>
              <a:rPr lang="en-US" b="1" baseline="0">
                <a:solidFill>
                  <a:schemeClr val="tx1"/>
                </a:solidFill>
              </a:rPr>
              <a:t>(Total Harvest)</a:t>
            </a:r>
            <a:endParaRPr lang="en-US" b="1">
              <a:solidFill>
                <a:schemeClr val="tx1"/>
              </a:solidFill>
            </a:endParaRPr>
          </a:p>
        </c:rich>
      </c:tx>
      <c:layout>
        <c:manualLayout>
          <c:xMode val="edge"/>
          <c:yMode val="edge"/>
          <c:x val="8.8163600536449224E-3"/>
          <c:y val="3.297866283955620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45385379287392452"/>
          <c:y val="4.5059467212522734E-2"/>
          <c:w val="0.398136020192634"/>
          <c:h val="0.82133410147450803"/>
        </c:manualLayout>
      </c:layout>
      <c:pieChart>
        <c:varyColors val="1"/>
        <c:ser>
          <c:idx val="0"/>
          <c:order val="0"/>
          <c:spPr>
            <a:ln w="6350">
              <a:solidFill>
                <a:schemeClr val="tx1"/>
              </a:solidFill>
            </a:ln>
          </c:spPr>
          <c:dPt>
            <c:idx val="0"/>
            <c:bubble3D val="0"/>
            <c:spPr>
              <a:solidFill>
                <a:schemeClr val="accent1"/>
              </a:solidFill>
              <a:ln w="6350">
                <a:solidFill>
                  <a:schemeClr val="tx1"/>
                </a:solidFill>
              </a:ln>
              <a:effectLst/>
            </c:spPr>
            <c:extLst>
              <c:ext xmlns:c16="http://schemas.microsoft.com/office/drawing/2014/chart" uri="{C3380CC4-5D6E-409C-BE32-E72D297353CC}">
                <c16:uniqueId val="{00000001-FE71-4A96-B747-2AA5618A2469}"/>
              </c:ext>
            </c:extLst>
          </c:dPt>
          <c:dPt>
            <c:idx val="1"/>
            <c:bubble3D val="0"/>
            <c:spPr>
              <a:solidFill>
                <a:schemeClr val="accent2"/>
              </a:solidFill>
              <a:ln w="6350">
                <a:solidFill>
                  <a:schemeClr val="tx1"/>
                </a:solidFill>
              </a:ln>
              <a:effectLst/>
            </c:spPr>
            <c:extLst>
              <c:ext xmlns:c16="http://schemas.microsoft.com/office/drawing/2014/chart" uri="{C3380CC4-5D6E-409C-BE32-E72D297353CC}">
                <c16:uniqueId val="{00000003-FE71-4A96-B747-2AA5618A2469}"/>
              </c:ext>
            </c:extLst>
          </c:dPt>
          <c:dPt>
            <c:idx val="2"/>
            <c:bubble3D val="0"/>
            <c:spPr>
              <a:solidFill>
                <a:schemeClr val="accent3"/>
              </a:solidFill>
              <a:ln w="6350">
                <a:solidFill>
                  <a:schemeClr val="tx1"/>
                </a:solidFill>
              </a:ln>
              <a:effectLst/>
            </c:spPr>
            <c:extLst>
              <c:ext xmlns:c16="http://schemas.microsoft.com/office/drawing/2014/chart" uri="{C3380CC4-5D6E-409C-BE32-E72D297353CC}">
                <c16:uniqueId val="{00000005-FE71-4A96-B747-2AA5618A2469}"/>
              </c:ext>
            </c:extLst>
          </c:dPt>
          <c:dPt>
            <c:idx val="3"/>
            <c:bubble3D val="0"/>
            <c:spPr>
              <a:solidFill>
                <a:schemeClr val="accent4"/>
              </a:solidFill>
              <a:ln w="6350">
                <a:solidFill>
                  <a:schemeClr val="tx1"/>
                </a:solidFill>
              </a:ln>
              <a:effectLst/>
            </c:spPr>
            <c:extLst>
              <c:ext xmlns:c16="http://schemas.microsoft.com/office/drawing/2014/chart" uri="{C3380CC4-5D6E-409C-BE32-E72D297353CC}">
                <c16:uniqueId val="{00000007-FE71-4A96-B747-2AA5618A2469}"/>
              </c:ext>
            </c:extLst>
          </c:dPt>
          <c:dPt>
            <c:idx val="4"/>
            <c:bubble3D val="0"/>
            <c:spPr>
              <a:solidFill>
                <a:schemeClr val="accent5"/>
              </a:solidFill>
              <a:ln w="6350">
                <a:solidFill>
                  <a:schemeClr val="tx1"/>
                </a:solidFill>
              </a:ln>
              <a:effectLst/>
            </c:spPr>
            <c:extLst>
              <c:ext xmlns:c16="http://schemas.microsoft.com/office/drawing/2014/chart" uri="{C3380CC4-5D6E-409C-BE32-E72D297353CC}">
                <c16:uniqueId val="{00000009-FE71-4A96-B747-2AA5618A2469}"/>
              </c:ext>
            </c:extLst>
          </c:dPt>
          <c:dPt>
            <c:idx val="5"/>
            <c:bubble3D val="0"/>
            <c:spPr>
              <a:solidFill>
                <a:schemeClr val="accent6"/>
              </a:solidFill>
              <a:ln w="6350">
                <a:solidFill>
                  <a:schemeClr val="tx1"/>
                </a:solidFill>
              </a:ln>
              <a:effectLst/>
            </c:spPr>
            <c:extLst>
              <c:ext xmlns:c16="http://schemas.microsoft.com/office/drawing/2014/chart" uri="{C3380CC4-5D6E-409C-BE32-E72D297353CC}">
                <c16:uniqueId val="{0000000B-FE71-4A96-B747-2AA5618A2469}"/>
              </c:ext>
            </c:extLst>
          </c:dPt>
          <c:dPt>
            <c:idx val="6"/>
            <c:bubble3D val="0"/>
            <c:spPr>
              <a:solidFill>
                <a:schemeClr val="accent1">
                  <a:lumMod val="60000"/>
                </a:schemeClr>
              </a:solidFill>
              <a:ln w="6350">
                <a:solidFill>
                  <a:schemeClr val="tx1"/>
                </a:solidFill>
              </a:ln>
              <a:effectLst/>
            </c:spPr>
            <c:extLst>
              <c:ext xmlns:c16="http://schemas.microsoft.com/office/drawing/2014/chart" uri="{C3380CC4-5D6E-409C-BE32-E72D297353CC}">
                <c16:uniqueId val="{0000000D-FE71-4A96-B747-2AA5618A2469}"/>
              </c:ext>
            </c:extLst>
          </c:dPt>
          <c:dLbls>
            <c:dLbl>
              <c:idx val="0"/>
              <c:layout>
                <c:manualLayout>
                  <c:x val="8.8082251702764958E-2"/>
                  <c:y val="0.14786292758654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E71-4A96-B747-2AA5618A2469}"/>
                </c:ext>
              </c:extLst>
            </c:dLbl>
            <c:dLbl>
              <c:idx val="1"/>
              <c:layout>
                <c:manualLayout>
                  <c:x val="1.8849863416337879E-2"/>
                  <c:y val="-7.180505528662116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E71-4A96-B747-2AA5618A2469}"/>
                </c:ext>
              </c:extLst>
            </c:dLbl>
            <c:dLbl>
              <c:idx val="2"/>
              <c:layout>
                <c:manualLayout>
                  <c:x val="9.3192811975864459E-3"/>
                  <c:y val="8.472495192744705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E71-4A96-B747-2AA5618A2469}"/>
                </c:ext>
              </c:extLst>
            </c:dLbl>
            <c:dLbl>
              <c:idx val="3"/>
              <c:layout>
                <c:manualLayout>
                  <c:x val="0.11518759676847161"/>
                  <c:y val="0.222607310272986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E71-4A96-B747-2AA5618A2469}"/>
                </c:ext>
              </c:extLst>
            </c:dLbl>
            <c:dLbl>
              <c:idx val="4"/>
              <c:layout>
                <c:manualLayout>
                  <c:x val="-1.3756396695630923E-2"/>
                  <c:y val="1.47357347941610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E71-4A96-B747-2AA5618A2469}"/>
                </c:ext>
              </c:extLst>
            </c:dLbl>
            <c:dLbl>
              <c:idx val="5"/>
              <c:layout>
                <c:manualLayout>
                  <c:x val="-2.4292203363022569E-2"/>
                  <c:y val="9.641191400557581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E71-4A96-B747-2AA5618A2469}"/>
                </c:ext>
              </c:extLst>
            </c:dLbl>
            <c:dLbl>
              <c:idx val="6"/>
              <c:layout>
                <c:manualLayout>
                  <c:x val="-2.9107333504680748E-2"/>
                  <c:y val="5.2619794760155568E-2"/>
                </c:manualLayout>
              </c:layout>
              <c:showLegendKey val="0"/>
              <c:showVal val="0"/>
              <c:showCatName val="1"/>
              <c:showSerName val="0"/>
              <c:showPercent val="1"/>
              <c:showBubbleSize val="0"/>
              <c:extLst>
                <c:ext xmlns:c15="http://schemas.microsoft.com/office/drawing/2012/chart" uri="{CE6537A1-D6FC-4f65-9D91-7224C49458BB}">
                  <c15:layout>
                    <c:manualLayout>
                      <c:w val="0.15724503010112792"/>
                      <c:h val="0.13473017766663523"/>
                    </c:manualLayout>
                  </c15:layout>
                </c:ext>
                <c:ext xmlns:c16="http://schemas.microsoft.com/office/drawing/2014/chart" uri="{C3380CC4-5D6E-409C-BE32-E72D297353CC}">
                  <c16:uniqueId val="{0000000D-FE71-4A96-B747-2AA5618A24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158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Fishery!$B$38:$B$44</c:f>
              <c:strCache>
                <c:ptCount val="7"/>
                <c:pt idx="0">
                  <c:v>SE Alaska</c:v>
                </c:pt>
                <c:pt idx="1">
                  <c:v>Canada</c:v>
                </c:pt>
                <c:pt idx="2">
                  <c:v>US Ocean</c:v>
                </c:pt>
                <c:pt idx="3">
                  <c:v>CR sport</c:v>
                </c:pt>
                <c:pt idx="4">
                  <c:v>CR comm</c:v>
                </c:pt>
                <c:pt idx="5">
                  <c:v>CR Treaty</c:v>
                </c:pt>
                <c:pt idx="6">
                  <c:v>CR Colville</c:v>
                </c:pt>
              </c:strCache>
            </c:strRef>
          </c:cat>
          <c:val>
            <c:numRef>
              <c:f>Fishery!$E$38:$E$44</c:f>
              <c:numCache>
                <c:formatCode>0.0%</c:formatCode>
                <c:ptCount val="7"/>
                <c:pt idx="0">
                  <c:v>0.1328</c:v>
                </c:pt>
                <c:pt idx="1">
                  <c:v>0.15640000000000001</c:v>
                </c:pt>
                <c:pt idx="2">
                  <c:v>6.7299999999999999E-2</c:v>
                </c:pt>
                <c:pt idx="3">
                  <c:v>0.10599999999999998</c:v>
                </c:pt>
                <c:pt idx="4">
                  <c:v>1.5312869081729628E-2</c:v>
                </c:pt>
                <c:pt idx="5">
                  <c:v>9.8906675114320358E-2</c:v>
                </c:pt>
                <c:pt idx="6">
                  <c:v>1.9180455803950038E-2</c:v>
                </c:pt>
              </c:numCache>
            </c:numRef>
          </c:val>
          <c:extLst>
            <c:ext xmlns:c16="http://schemas.microsoft.com/office/drawing/2014/chart" uri="{C3380CC4-5D6E-409C-BE32-E72D297353CC}">
              <c16:uniqueId val="{0000000E-FE71-4A96-B747-2AA5618A2469}"/>
            </c:ext>
          </c:extLst>
        </c:ser>
        <c:dLbls>
          <c:showLegendKey val="0"/>
          <c:showVal val="1"/>
          <c:showCatName val="0"/>
          <c:showSerName val="0"/>
          <c:showPercent val="0"/>
          <c:showBubbleSize val="0"/>
          <c:showLeaderLines val="1"/>
        </c:dLbls>
        <c:firstSliceAng val="290"/>
      </c:pieChart>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65247</xdr:colOff>
      <xdr:row>1</xdr:row>
      <xdr:rowOff>48419</xdr:rowOff>
    </xdr:from>
    <xdr:to>
      <xdr:col>6</xdr:col>
      <xdr:colOff>591026</xdr:colOff>
      <xdr:row>22</xdr:row>
      <xdr:rowOff>31750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5247" y="313002"/>
          <a:ext cx="3785446" cy="3666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spcAft>
              <a:spcPts val="300"/>
            </a:spcAft>
            <a:buFont typeface="Arial" panose="020B0604020202020204" pitchFamily="34" charset="0"/>
            <a:buChar char="•"/>
          </a:pPr>
          <a:r>
            <a:rPr lang="en-US" sz="1600" i="0" baseline="0"/>
            <a:t>Currently inhabits mainstem and large tributaries upstream of Priest Rapids Dam.</a:t>
          </a:r>
        </a:p>
        <a:p>
          <a:pPr marL="171450" indent="-171450">
            <a:spcAft>
              <a:spcPts val="300"/>
            </a:spcAft>
            <a:buFont typeface="Arial" panose="020B0604020202020204" pitchFamily="34" charset="0"/>
            <a:buChar char="•"/>
          </a:pPr>
          <a:r>
            <a:rPr lang="en-US" sz="1600" i="0" baseline="0"/>
            <a:t>Historical habitat upstream from Chief Joseph and Grand Coulee dams is not accessible under current management.</a:t>
          </a:r>
        </a:p>
        <a:p>
          <a:pPr marL="171450" indent="-171450">
            <a:spcAft>
              <a:spcPts val="300"/>
            </a:spcAft>
            <a:buFont typeface="Arial" panose="020B0604020202020204" pitchFamily="34" charset="0"/>
            <a:buChar char="•"/>
          </a:pPr>
          <a:r>
            <a:rPr lang="en-US" sz="1600" i="0" baseline="0"/>
            <a:t>Historical population structure assumed similar to that of spring Chinook.</a:t>
          </a:r>
        </a:p>
        <a:p>
          <a:pPr marL="171450" indent="-171450">
            <a:spcAft>
              <a:spcPts val="300"/>
            </a:spcAft>
            <a:buFont typeface="Arial" panose="020B0604020202020204" pitchFamily="34" charset="0"/>
            <a:buChar char="•"/>
          </a:pPr>
          <a:r>
            <a:rPr lang="en-US" sz="1600" i="0" baseline="0">
              <a:solidFill>
                <a:schemeClr val="tx1"/>
              </a:solidFill>
            </a:rPr>
            <a:t>Part of the unlisted upper Columbia summer/fall Chinook ESU, which also includes Hanford bright fall Chinook.</a:t>
          </a:r>
        </a:p>
        <a:p>
          <a:pPr marL="171450" indent="-171450">
            <a:spcAft>
              <a:spcPts val="300"/>
            </a:spcAft>
            <a:buFont typeface="Arial" panose="020B0604020202020204" pitchFamily="34" charset="0"/>
            <a:buChar char="•"/>
          </a:pPr>
          <a:r>
            <a:rPr lang="en-US" sz="1600" i="0" baseline="0"/>
            <a:t>Ranges widely in the ocean along the Pacific Coast where they are subject to fisheries from the Pacific Northwest to Canada and Alaska.</a:t>
          </a:r>
          <a:endParaRPr lang="en-US" sz="1600" i="0">
            <a:effectLst/>
          </a:endParaRPr>
        </a:p>
      </xdr:txBody>
    </xdr:sp>
    <xdr:clientData/>
  </xdr:twoCellAnchor>
  <xdr:twoCellAnchor>
    <xdr:from>
      <xdr:col>0</xdr:col>
      <xdr:colOff>98243</xdr:colOff>
      <xdr:row>35</xdr:row>
      <xdr:rowOff>31750</xdr:rowOff>
    </xdr:from>
    <xdr:to>
      <xdr:col>16</xdr:col>
      <xdr:colOff>20002</xdr:colOff>
      <xdr:row>52</xdr:row>
      <xdr:rowOff>164782</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55245</xdr:colOff>
      <xdr:row>1</xdr:row>
      <xdr:rowOff>79639</xdr:rowOff>
    </xdr:from>
    <xdr:to>
      <xdr:col>15</xdr:col>
      <xdr:colOff>517237</xdr:colOff>
      <xdr:row>34</xdr:row>
      <xdr:rowOff>93343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59" t="6112" r="1345" b="1358"/>
        <a:stretch/>
      </xdr:blipFill>
      <xdr:spPr>
        <a:xfrm>
          <a:off x="3877151" y="341577"/>
          <a:ext cx="5224492" cy="5825859"/>
        </a:xfrm>
        <a:prstGeom prst="rect">
          <a:avLst/>
        </a:prstGeom>
        <a:ln>
          <a:solidFill>
            <a:schemeClr val="tx1"/>
          </a:solidFill>
        </a:ln>
      </xdr:spPr>
    </xdr:pic>
    <xdr:clientData/>
  </xdr:twoCellAnchor>
  <xdr:twoCellAnchor>
    <xdr:from>
      <xdr:col>0</xdr:col>
      <xdr:colOff>191058</xdr:colOff>
      <xdr:row>53</xdr:row>
      <xdr:rowOff>1</xdr:rowOff>
    </xdr:from>
    <xdr:to>
      <xdr:col>7</xdr:col>
      <xdr:colOff>500063</xdr:colOff>
      <xdr:row>70</xdr:row>
      <xdr:rowOff>140970</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29</xdr:col>
      <xdr:colOff>239182</xdr:colOff>
      <xdr:row>82</xdr:row>
      <xdr:rowOff>87085</xdr:rowOff>
    </xdr:from>
    <xdr:to>
      <xdr:col>38</xdr:col>
      <xdr:colOff>55351</xdr:colOff>
      <xdr:row>118</xdr:row>
      <xdr:rowOff>18686</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08039" y="5192485"/>
          <a:ext cx="5943600" cy="6595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190500</xdr:colOff>
      <xdr:row>53</xdr:row>
      <xdr:rowOff>53341</xdr:rowOff>
    </xdr:from>
    <xdr:to>
      <xdr:col>15</xdr:col>
      <xdr:colOff>434340</xdr:colOff>
      <xdr:row>70</xdr:row>
      <xdr:rowOff>171452</xdr:rowOff>
    </xdr:to>
    <xdr:graphicFrame macro="">
      <xdr:nvGraphicFramePr>
        <xdr:cNvPr id="4" name="Chart 3">
          <a:extLst>
            <a:ext uri="{FF2B5EF4-FFF2-40B4-BE49-F238E27FC236}">
              <a16:creationId xmlns:a16="http://schemas.microsoft.com/office/drawing/2014/main" id="{B3BBDC5A-464C-40B9-92EB-6A2394039F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127477</xdr:colOff>
      <xdr:row>21</xdr:row>
      <xdr:rowOff>174042</xdr:rowOff>
    </xdr:from>
    <xdr:to>
      <xdr:col>6</xdr:col>
      <xdr:colOff>539433</xdr:colOff>
      <xdr:row>34</xdr:row>
      <xdr:rowOff>128322</xdr:rowOff>
    </xdr:to>
    <xdr:graphicFrame macro="">
      <xdr:nvGraphicFramePr>
        <xdr:cNvPr id="5" name="Chart 4">
          <a:extLst>
            <a:ext uri="{FF2B5EF4-FFF2-40B4-BE49-F238E27FC236}">
              <a16:creationId xmlns:a16="http://schemas.microsoft.com/office/drawing/2014/main" id="{838FACA1-79AF-4AB5-BD5D-27FAD6B25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495511</xdr:colOff>
      <xdr:row>9</xdr:row>
      <xdr:rowOff>384810</xdr:rowOff>
    </xdr:from>
    <xdr:to>
      <xdr:col>25</xdr:col>
      <xdr:colOff>93345</xdr:colOff>
      <xdr:row>18</xdr:row>
      <xdr:rowOff>632036</xdr:rowOff>
    </xdr:to>
    <xdr:pic>
      <xdr:nvPicPr>
        <xdr:cNvPr id="2" name="Picture 1">
          <a:extLst>
            <a:ext uri="{FF2B5EF4-FFF2-40B4-BE49-F238E27FC236}">
              <a16:creationId xmlns:a16="http://schemas.microsoft.com/office/drawing/2014/main" id="{348A2EB0-A093-4CBA-B367-F7BF53AFB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77928" y="2448560"/>
          <a:ext cx="5736167" cy="3287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443865</xdr:colOff>
      <xdr:row>42</xdr:row>
      <xdr:rowOff>0</xdr:rowOff>
    </xdr:from>
    <xdr:to>
      <xdr:col>25</xdr:col>
      <xdr:colOff>125517</xdr:colOff>
      <xdr:row>53</xdr:row>
      <xdr:rowOff>29634</xdr:rowOff>
    </xdr:to>
    <xdr:graphicFrame macro="">
      <xdr:nvGraphicFramePr>
        <xdr:cNvPr id="2" name="Chart 1">
          <a:extLst>
            <a:ext uri="{FF2B5EF4-FFF2-40B4-BE49-F238E27FC236}">
              <a16:creationId xmlns:a16="http://schemas.microsoft.com/office/drawing/2014/main" id="{63448C3C-589D-48A4-B421-355973C7E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337820</xdr:colOff>
      <xdr:row>0</xdr:row>
      <xdr:rowOff>0</xdr:rowOff>
    </xdr:from>
    <xdr:to>
      <xdr:col>24</xdr:col>
      <xdr:colOff>243937</xdr:colOff>
      <xdr:row>23</xdr:row>
      <xdr:rowOff>56515</xdr:rowOff>
    </xdr:to>
    <xdr:pic>
      <xdr:nvPicPr>
        <xdr:cNvPr id="3" name="Picture 2">
          <a:extLst>
            <a:ext uri="{FF2B5EF4-FFF2-40B4-BE49-F238E27FC236}">
              <a16:creationId xmlns:a16="http://schemas.microsoft.com/office/drawing/2014/main" id="{BC6D816E-F8F3-4F8C-BA5C-D785CA978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5570" y="0"/>
          <a:ext cx="5120737" cy="491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301201</xdr:colOff>
      <xdr:row>23</xdr:row>
      <xdr:rowOff>164465</xdr:rowOff>
    </xdr:from>
    <xdr:to>
      <xdr:col>24</xdr:col>
      <xdr:colOff>438963</xdr:colOff>
      <xdr:row>33</xdr:row>
      <xdr:rowOff>132716</xdr:rowOff>
    </xdr:to>
    <xdr:pic>
      <xdr:nvPicPr>
        <xdr:cNvPr id="4" name="Picture 3">
          <a:extLst>
            <a:ext uri="{FF2B5EF4-FFF2-40B4-BE49-F238E27FC236}">
              <a16:creationId xmlns:a16="http://schemas.microsoft.com/office/drawing/2014/main" id="{123C2BFA-CEE4-433D-9481-BFB3754B4A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08951" y="4831715"/>
          <a:ext cx="5329522" cy="1767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1133475</xdr:colOff>
      <xdr:row>12</xdr:row>
      <xdr:rowOff>47625</xdr:rowOff>
    </xdr:from>
    <xdr:to>
      <xdr:col>2</xdr:col>
      <xdr:colOff>1767840</xdr:colOff>
      <xdr:row>63</xdr:row>
      <xdr:rowOff>130379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475" y="3514725"/>
          <a:ext cx="7772400" cy="9312479"/>
        </a:xfrm>
        <a:prstGeom prst="rect">
          <a:avLst/>
        </a:prstGeom>
      </xdr:spPr>
    </xdr:pic>
    <xdr:clientData/>
  </xdr:twoCellAnchor>
  <xdr:twoCellAnchor editAs="oneCell">
    <xdr:from>
      <xdr:col>2</xdr:col>
      <xdr:colOff>1990725</xdr:colOff>
      <xdr:row>12</xdr:row>
      <xdr:rowOff>66675</xdr:rowOff>
    </xdr:from>
    <xdr:to>
      <xdr:col>4</xdr:col>
      <xdr:colOff>2453640</xdr:colOff>
      <xdr:row>67</xdr:row>
      <xdr:rowOff>17984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34475" y="3533775"/>
          <a:ext cx="7772400" cy="99049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nwfsc.noaa.gov/trt/trt_documents/ictrt_viability_criteria_reviewdraft_2007_complete.pdf" TargetMode="External"/><Relationship Id="rId2" Type="http://schemas.openxmlformats.org/officeDocument/2006/relationships/hyperlink" Target="http://www.cctobmep.com/media/files/2015ChinookHabitatStatusandTrendReportreportcardsforweb.pdf" TargetMode="External"/><Relationship Id="rId1" Type="http://schemas.openxmlformats.org/officeDocument/2006/relationships/hyperlink" Target="http://www.nwcouncil.org/uploads/2008amend/uploadedfiles/111/2_Recommendation.pdf" TargetMode="External"/><Relationship Id="rId4"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rantpud.org/templates/galaxy/images/images/Downloads/ResourceCommittees/OtherDocuments/2017_Final_Annual_Report_with_Appendices.pdf" TargetMode="External"/><Relationship Id="rId3" Type="http://schemas.openxmlformats.org/officeDocument/2006/relationships/hyperlink" Target="https://www.grantpud.org/templates/galaxy/images/images/Downloads/ResourceCommittees/OtherDocuments/2017_Final_Annual_Report_with_Appendices.pdf" TargetMode="External"/><Relationship Id="rId7" Type="http://schemas.openxmlformats.org/officeDocument/2006/relationships/hyperlink" Target="https://www.bpa.gov/efw/Analysis/NEPADocuments/nepa/MelvinSampsonHatchery/REFERENCE-1%20Yakima%20Subbasin%20Summer-%20and%20Fall-Run%20Chinook%20and%20Coho%20Salmon%20Hatchery%20Master%20Plan%20-%20May%202012.pdf" TargetMode="External"/><Relationship Id="rId2" Type="http://schemas.openxmlformats.org/officeDocument/2006/relationships/hyperlink" Target="https://www.grantpud.org/templates/galaxy/images/images/Downloads/ResourceCommittees/OtherDocuments/2017_Final_Annual_Report_with_Appendices.pdf" TargetMode="External"/><Relationship Id="rId1" Type="http://schemas.openxmlformats.org/officeDocument/2006/relationships/hyperlink" Target="https://www.grantpud.org/templates/galaxy/images/images/Downloads/ResourceCommittees/OtherDocuments/2017_Final_Annual_Report_with_Appendices.pdf" TargetMode="External"/><Relationship Id="rId6" Type="http://schemas.openxmlformats.org/officeDocument/2006/relationships/hyperlink" Target="http://dashboard.yakamafish-star.net/DataQuery/TotalReturnsDash" TargetMode="External"/><Relationship Id="rId5" Type="http://schemas.openxmlformats.org/officeDocument/2006/relationships/hyperlink" Target="https://www.grantpud.org/templates/galaxy/images/images/Downloads/ResourceCommittees/OtherDocuments/2017_Final_Annual_Report_with_Appendices.pdf" TargetMode="External"/><Relationship Id="rId4" Type="http://schemas.openxmlformats.org/officeDocument/2006/relationships/hyperlink" Target="https://static1.squarespace.com/static/56f45574d51cd42551248613/t/5b70edaf575d1febd102deb3/1534127541467/2017+Okanogan+Adult+Fish+Pilot+Weir+Report_final.pdf" TargetMode="External"/><Relationship Id="rId9" Type="http://schemas.openxmlformats.org/officeDocument/2006/relationships/hyperlink" Target="https://www.okanoganmonitoring.org/Reports/ViewReportsForType/8"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137"/>
  <sheetViews>
    <sheetView tabSelected="1" zoomScale="90" zoomScaleNormal="90" workbookViewId="0">
      <selection activeCell="Y1" sqref="Y1"/>
    </sheetView>
  </sheetViews>
  <sheetFormatPr defaultRowHeight="14.4"/>
  <cols>
    <col min="1" max="1" width="3.6640625" style="44" customWidth="1"/>
    <col min="2" max="13" width="8.77734375" style="49" customWidth="1"/>
    <col min="14" max="14" width="8.77734375" customWidth="1"/>
    <col min="15" max="15" width="8.77734375" style="44" customWidth="1"/>
    <col min="16" max="16" width="8.77734375" customWidth="1"/>
    <col min="17" max="17" width="1.44140625" style="44" customWidth="1"/>
    <col min="18" max="18" width="8.6640625" customWidth="1"/>
    <col min="19" max="19" width="19.21875" customWidth="1"/>
    <col min="20" max="20" width="11.5546875" customWidth="1"/>
    <col min="21" max="21" width="9.6640625" customWidth="1"/>
    <col min="22" max="22" width="10.88671875" customWidth="1"/>
    <col min="23" max="23" width="12.77734375" customWidth="1"/>
    <col min="24" max="24" width="13.77734375" customWidth="1"/>
    <col min="25" max="25" width="10.109375" style="44" customWidth="1"/>
    <col min="26" max="26" width="1.77734375" style="44" customWidth="1"/>
    <col min="29" max="29" width="12.88671875" style="296" customWidth="1"/>
    <col min="30" max="30" width="11.33203125" style="296" bestFit="1" customWidth="1"/>
    <col min="31" max="32" width="12.33203125" style="296" bestFit="1" customWidth="1"/>
    <col min="33" max="33" width="9.33203125" style="296" bestFit="1" customWidth="1"/>
    <col min="34" max="34" width="9.109375" style="296"/>
    <col min="35" max="38" width="9.33203125" style="296" bestFit="1" customWidth="1"/>
    <col min="39" max="39" width="9.109375" style="296"/>
    <col min="40" max="40" width="9.33203125" style="296" bestFit="1" customWidth="1"/>
    <col min="41" max="44" width="9.109375" style="296"/>
    <col min="45" max="49" width="9.33203125" style="296" bestFit="1" customWidth="1"/>
    <col min="50" max="50" width="9.109375" style="296"/>
  </cols>
  <sheetData>
    <row r="1" spans="1:50" ht="21" customHeight="1">
      <c r="A1" s="537"/>
      <c r="B1" s="538" t="s">
        <v>350</v>
      </c>
      <c r="C1" s="539"/>
      <c r="D1" s="539"/>
      <c r="E1" s="540"/>
      <c r="F1" s="541"/>
      <c r="G1" s="542"/>
      <c r="H1" s="543" t="s">
        <v>351</v>
      </c>
      <c r="I1" s="544"/>
      <c r="J1" s="545"/>
      <c r="K1" s="538"/>
      <c r="L1" s="538" t="s">
        <v>740</v>
      </c>
      <c r="M1" s="538"/>
      <c r="N1" s="546"/>
      <c r="O1" s="538"/>
      <c r="P1" s="538"/>
      <c r="Q1" s="537"/>
    </row>
    <row r="2" spans="1:50" s="44" customFormat="1" ht="6.6" customHeight="1">
      <c r="B2" s="40"/>
      <c r="C2" s="41"/>
      <c r="D2" s="41"/>
      <c r="E2" s="42"/>
      <c r="F2" s="43"/>
      <c r="AA2"/>
      <c r="AB2"/>
      <c r="AC2" s="296"/>
      <c r="AD2" s="297"/>
      <c r="AE2" s="297"/>
      <c r="AF2" s="297"/>
      <c r="AG2" s="297"/>
      <c r="AH2" s="297"/>
      <c r="AI2" s="297"/>
      <c r="AJ2" s="297"/>
      <c r="AK2" s="297"/>
      <c r="AL2" s="297"/>
      <c r="AM2" s="297"/>
      <c r="AN2" s="297"/>
      <c r="AO2" s="297"/>
      <c r="AP2" s="297"/>
      <c r="AQ2" s="297"/>
      <c r="AR2" s="297"/>
      <c r="AS2" s="297"/>
      <c r="AT2" s="297"/>
      <c r="AU2" s="297"/>
      <c r="AV2" s="297"/>
      <c r="AW2" s="297"/>
      <c r="AX2" s="297"/>
    </row>
    <row r="3" spans="1:50" ht="13.2" customHeight="1">
      <c r="B3" s="43"/>
      <c r="C3" s="43"/>
      <c r="D3" s="43"/>
      <c r="E3" s="43"/>
      <c r="F3" s="43"/>
      <c r="G3" s="43"/>
      <c r="H3" s="43"/>
      <c r="I3" s="43"/>
      <c r="J3" s="43"/>
      <c r="K3" s="44"/>
      <c r="L3" s="44"/>
      <c r="M3" s="44"/>
      <c r="N3" s="44"/>
      <c r="P3" s="44"/>
      <c r="AD3" s="297"/>
      <c r="AE3" s="298" t="s">
        <v>460</v>
      </c>
      <c r="AF3" s="297"/>
      <c r="AG3" s="297"/>
      <c r="AH3" s="297"/>
      <c r="AI3" s="297"/>
      <c r="AJ3" s="297"/>
      <c r="AK3" s="297"/>
      <c r="AL3" s="297"/>
      <c r="AM3" s="332" t="s">
        <v>335</v>
      </c>
      <c r="AN3" s="333"/>
      <c r="AO3" s="334" t="s">
        <v>336</v>
      </c>
      <c r="AP3" s="335"/>
      <c r="AQ3" s="336" t="s">
        <v>337</v>
      </c>
      <c r="AR3" s="337"/>
      <c r="AS3" s="338"/>
    </row>
    <row r="4" spans="1:50">
      <c r="B4" s="43"/>
      <c r="C4" s="43"/>
      <c r="D4" s="43"/>
      <c r="E4" s="43"/>
      <c r="F4" s="43"/>
      <c r="G4" s="43"/>
      <c r="H4" s="43"/>
      <c r="I4" s="43"/>
      <c r="J4" s="43"/>
      <c r="K4" s="44"/>
      <c r="L4" s="43"/>
      <c r="M4" s="43"/>
      <c r="N4" s="44"/>
      <c r="P4" s="44"/>
      <c r="R4" s="555" t="s">
        <v>335</v>
      </c>
      <c r="S4" s="556"/>
      <c r="T4" s="557" t="s">
        <v>336</v>
      </c>
      <c r="U4" s="558"/>
      <c r="V4" s="559" t="s">
        <v>337</v>
      </c>
      <c r="W4" s="560"/>
      <c r="X4" s="561"/>
      <c r="AA4" s="607" t="s">
        <v>579</v>
      </c>
      <c r="AB4" s="607" t="s">
        <v>739</v>
      </c>
      <c r="AE4" s="298"/>
      <c r="AF4" s="299" t="s">
        <v>11</v>
      </c>
      <c r="AM4" s="342" t="s">
        <v>19</v>
      </c>
      <c r="AN4" s="343" t="s">
        <v>22</v>
      </c>
      <c r="AO4" s="344" t="s">
        <v>338</v>
      </c>
      <c r="AP4" s="345" t="s">
        <v>151</v>
      </c>
      <c r="AQ4" s="346" t="s">
        <v>216</v>
      </c>
      <c r="AR4" s="347" t="s">
        <v>339</v>
      </c>
      <c r="AS4" s="345" t="s">
        <v>217</v>
      </c>
    </row>
    <row r="5" spans="1:50" ht="15" customHeight="1">
      <c r="B5" s="43"/>
      <c r="C5" s="43"/>
      <c r="D5" s="43"/>
      <c r="E5" s="43"/>
      <c r="F5" s="43"/>
      <c r="G5" s="43"/>
      <c r="H5" s="43"/>
      <c r="I5" s="43"/>
      <c r="J5" s="43"/>
      <c r="K5" s="44"/>
      <c r="L5" s="43"/>
      <c r="M5" s="43"/>
      <c r="N5" s="44"/>
      <c r="P5" s="44"/>
      <c r="R5" s="565" t="s">
        <v>19</v>
      </c>
      <c r="S5" s="566" t="s">
        <v>22</v>
      </c>
      <c r="T5" s="562" t="s">
        <v>338</v>
      </c>
      <c r="U5" s="563" t="s">
        <v>151</v>
      </c>
      <c r="V5" s="564" t="s">
        <v>216</v>
      </c>
      <c r="W5" s="564" t="s">
        <v>339</v>
      </c>
      <c r="X5" s="563" t="s">
        <v>217</v>
      </c>
      <c r="AA5" s="186">
        <f>run!AW46</f>
        <v>4.3472803988598638E-2</v>
      </c>
      <c r="AB5" s="15">
        <f t="shared" ref="AB5:AB10" si="0">T6/(1-AA5)</f>
        <v>1463.6280137541564</v>
      </c>
      <c r="AE5" s="300">
        <f t="shared" ref="AE5:AE10" si="1">X6/U6</f>
        <v>0.36666666666666664</v>
      </c>
      <c r="AF5" s="296" t="s">
        <v>440</v>
      </c>
      <c r="AM5" s="634" t="s">
        <v>353</v>
      </c>
      <c r="AN5" s="351" t="s">
        <v>215</v>
      </c>
      <c r="AO5" s="352">
        <v>0</v>
      </c>
      <c r="AP5" s="353">
        <f>Spawners!F8</f>
        <v>15652.702702702705</v>
      </c>
      <c r="AQ5" s="353">
        <f>Spawners!H8</f>
        <v>500</v>
      </c>
      <c r="AR5" s="354">
        <f>Spawners!I8</f>
        <v>20853</v>
      </c>
      <c r="AS5" s="355">
        <f>AR5*1.5</f>
        <v>31279.5</v>
      </c>
    </row>
    <row r="6" spans="1:50">
      <c r="B6" s="43"/>
      <c r="C6" s="43"/>
      <c r="D6" s="43"/>
      <c r="E6" s="43"/>
      <c r="F6" s="43"/>
      <c r="G6" s="43"/>
      <c r="H6" s="43"/>
      <c r="I6" s="43"/>
      <c r="J6" s="43"/>
      <c r="K6" s="44"/>
      <c r="L6" s="43"/>
      <c r="M6" s="43"/>
      <c r="N6" s="44"/>
      <c r="P6" s="44"/>
      <c r="R6" s="658" t="s">
        <v>352</v>
      </c>
      <c r="S6" s="112" t="s">
        <v>120</v>
      </c>
      <c r="T6" s="570">
        <f>ROUND(run!AU50,-1)</f>
        <v>1400</v>
      </c>
      <c r="U6" s="571">
        <f>ROUND(Spawners!F18,-3)</f>
        <v>12000</v>
      </c>
      <c r="V6" s="582">
        <f>Spawners!H18</f>
        <v>1000</v>
      </c>
      <c r="W6" s="218">
        <f>ROUND(Spawners!I18,-2)</f>
        <v>2900</v>
      </c>
      <c r="X6" s="571">
        <f>ROUND(1.5*W6,-2)</f>
        <v>4400</v>
      </c>
      <c r="AA6" s="186">
        <f>run!AS46</f>
        <v>7.0000000000000007E-2</v>
      </c>
      <c r="AB6" s="15">
        <f t="shared" si="0"/>
        <v>6397.8494623655915</v>
      </c>
      <c r="AE6" s="300">
        <f t="shared" si="1"/>
        <v>0.40952380952380951</v>
      </c>
      <c r="AF6" s="296" t="s">
        <v>440</v>
      </c>
      <c r="AM6" s="635"/>
      <c r="AN6" s="356" t="s">
        <v>213</v>
      </c>
      <c r="AO6" s="357">
        <v>0</v>
      </c>
      <c r="AP6" s="355">
        <f>Spawners!F9</f>
        <v>29218.378378378384</v>
      </c>
      <c r="AQ6" s="355">
        <f>Spawners!H9</f>
        <v>500</v>
      </c>
      <c r="AR6" s="358">
        <f>Spawners!I9</f>
        <v>1594</v>
      </c>
      <c r="AS6" s="355">
        <f>AR6*1.5</f>
        <v>2391</v>
      </c>
    </row>
    <row r="7" spans="1:50">
      <c r="B7" s="43"/>
      <c r="C7" s="43"/>
      <c r="D7" s="43"/>
      <c r="E7" s="43"/>
      <c r="F7" s="43"/>
      <c r="G7" s="43"/>
      <c r="H7" s="43"/>
      <c r="I7" s="43"/>
      <c r="J7" s="43"/>
      <c r="K7" s="44"/>
      <c r="L7" s="43"/>
      <c r="M7" s="43"/>
      <c r="N7" s="44"/>
      <c r="P7" s="44"/>
      <c r="R7" s="659"/>
      <c r="S7" s="113" t="s">
        <v>131</v>
      </c>
      <c r="T7" s="572">
        <f>ROUND(run!AR50,-1)</f>
        <v>5950</v>
      </c>
      <c r="U7" s="573">
        <f>ROUND(Spawners!F16,-3)</f>
        <v>21000</v>
      </c>
      <c r="V7" s="583">
        <f>Spawners!H16</f>
        <v>1000</v>
      </c>
      <c r="W7" s="127">
        <v>5700</v>
      </c>
      <c r="X7" s="573">
        <f>ROUND(1.5*W7,-2)</f>
        <v>8600</v>
      </c>
      <c r="AA7" s="186">
        <f>run!BL46</f>
        <v>0.23719999999999999</v>
      </c>
      <c r="AB7" s="15">
        <f t="shared" si="0"/>
        <v>314.63030938647086</v>
      </c>
      <c r="AE7" s="300" t="e">
        <f t="shared" si="1"/>
        <v>#VALUE!</v>
      </c>
      <c r="AF7" s="296" t="s">
        <v>441</v>
      </c>
      <c r="AM7" s="635"/>
      <c r="AN7" s="356" t="s">
        <v>218</v>
      </c>
      <c r="AO7" s="357">
        <v>0</v>
      </c>
      <c r="AP7" s="355">
        <f>Spawners!F10</f>
        <v>37334.5945945946</v>
      </c>
      <c r="AQ7" s="355">
        <f>Spawners!H10</f>
        <v>500</v>
      </c>
      <c r="AR7" s="358">
        <f>Spawners!I10</f>
        <v>572</v>
      </c>
      <c r="AS7" s="355">
        <f>AR7*1.5</f>
        <v>858</v>
      </c>
    </row>
    <row r="8" spans="1:50">
      <c r="B8" s="43"/>
      <c r="C8" s="43"/>
      <c r="D8" s="43"/>
      <c r="E8" s="43"/>
      <c r="F8" s="43"/>
      <c r="G8" s="43"/>
      <c r="H8" s="43"/>
      <c r="I8" s="43"/>
      <c r="J8" s="43"/>
      <c r="K8" s="44"/>
      <c r="L8" s="43"/>
      <c r="M8" s="43"/>
      <c r="N8" s="44"/>
      <c r="P8" s="44"/>
      <c r="R8" s="659"/>
      <c r="S8" s="114" t="s">
        <v>145</v>
      </c>
      <c r="T8" s="572">
        <f>ROUND(run!BM50,-1)</f>
        <v>240</v>
      </c>
      <c r="U8" s="573">
        <f>Spawners!F17</f>
        <v>0</v>
      </c>
      <c r="V8" s="584" t="s">
        <v>286</v>
      </c>
      <c r="W8" s="581" t="s">
        <v>286</v>
      </c>
      <c r="X8" s="585" t="s">
        <v>286</v>
      </c>
      <c r="AA8" s="186">
        <f>run!BB46</f>
        <v>0.3664905525486653</v>
      </c>
      <c r="AB8" s="15">
        <f t="shared" si="0"/>
        <v>8129.2625606742022</v>
      </c>
      <c r="AE8" s="300">
        <f t="shared" si="1"/>
        <v>0.39545454545454545</v>
      </c>
      <c r="AF8" s="296" t="s">
        <v>439</v>
      </c>
      <c r="AM8" s="635"/>
      <c r="AN8" s="356" t="s">
        <v>511</v>
      </c>
      <c r="AO8" s="357">
        <v>0</v>
      </c>
      <c r="AP8" s="355">
        <f>Spawners!F11</f>
        <v>195214.32432432435</v>
      </c>
      <c r="AQ8" s="355">
        <f>Spawners!H11</f>
        <v>1000</v>
      </c>
      <c r="AR8" s="358">
        <f>(1651+243+100+1481*0.65)+25000</f>
        <v>27956.65</v>
      </c>
      <c r="AS8" s="355">
        <f>AR8*1.5</f>
        <v>41934.975000000006</v>
      </c>
    </row>
    <row r="9" spans="1:50">
      <c r="B9" s="43"/>
      <c r="C9" s="43"/>
      <c r="D9" s="43"/>
      <c r="E9" s="43"/>
      <c r="F9" s="43"/>
      <c r="G9" s="43"/>
      <c r="H9" s="43"/>
      <c r="I9" s="43"/>
      <c r="J9" s="43"/>
      <c r="K9" s="44"/>
      <c r="L9" s="44"/>
      <c r="M9" s="44"/>
      <c r="N9" s="44"/>
      <c r="P9" s="44"/>
      <c r="R9" s="659"/>
      <c r="S9" s="113" t="s">
        <v>532</v>
      </c>
      <c r="T9" s="572">
        <f>run!AZ50</f>
        <v>5149.9646329995367</v>
      </c>
      <c r="U9" s="573">
        <f>ROUND(Spawners!F19,-3)</f>
        <v>44000</v>
      </c>
      <c r="V9" s="583">
        <f>Spawners!H19</f>
        <v>2000</v>
      </c>
      <c r="W9" s="127">
        <v>6000</v>
      </c>
      <c r="X9" s="291">
        <f>ROUND(Spawners!I19,-2)</f>
        <v>17400</v>
      </c>
      <c r="AA9" s="186">
        <f>T53</f>
        <v>0.6</v>
      </c>
      <c r="AB9" s="15">
        <f t="shared" si="0"/>
        <v>2200</v>
      </c>
      <c r="AE9" s="300" t="e">
        <f t="shared" si="1"/>
        <v>#DIV/0!</v>
      </c>
      <c r="AF9" s="296" t="s">
        <v>442</v>
      </c>
      <c r="AM9" s="636"/>
      <c r="AN9" s="369" t="s">
        <v>534</v>
      </c>
      <c r="AO9" s="370">
        <v>0</v>
      </c>
      <c r="AP9" s="371">
        <f>Spawners!F12</f>
        <v>162749.4594594595</v>
      </c>
      <c r="AQ9" s="355"/>
      <c r="AR9" s="358"/>
      <c r="AS9" s="355"/>
    </row>
    <row r="10" spans="1:50">
      <c r="B10" s="43"/>
      <c r="C10" s="43"/>
      <c r="D10" s="43"/>
      <c r="E10" s="43"/>
      <c r="F10" s="43"/>
      <c r="G10" s="43"/>
      <c r="H10" s="43"/>
      <c r="I10" s="43"/>
      <c r="J10" s="43"/>
      <c r="K10" s="43"/>
      <c r="L10" s="43"/>
      <c r="M10" s="43"/>
      <c r="N10" s="44"/>
      <c r="P10" s="44"/>
      <c r="R10" s="659"/>
      <c r="S10" s="113" t="s">
        <v>432</v>
      </c>
      <c r="T10" s="572">
        <f>ROUND(run!BD50,-1)</f>
        <v>880</v>
      </c>
      <c r="U10" s="573">
        <f>Spawners!F20</f>
        <v>0</v>
      </c>
      <c r="V10" s="583">
        <v>500</v>
      </c>
      <c r="W10" s="127">
        <f>Spawners!I20</f>
        <v>1350</v>
      </c>
      <c r="X10" s="573">
        <f>ROUND(1.5*W10,-2)</f>
        <v>2000</v>
      </c>
      <c r="AA10" s="186">
        <f>T53</f>
        <v>0.6</v>
      </c>
      <c r="AB10" s="15">
        <f t="shared" si="0"/>
        <v>8000</v>
      </c>
      <c r="AE10" s="300" t="e">
        <f t="shared" si="1"/>
        <v>#DIV/0!</v>
      </c>
      <c r="AF10" s="296" t="s">
        <v>443</v>
      </c>
      <c r="AM10" s="375" t="s">
        <v>214</v>
      </c>
      <c r="AN10" s="376" t="s">
        <v>214</v>
      </c>
      <c r="AO10" s="352">
        <v>0</v>
      </c>
      <c r="AP10" s="353">
        <f>Spawners!F14</f>
        <v>126960.81081081083</v>
      </c>
      <c r="AQ10" s="353">
        <v>500</v>
      </c>
      <c r="AR10" s="377">
        <f>(Spawners!I14)</f>
        <v>5964</v>
      </c>
      <c r="AS10" s="353">
        <f>AR10*1.5</f>
        <v>8946</v>
      </c>
    </row>
    <row r="11" spans="1:50" ht="15" customHeight="1">
      <c r="B11" s="43"/>
      <c r="C11" s="43"/>
      <c r="D11" s="43"/>
      <c r="E11" s="43"/>
      <c r="F11" s="43"/>
      <c r="G11" s="43"/>
      <c r="H11" s="43"/>
      <c r="I11" s="43"/>
      <c r="J11" s="43"/>
      <c r="K11" s="43"/>
      <c r="L11" s="43"/>
      <c r="M11" s="43"/>
      <c r="N11" s="44"/>
      <c r="P11" s="44"/>
      <c r="R11" s="660"/>
      <c r="S11" s="115" t="s">
        <v>433</v>
      </c>
      <c r="T11" s="611">
        <f>ROUND(Spawners!E21,-2)</f>
        <v>3200</v>
      </c>
      <c r="U11" s="612">
        <f>Spawners!F21</f>
        <v>0</v>
      </c>
      <c r="V11" s="586">
        <f>ROUND(0.12*SUM(V6:V10),-2)</f>
        <v>500</v>
      </c>
      <c r="W11" s="587">
        <f>ROUND(0.12*SUM(W6:W10),-2)</f>
        <v>1900</v>
      </c>
      <c r="X11" s="588">
        <f>ROUND(0.12*SUM(X6:X10),-2)</f>
        <v>3900</v>
      </c>
      <c r="AE11" s="15">
        <f>SUM(T6:T11)</f>
        <v>16819.964632999538</v>
      </c>
      <c r="AF11" s="15">
        <f>SUM(U6:U11)</f>
        <v>77000</v>
      </c>
      <c r="AG11" s="296">
        <f>AE11/AF11</f>
        <v>0.21844109912986412</v>
      </c>
    </row>
    <row r="12" spans="1:50" ht="15" customHeight="1">
      <c r="B12" s="43"/>
      <c r="C12" s="43"/>
      <c r="D12" s="43"/>
      <c r="E12" s="43"/>
      <c r="F12" s="43"/>
      <c r="G12" s="43"/>
      <c r="H12" s="43"/>
      <c r="I12" s="43"/>
      <c r="J12" s="43"/>
      <c r="K12" s="43"/>
      <c r="L12" s="43"/>
      <c r="M12" s="43"/>
      <c r="N12" s="44"/>
      <c r="P12" s="44"/>
      <c r="R12" s="613" t="s">
        <v>447</v>
      </c>
      <c r="S12" s="115" t="s">
        <v>447</v>
      </c>
      <c r="T12" s="610">
        <v>100</v>
      </c>
      <c r="U12" s="580">
        <v>89500</v>
      </c>
      <c r="V12" s="586">
        <v>1000</v>
      </c>
      <c r="W12" s="587">
        <v>3500</v>
      </c>
      <c r="X12" s="588">
        <v>10000</v>
      </c>
      <c r="AE12" s="15"/>
      <c r="AF12" s="15"/>
    </row>
    <row r="13" spans="1:50">
      <c r="B13" s="43"/>
      <c r="C13" s="43"/>
      <c r="D13" s="43"/>
      <c r="E13" s="43"/>
      <c r="F13" s="43"/>
      <c r="G13" s="43"/>
      <c r="H13" s="43"/>
      <c r="I13" s="43"/>
      <c r="J13" s="43"/>
      <c r="K13" s="43"/>
      <c r="L13" s="43"/>
      <c r="M13" s="43"/>
      <c r="N13" s="44"/>
      <c r="P13" s="44"/>
      <c r="R13" s="569" t="s">
        <v>434</v>
      </c>
      <c r="S13" s="295"/>
      <c r="T13" s="575">
        <v>0</v>
      </c>
      <c r="U13" s="574">
        <f>ROUND(AP13,-3)</f>
        <v>567000</v>
      </c>
      <c r="V13" s="589">
        <f>AQ13</f>
        <v>3000</v>
      </c>
      <c r="W13" s="574">
        <f>ROUND(AR13,-3)</f>
        <v>57000</v>
      </c>
      <c r="X13" s="576">
        <f>ROUND(AS13,-3)</f>
        <v>85000</v>
      </c>
      <c r="AE13" s="300"/>
      <c r="AP13" s="383">
        <f>SUM(AP5:AP10)</f>
        <v>567130.2702702703</v>
      </c>
      <c r="AQ13" s="383">
        <f t="shared" ref="AQ13:AS13" si="2">SUM(AQ5:AQ10)</f>
        <v>3000</v>
      </c>
      <c r="AR13" s="383">
        <f t="shared" si="2"/>
        <v>56939.65</v>
      </c>
      <c r="AS13" s="383">
        <f t="shared" si="2"/>
        <v>85409.475000000006</v>
      </c>
    </row>
    <row r="14" spans="1:50" ht="12.6" customHeight="1">
      <c r="B14" s="43"/>
      <c r="C14" s="43"/>
      <c r="D14" s="43"/>
      <c r="E14" s="43"/>
      <c r="F14" s="43"/>
      <c r="G14" s="43"/>
      <c r="H14" s="43"/>
      <c r="I14" s="43"/>
      <c r="J14" s="43"/>
      <c r="K14" s="43"/>
      <c r="L14" s="43"/>
      <c r="M14" s="43"/>
      <c r="N14" s="44"/>
      <c r="P14" s="44"/>
      <c r="R14" s="567" t="s">
        <v>197</v>
      </c>
      <c r="S14" s="568"/>
      <c r="T14" s="577">
        <f>SUM(T6:T13)</f>
        <v>16919.964632999538</v>
      </c>
      <c r="U14" s="578">
        <f>SUM(U6:U13)</f>
        <v>733500</v>
      </c>
      <c r="V14" s="579">
        <f>SUM(V6:V13)</f>
        <v>9000</v>
      </c>
      <c r="W14" s="579">
        <f>SUM(W6:W13)</f>
        <v>78350</v>
      </c>
      <c r="X14" s="578">
        <f>SUM(X6:X13)</f>
        <v>131300</v>
      </c>
      <c r="AA14">
        <f>1-(AC14/AB14)</f>
        <v>0.36541295543816488</v>
      </c>
      <c r="AB14" s="15">
        <f>SUM(AB5:AB13)</f>
        <v>26505.370346180422</v>
      </c>
      <c r="AC14" s="383">
        <f>SUM(T6:T11)</f>
        <v>16819.964632999538</v>
      </c>
      <c r="AE14" s="300"/>
    </row>
    <row r="15" spans="1:50">
      <c r="B15" s="43"/>
      <c r="C15" s="43"/>
      <c r="D15" s="43"/>
      <c r="E15" s="43"/>
      <c r="F15" s="43"/>
      <c r="G15" s="43"/>
      <c r="H15" s="43"/>
      <c r="I15" s="43"/>
      <c r="J15" s="43"/>
      <c r="K15" s="43"/>
      <c r="L15" s="43"/>
      <c r="M15" s="43"/>
      <c r="N15" s="44"/>
      <c r="P15" s="44"/>
      <c r="R15" s="44"/>
      <c r="S15" s="44"/>
      <c r="T15" s="44"/>
      <c r="U15" s="44"/>
      <c r="V15" s="44"/>
      <c r="W15" s="44"/>
      <c r="X15" s="44"/>
      <c r="AE15" s="300">
        <f>Summary!AS5/Summary!AP5</f>
        <v>1.998344988344988</v>
      </c>
      <c r="AF15" s="296" t="s">
        <v>438</v>
      </c>
    </row>
    <row r="16" spans="1:50">
      <c r="B16" s="43"/>
      <c r="C16" s="43"/>
      <c r="D16" s="43"/>
      <c r="E16" s="43"/>
      <c r="F16" s="43"/>
      <c r="G16" s="43"/>
      <c r="H16" s="43"/>
      <c r="I16" s="43"/>
      <c r="J16" s="43"/>
      <c r="K16" s="43"/>
      <c r="L16" s="43"/>
      <c r="M16" s="43"/>
      <c r="N16" s="44"/>
      <c r="P16" s="44"/>
      <c r="R16" s="190" t="s">
        <v>491</v>
      </c>
      <c r="S16" s="191"/>
      <c r="T16" s="554" t="s">
        <v>490</v>
      </c>
      <c r="U16" s="213"/>
      <c r="V16" s="213"/>
      <c r="W16" s="553"/>
      <c r="X16" s="201" t="s">
        <v>540</v>
      </c>
      <c r="AE16" s="300">
        <f>Summary!AS6/Summary!AP6</f>
        <v>8.1832056832056813E-2</v>
      </c>
      <c r="AF16" s="296" t="s">
        <v>466</v>
      </c>
    </row>
    <row r="17" spans="2:35">
      <c r="B17" s="43"/>
      <c r="C17" s="43"/>
      <c r="D17" s="43"/>
      <c r="E17" s="43"/>
      <c r="F17" s="43"/>
      <c r="G17" s="44"/>
      <c r="H17" s="44"/>
      <c r="I17" s="44"/>
      <c r="J17" s="44"/>
      <c r="K17" s="44"/>
      <c r="L17" s="44"/>
      <c r="M17" s="44"/>
      <c r="N17" s="44"/>
      <c r="P17" s="44"/>
      <c r="R17" s="204" t="s">
        <v>340</v>
      </c>
      <c r="S17" s="205"/>
      <c r="T17" s="202" t="s">
        <v>341</v>
      </c>
      <c r="U17" s="202" t="s">
        <v>362</v>
      </c>
      <c r="V17" s="202" t="s">
        <v>361</v>
      </c>
      <c r="W17" s="202" t="s">
        <v>496</v>
      </c>
      <c r="X17" s="203" t="s">
        <v>186</v>
      </c>
      <c r="AE17" s="300">
        <f>Summary!AS7/Summary!AP7</f>
        <v>2.2981366459627325E-2</v>
      </c>
      <c r="AF17" s="296" t="s">
        <v>444</v>
      </c>
    </row>
    <row r="18" spans="2:35">
      <c r="B18" s="43"/>
      <c r="C18" s="43"/>
      <c r="D18" s="43"/>
      <c r="E18" s="43"/>
      <c r="F18" s="43"/>
      <c r="G18" s="43"/>
      <c r="H18" s="43"/>
      <c r="I18" s="43"/>
      <c r="J18" s="43"/>
      <c r="K18" s="43"/>
      <c r="L18" s="43"/>
      <c r="M18" s="43"/>
      <c r="N18" s="44"/>
      <c r="P18" s="44"/>
      <c r="R18" s="666" t="s">
        <v>354</v>
      </c>
      <c r="S18" s="667"/>
      <c r="T18" s="580">
        <v>503</v>
      </c>
      <c r="U18" s="51">
        <v>500000</v>
      </c>
      <c r="V18" s="51">
        <v>400000</v>
      </c>
      <c r="W18" s="290"/>
      <c r="X18" s="291">
        <f t="shared" ref="X18:X25" si="3">U18+V18</f>
        <v>900000</v>
      </c>
      <c r="AE18" s="300">
        <f>Summary!AS8/Summary!AP8</f>
        <v>0.2148150508173276</v>
      </c>
      <c r="AF18" s="296" t="s">
        <v>444</v>
      </c>
    </row>
    <row r="19" spans="2:35">
      <c r="B19" s="43"/>
      <c r="C19" s="43"/>
      <c r="D19" s="43"/>
      <c r="E19" s="43"/>
      <c r="F19" s="43"/>
      <c r="G19" s="43"/>
      <c r="H19" s="43"/>
      <c r="I19" s="43"/>
      <c r="J19" s="43"/>
      <c r="K19" s="43"/>
      <c r="L19" s="43"/>
      <c r="M19" s="43"/>
      <c r="N19" s="44"/>
      <c r="P19" s="44"/>
      <c r="R19" s="664" t="s">
        <v>355</v>
      </c>
      <c r="S19" s="665"/>
      <c r="T19" s="580">
        <v>616</v>
      </c>
      <c r="U19" s="51">
        <v>591000</v>
      </c>
      <c r="V19" s="51">
        <v>300000</v>
      </c>
      <c r="W19" s="289"/>
      <c r="X19" s="291">
        <f>U19</f>
        <v>591000</v>
      </c>
      <c r="AE19" s="300" t="e">
        <f>#REF!/#REF!</f>
        <v>#REF!</v>
      </c>
      <c r="AF19" s="296" t="s">
        <v>437</v>
      </c>
    </row>
    <row r="20" spans="2:35">
      <c r="B20" s="43"/>
      <c r="C20" s="43"/>
      <c r="D20" s="43"/>
      <c r="E20" s="43"/>
      <c r="F20" s="43"/>
      <c r="G20" s="43"/>
      <c r="H20" s="43"/>
      <c r="I20" s="43"/>
      <c r="J20" s="43"/>
      <c r="K20" s="43"/>
      <c r="L20" s="43"/>
      <c r="M20" s="43"/>
      <c r="N20" s="44"/>
      <c r="P20" s="44"/>
      <c r="R20" s="664" t="s">
        <v>356</v>
      </c>
      <c r="S20" s="665"/>
      <c r="T20" s="580">
        <v>118</v>
      </c>
      <c r="U20" s="51">
        <v>200000</v>
      </c>
      <c r="V20" s="51">
        <v>0</v>
      </c>
      <c r="W20" s="289"/>
      <c r="X20" s="291">
        <f t="shared" si="3"/>
        <v>200000</v>
      </c>
    </row>
    <row r="21" spans="2:35">
      <c r="B21" s="43"/>
      <c r="C21" s="44"/>
      <c r="D21" s="43"/>
      <c r="E21" s="43"/>
      <c r="F21" s="43"/>
      <c r="G21" s="44"/>
      <c r="H21" s="44"/>
      <c r="I21" s="44"/>
      <c r="J21" s="44"/>
      <c r="K21" s="44"/>
      <c r="L21" s="44"/>
      <c r="M21" s="44"/>
      <c r="N21" s="44"/>
      <c r="P21" s="44"/>
      <c r="R21" s="664" t="s">
        <v>357</v>
      </c>
      <c r="S21" s="665"/>
      <c r="T21" s="580">
        <v>494</v>
      </c>
      <c r="U21" s="51">
        <v>320000</v>
      </c>
      <c r="V21" s="51">
        <v>484000</v>
      </c>
      <c r="W21" s="289"/>
      <c r="X21" s="291">
        <f t="shared" si="3"/>
        <v>804000</v>
      </c>
      <c r="AE21" s="300">
        <f>Summary!AS10/Summary!AP10</f>
        <v>7.0462687996934559E-2</v>
      </c>
      <c r="AF21" s="296" t="s">
        <v>436</v>
      </c>
    </row>
    <row r="22" spans="2:35">
      <c r="B22" s="43"/>
      <c r="C22" s="44"/>
      <c r="D22" s="43"/>
      <c r="E22" s="43"/>
      <c r="F22" s="43"/>
      <c r="G22" s="44"/>
      <c r="H22" s="44"/>
      <c r="I22" s="44"/>
      <c r="J22" s="44"/>
      <c r="K22" s="44"/>
      <c r="L22" s="44"/>
      <c r="M22" s="44"/>
      <c r="N22" s="44"/>
      <c r="P22" s="44"/>
      <c r="R22" s="664" t="s">
        <v>358</v>
      </c>
      <c r="S22" s="665"/>
      <c r="T22" s="580">
        <v>358</v>
      </c>
      <c r="U22" s="51">
        <v>576000</v>
      </c>
      <c r="V22" s="51">
        <v>0</v>
      </c>
      <c r="W22" s="289"/>
      <c r="X22" s="291">
        <f t="shared" si="3"/>
        <v>576000</v>
      </c>
      <c r="AE22" s="300"/>
    </row>
    <row r="23" spans="2:35">
      <c r="B23" s="43"/>
      <c r="C23" s="43"/>
      <c r="D23" s="43"/>
      <c r="E23" s="43"/>
      <c r="F23" s="43"/>
      <c r="G23" s="43"/>
      <c r="H23" s="43"/>
      <c r="I23" s="43"/>
      <c r="J23" s="43"/>
      <c r="K23" s="43"/>
      <c r="L23" s="43"/>
      <c r="M23" s="43"/>
      <c r="N23" s="44"/>
      <c r="P23" s="44"/>
      <c r="R23" s="664" t="s">
        <v>145</v>
      </c>
      <c r="S23" s="665"/>
      <c r="T23" s="580">
        <v>210</v>
      </c>
      <c r="U23" s="51">
        <v>400000</v>
      </c>
      <c r="V23" s="51">
        <v>0</v>
      </c>
      <c r="W23" s="289"/>
      <c r="X23" s="291">
        <f t="shared" si="3"/>
        <v>400000</v>
      </c>
      <c r="AE23" s="300">
        <f>X14/U14</f>
        <v>0.17900477164280845</v>
      </c>
      <c r="AG23" s="301">
        <v>0.15</v>
      </c>
      <c r="AH23" s="296" t="s">
        <v>486</v>
      </c>
    </row>
    <row r="24" spans="2:35">
      <c r="B24" s="43"/>
      <c r="C24" s="43"/>
      <c r="D24" s="44" t="s">
        <v>150</v>
      </c>
      <c r="E24" s="293">
        <f>T14</f>
        <v>16919.964632999538</v>
      </c>
      <c r="F24" s="43"/>
      <c r="G24" s="43"/>
      <c r="H24" s="43"/>
      <c r="I24" s="43"/>
      <c r="J24" s="43"/>
      <c r="K24" s="43"/>
      <c r="L24" s="43"/>
      <c r="M24" s="43"/>
      <c r="N24" s="44"/>
      <c r="P24" s="44"/>
      <c r="R24" s="664" t="s">
        <v>359</v>
      </c>
      <c r="S24" s="665"/>
      <c r="T24" s="580">
        <v>262</v>
      </c>
      <c r="U24" s="51">
        <v>500000</v>
      </c>
      <c r="V24" s="51">
        <v>0</v>
      </c>
      <c r="W24" s="289"/>
      <c r="X24" s="291">
        <f t="shared" si="3"/>
        <v>500000</v>
      </c>
    </row>
    <row r="25" spans="2:35">
      <c r="B25" s="43"/>
      <c r="C25" s="43"/>
      <c r="D25" s="44" t="s">
        <v>529</v>
      </c>
      <c r="E25" s="293">
        <f>V14</f>
        <v>9000</v>
      </c>
      <c r="F25" s="43"/>
      <c r="G25" s="43"/>
      <c r="H25" s="43"/>
      <c r="I25" s="43"/>
      <c r="J25" s="43"/>
      <c r="K25" s="43"/>
      <c r="L25" s="43"/>
      <c r="M25" s="43"/>
      <c r="N25" s="44"/>
      <c r="P25" s="44"/>
      <c r="R25" s="664" t="s">
        <v>360</v>
      </c>
      <c r="S25" s="665"/>
      <c r="T25" s="580">
        <v>6</v>
      </c>
      <c r="U25" s="51">
        <v>15000</v>
      </c>
      <c r="V25" s="51">
        <v>0</v>
      </c>
      <c r="W25" s="289"/>
      <c r="X25" s="291">
        <f t="shared" si="3"/>
        <v>15000</v>
      </c>
      <c r="AE25" s="383"/>
      <c r="AF25" s="302" t="s">
        <v>482</v>
      </c>
      <c r="AG25" s="303"/>
      <c r="AH25" s="304"/>
      <c r="AI25" s="296" t="s">
        <v>525</v>
      </c>
    </row>
    <row r="26" spans="2:35">
      <c r="B26" s="43"/>
      <c r="C26" s="43"/>
      <c r="D26" s="44" t="s">
        <v>530</v>
      </c>
      <c r="E26" s="293">
        <f>W14</f>
        <v>78350</v>
      </c>
      <c r="F26" s="43"/>
      <c r="G26" s="43"/>
      <c r="H26" s="43"/>
      <c r="I26" s="43"/>
      <c r="J26" s="43"/>
      <c r="K26" s="43"/>
      <c r="L26" s="43"/>
      <c r="M26" s="43"/>
      <c r="N26" s="44"/>
      <c r="P26" s="44"/>
      <c r="R26" s="608" t="s">
        <v>741</v>
      </c>
      <c r="S26" s="609"/>
      <c r="T26" s="580"/>
      <c r="U26" s="51">
        <v>0</v>
      </c>
      <c r="V26" s="51">
        <v>0</v>
      </c>
      <c r="W26" s="289"/>
      <c r="X26" s="291">
        <v>1000000</v>
      </c>
      <c r="AA26" s="15">
        <f>SUM(X18:X26)</f>
        <v>4986000</v>
      </c>
      <c r="AE26" s="383"/>
      <c r="AF26" s="614"/>
      <c r="AG26" s="615"/>
      <c r="AH26" s="616"/>
    </row>
    <row r="27" spans="2:35">
      <c r="B27" s="43"/>
      <c r="C27" s="43"/>
      <c r="D27" s="44" t="s">
        <v>531</v>
      </c>
      <c r="E27" s="293">
        <f>X14</f>
        <v>131300</v>
      </c>
      <c r="F27" s="43"/>
      <c r="G27" s="43"/>
      <c r="H27" s="43"/>
      <c r="I27" s="43"/>
      <c r="J27" s="43"/>
      <c r="K27" s="43"/>
      <c r="L27" s="43"/>
      <c r="M27" s="43"/>
      <c r="N27" s="44"/>
      <c r="P27" s="44"/>
      <c r="R27" s="668" t="s">
        <v>492</v>
      </c>
      <c r="S27" s="669"/>
      <c r="T27" s="580">
        <v>0</v>
      </c>
      <c r="U27" s="51">
        <v>0</v>
      </c>
      <c r="V27" s="51">
        <v>0</v>
      </c>
      <c r="W27" s="18" t="s">
        <v>545</v>
      </c>
      <c r="X27" s="292" t="s">
        <v>493</v>
      </c>
      <c r="AB27" t="s">
        <v>489</v>
      </c>
      <c r="AC27" t="s">
        <v>608</v>
      </c>
      <c r="AE27" s="383">
        <f>SUM(X18:X26)+18000000</f>
        <v>22986000</v>
      </c>
      <c r="AF27" s="305" t="s">
        <v>216</v>
      </c>
      <c r="AG27" s="306" t="s">
        <v>339</v>
      </c>
      <c r="AH27" s="307" t="s">
        <v>217</v>
      </c>
      <c r="AI27" s="301">
        <v>0.02</v>
      </c>
    </row>
    <row r="28" spans="2:35">
      <c r="B28" s="43"/>
      <c r="C28" s="43"/>
      <c r="D28" s="44" t="s">
        <v>151</v>
      </c>
      <c r="E28" s="293">
        <f>U14</f>
        <v>733500</v>
      </c>
      <c r="F28" s="43"/>
      <c r="G28" s="43"/>
      <c r="H28" s="43"/>
      <c r="I28" s="43"/>
      <c r="J28" s="43"/>
      <c r="K28" s="43"/>
      <c r="L28" s="43"/>
      <c r="M28" s="43"/>
      <c r="N28" s="44"/>
      <c r="P28" s="44"/>
      <c r="R28" s="204" t="s">
        <v>161</v>
      </c>
      <c r="S28" s="205"/>
      <c r="T28" s="606">
        <f>SUM(T18:T27)</f>
        <v>2567</v>
      </c>
      <c r="U28" s="214">
        <f>SUM(U18:U27)</f>
        <v>3102000</v>
      </c>
      <c r="V28" s="214">
        <f>SUM(V18:V27)</f>
        <v>1184000</v>
      </c>
      <c r="W28" s="215">
        <f>SUM(W18:W27)</f>
        <v>0</v>
      </c>
      <c r="X28" s="294" t="s">
        <v>742</v>
      </c>
      <c r="AB28">
        <v>0.01</v>
      </c>
      <c r="AC28">
        <f>(U28+V28)*AB28</f>
        <v>42860</v>
      </c>
      <c r="AE28" s="383">
        <f>SUM(X18:X26)+900000</f>
        <v>5886000</v>
      </c>
      <c r="AF28" s="308">
        <f>$X$18</f>
        <v>900000</v>
      </c>
      <c r="AG28" s="309">
        <v>900000</v>
      </c>
      <c r="AH28" s="310">
        <v>900000</v>
      </c>
      <c r="AI28" s="296" t="s">
        <v>483</v>
      </c>
    </row>
    <row r="29" spans="2:35">
      <c r="B29" s="43"/>
      <c r="C29" s="43"/>
      <c r="F29" s="43"/>
      <c r="G29" s="43"/>
      <c r="H29" s="43"/>
      <c r="I29" s="43"/>
      <c r="J29" s="43"/>
      <c r="K29" s="43"/>
      <c r="L29" s="43"/>
      <c r="M29" s="43"/>
      <c r="N29" s="44"/>
      <c r="P29" s="44"/>
      <c r="R29" s="44"/>
      <c r="S29" s="44"/>
      <c r="T29" s="44"/>
      <c r="U29" s="44"/>
      <c r="V29" s="44"/>
      <c r="W29" s="44"/>
      <c r="X29" s="44"/>
      <c r="AE29" s="383">
        <f>AVERAGE(AE27:AE28)</f>
        <v>14436000</v>
      </c>
      <c r="AF29" s="311">
        <f>U19+V19</f>
        <v>891000</v>
      </c>
      <c r="AG29" s="312">
        <v>1100000</v>
      </c>
      <c r="AH29" s="313">
        <v>1100000</v>
      </c>
    </row>
    <row r="30" spans="2:35">
      <c r="B30" s="43"/>
      <c r="C30" s="43"/>
      <c r="D30" s="43"/>
      <c r="E30" s="43"/>
      <c r="F30" s="43"/>
      <c r="G30" s="43"/>
      <c r="H30" s="43"/>
      <c r="I30" s="43"/>
      <c r="J30" s="43"/>
      <c r="K30" s="43"/>
      <c r="L30" s="43"/>
      <c r="M30" s="43"/>
      <c r="N30" s="44"/>
      <c r="P30" s="44"/>
      <c r="R30" s="45" t="s">
        <v>342</v>
      </c>
      <c r="S30" s="206"/>
      <c r="T30" s="46" t="s">
        <v>494</v>
      </c>
      <c r="U30" s="46"/>
      <c r="V30" s="46"/>
      <c r="W30" s="47"/>
      <c r="X30" s="46" t="s">
        <v>495</v>
      </c>
      <c r="Y30" s="207"/>
      <c r="Z30" s="455"/>
      <c r="AA30" s="456"/>
      <c r="AC30"/>
      <c r="AD30" t="s">
        <v>649</v>
      </c>
      <c r="AE30"/>
      <c r="AF30" s="311">
        <f>U20+V20</f>
        <v>200000</v>
      </c>
      <c r="AG30" s="312">
        <v>200000</v>
      </c>
      <c r="AH30" s="313">
        <v>200000</v>
      </c>
    </row>
    <row r="31" spans="2:35">
      <c r="B31" s="43"/>
      <c r="C31" s="43"/>
      <c r="D31" s="43"/>
      <c r="E31" s="43"/>
      <c r="F31" s="43"/>
      <c r="G31" s="43"/>
      <c r="H31" s="43"/>
      <c r="I31" s="43"/>
      <c r="J31" s="43"/>
      <c r="K31" s="43"/>
      <c r="L31" s="43"/>
      <c r="M31" s="43"/>
      <c r="N31" s="44"/>
      <c r="P31" s="44"/>
      <c r="R31" s="210"/>
      <c r="S31" s="211" t="s">
        <v>344</v>
      </c>
      <c r="T31" s="211" t="s">
        <v>708</v>
      </c>
      <c r="U31" s="208" t="s">
        <v>709</v>
      </c>
      <c r="V31" s="208" t="s">
        <v>543</v>
      </c>
      <c r="W31" s="208" t="s">
        <v>541</v>
      </c>
      <c r="X31" s="208" t="s">
        <v>497</v>
      </c>
      <c r="Y31" s="209" t="s">
        <v>541</v>
      </c>
      <c r="Z31" s="451"/>
      <c r="AA31" s="18" t="s">
        <v>654</v>
      </c>
      <c r="AC31"/>
      <c r="AD31"/>
      <c r="AE31"/>
      <c r="AF31" s="311">
        <f>U21+V21</f>
        <v>804000</v>
      </c>
      <c r="AG31" s="312">
        <v>804000</v>
      </c>
      <c r="AH31" s="313">
        <v>804000</v>
      </c>
    </row>
    <row r="32" spans="2:35">
      <c r="B32" s="43"/>
      <c r="C32" s="43"/>
      <c r="D32" s="43"/>
      <c r="E32" s="43"/>
      <c r="F32" s="43"/>
      <c r="G32" s="43"/>
      <c r="H32" s="43"/>
      <c r="I32" s="43"/>
      <c r="J32" s="43"/>
      <c r="K32" s="43"/>
      <c r="L32" s="43"/>
      <c r="M32" s="43"/>
      <c r="N32" s="44"/>
      <c r="P32" s="44"/>
      <c r="R32" s="661" t="s">
        <v>642</v>
      </c>
      <c r="S32" s="50" t="s">
        <v>345</v>
      </c>
      <c r="T32" s="196">
        <f>Fishery!D38+Fishery!D39</f>
        <v>0.28920000000000001</v>
      </c>
      <c r="U32" s="195" t="s">
        <v>286</v>
      </c>
      <c r="V32" s="195" t="s">
        <v>286</v>
      </c>
      <c r="W32" s="637" t="s">
        <v>544</v>
      </c>
      <c r="X32" s="461">
        <f>ROUND(T32*AD33,-2)</f>
        <v>33700</v>
      </c>
      <c r="Y32" s="652">
        <f>X62-X58</f>
        <v>207000</v>
      </c>
      <c r="Z32" s="452"/>
      <c r="AA32" s="463">
        <f>X32/AD$33</f>
        <v>0.28914599999999996</v>
      </c>
      <c r="AB32" t="s">
        <v>650</v>
      </c>
      <c r="AC32"/>
      <c r="AD32" s="15">
        <f>(SUM(T32:T33)*T42)/(1-SUM(T32:T33))</f>
        <v>41550.11655011656</v>
      </c>
      <c r="AE32"/>
      <c r="AF32" s="311">
        <f>U22+V22</f>
        <v>576000</v>
      </c>
      <c r="AG32" s="312">
        <v>576000</v>
      </c>
      <c r="AH32" s="313">
        <v>576000</v>
      </c>
    </row>
    <row r="33" spans="2:49">
      <c r="B33" s="43"/>
      <c r="C33" s="43"/>
      <c r="D33" s="43"/>
      <c r="E33" s="43"/>
      <c r="F33" s="43"/>
      <c r="G33" s="43"/>
      <c r="H33" s="43"/>
      <c r="I33" s="43"/>
      <c r="J33" s="43"/>
      <c r="K33" s="43"/>
      <c r="L33" s="43"/>
      <c r="M33" s="43"/>
      <c r="N33" s="44"/>
      <c r="P33" s="44"/>
      <c r="R33" s="662"/>
      <c r="S33" s="50" t="s">
        <v>347</v>
      </c>
      <c r="T33" s="196">
        <f>Fishery!D40</f>
        <v>6.7299999999999999E-2</v>
      </c>
      <c r="U33" s="195" t="s">
        <v>286</v>
      </c>
      <c r="V33" s="195" t="s">
        <v>286</v>
      </c>
      <c r="W33" s="638"/>
      <c r="X33" s="127">
        <f>ROUND(T33*AD33,-2)</f>
        <v>7800</v>
      </c>
      <c r="Y33" s="650"/>
      <c r="Z33" s="453"/>
      <c r="AA33" s="463">
        <f t="shared" ref="AA33:AA36" si="4">X33/AD$33</f>
        <v>6.6923999999999984E-2</v>
      </c>
      <c r="AB33" t="s">
        <v>651</v>
      </c>
      <c r="AC33"/>
      <c r="AD33" s="15">
        <f>AD32+T42</f>
        <v>116550.11655011657</v>
      </c>
      <c r="AE33"/>
      <c r="AF33" s="311">
        <f>U23+V23</f>
        <v>400000</v>
      </c>
      <c r="AG33" s="312">
        <v>400000</v>
      </c>
      <c r="AH33" s="313">
        <v>400000</v>
      </c>
    </row>
    <row r="34" spans="2:49">
      <c r="B34" s="43"/>
      <c r="C34" s="43"/>
      <c r="D34" s="43"/>
      <c r="E34" s="43"/>
      <c r="F34" s="43"/>
      <c r="G34" s="43"/>
      <c r="H34" s="43"/>
      <c r="I34" s="43"/>
      <c r="J34" s="43"/>
      <c r="K34" s="43"/>
      <c r="L34" s="43"/>
      <c r="M34" s="43"/>
      <c r="N34" s="44"/>
      <c r="P34" s="44"/>
      <c r="R34" s="662"/>
      <c r="S34" s="50" t="s">
        <v>557</v>
      </c>
      <c r="T34" s="196">
        <f>U34*(1-SUM(T$32:T$33))</f>
        <v>5.6597550950477575E-2</v>
      </c>
      <c r="U34" s="196">
        <f>run!AC46</f>
        <v>8.7952682129724291E-2</v>
      </c>
      <c r="V34" s="648" t="s">
        <v>526</v>
      </c>
      <c r="W34" s="638"/>
      <c r="X34" s="127">
        <f>ROUND(run!F46+run!G46+run!H46+run!L46+run!O46,-2)</f>
        <v>6700</v>
      </c>
      <c r="Y34" s="649">
        <f>X58</f>
        <v>153000</v>
      </c>
      <c r="Z34" s="453"/>
      <c r="AA34" s="463">
        <f t="shared" si="4"/>
        <v>5.7485999999999988E-2</v>
      </c>
      <c r="AB34" t="s">
        <v>652</v>
      </c>
      <c r="AC34"/>
      <c r="AD34" s="91">
        <f>SUM(T32:T33)</f>
        <v>0.35650000000000004</v>
      </c>
      <c r="AE34"/>
      <c r="AF34" s="311"/>
      <c r="AG34" s="312"/>
      <c r="AH34" s="313"/>
    </row>
    <row r="35" spans="2:49">
      <c r="B35" s="43"/>
      <c r="C35" s="43"/>
      <c r="D35" s="43"/>
      <c r="E35" s="43"/>
      <c r="F35" s="43"/>
      <c r="G35" s="43"/>
      <c r="H35" s="43"/>
      <c r="I35" s="43"/>
      <c r="J35" s="43"/>
      <c r="K35" s="43"/>
      <c r="L35" s="43"/>
      <c r="M35" s="43"/>
      <c r="N35" s="44"/>
      <c r="P35" s="44"/>
      <c r="R35" s="662"/>
      <c r="S35" s="48" t="s">
        <v>558</v>
      </c>
      <c r="T35" s="196">
        <f t="shared" ref="T35:T37" si="5">U35*(1-SUM(T$32:T$33))</f>
        <v>0.14267197696507936</v>
      </c>
      <c r="U35" s="459">
        <f>run!AD46</f>
        <v>0.22171247391620724</v>
      </c>
      <c r="V35" s="638"/>
      <c r="W35" s="638"/>
      <c r="X35" s="127">
        <f>ROUND(run!I46+run!M46+run!P46,-2)</f>
        <v>17400</v>
      </c>
      <c r="Y35" s="650"/>
      <c r="Z35" s="453"/>
      <c r="AA35" s="463">
        <f t="shared" si="4"/>
        <v>0.14929199999999998</v>
      </c>
      <c r="AB35" t="s">
        <v>653</v>
      </c>
      <c r="AC35"/>
      <c r="AD35" s="15">
        <f>AD33*AD34</f>
        <v>41550.11655011656</v>
      </c>
      <c r="AE35"/>
      <c r="AF35" s="311">
        <f>U24+V24</f>
        <v>500000</v>
      </c>
      <c r="AG35" s="312">
        <v>500000</v>
      </c>
      <c r="AH35" s="313">
        <v>500000</v>
      </c>
    </row>
    <row r="36" spans="2:49">
      <c r="B36" s="43"/>
      <c r="C36" s="43"/>
      <c r="D36" s="43"/>
      <c r="E36" s="43"/>
      <c r="F36" s="43"/>
      <c r="G36" s="43"/>
      <c r="H36" s="43"/>
      <c r="I36" s="43"/>
      <c r="J36" s="43"/>
      <c r="K36" s="43"/>
      <c r="L36" s="43"/>
      <c r="M36" s="43"/>
      <c r="N36" s="44"/>
      <c r="P36" s="44"/>
      <c r="R36" s="662"/>
      <c r="S36" s="48" t="s">
        <v>397</v>
      </c>
      <c r="T36" s="196">
        <f t="shared" si="5"/>
        <v>5.8534911234562843E-2</v>
      </c>
      <c r="U36" s="459">
        <f>run!AE46</f>
        <v>9.0963343021853688E-2</v>
      </c>
      <c r="V36" s="447"/>
      <c r="W36" s="638"/>
      <c r="X36" s="127">
        <f>ROUND(run!U46+run!V46,-2)</f>
        <v>7000</v>
      </c>
      <c r="Y36" s="650"/>
      <c r="Z36" s="453"/>
      <c r="AA36" s="463">
        <f t="shared" si="4"/>
        <v>6.0059999999999988E-2</v>
      </c>
      <c r="AC36"/>
      <c r="AD36"/>
      <c r="AE36"/>
      <c r="AF36" s="311">
        <f>U25+V25</f>
        <v>15000</v>
      </c>
      <c r="AG36" s="312">
        <v>15000</v>
      </c>
      <c r="AH36" s="313">
        <v>15000</v>
      </c>
    </row>
    <row r="37" spans="2:49">
      <c r="B37" s="43"/>
      <c r="C37" s="43"/>
      <c r="D37" s="43"/>
      <c r="E37" s="43"/>
      <c r="F37" s="43"/>
      <c r="G37" s="43"/>
      <c r="H37" s="43"/>
      <c r="I37" s="43"/>
      <c r="J37" s="43"/>
      <c r="K37" s="43"/>
      <c r="L37" s="43"/>
      <c r="M37" s="43"/>
      <c r="N37" s="44"/>
      <c r="P37" s="44"/>
      <c r="R37" s="662"/>
      <c r="S37" s="48" t="s">
        <v>434</v>
      </c>
      <c r="T37" s="196">
        <f t="shared" si="5"/>
        <v>0</v>
      </c>
      <c r="U37" s="421">
        <v>0</v>
      </c>
      <c r="V37" s="195" t="s">
        <v>286</v>
      </c>
      <c r="W37" s="638"/>
      <c r="X37" s="195" t="s">
        <v>286</v>
      </c>
      <c r="Y37" s="651"/>
      <c r="Z37" s="453"/>
      <c r="AA37" s="18"/>
      <c r="AC37"/>
      <c r="AE37"/>
      <c r="AF37" s="314">
        <f>ROUND(HarvestGoals_Calc!D16/Summary!AI27,-4)</f>
        <v>880000</v>
      </c>
      <c r="AG37" s="315">
        <f>ROUND(HarvestGoals_Calc!D19/Summary!AI27,-4)</f>
        <v>5800000</v>
      </c>
      <c r="AH37" s="316">
        <f>ROUND(HarvestGoals_Calc!D22/Summary!AI27,-4)</f>
        <v>17590000</v>
      </c>
      <c r="AI37" s="296" t="s">
        <v>488</v>
      </c>
    </row>
    <row r="38" spans="2:49">
      <c r="B38" s="43"/>
      <c r="C38" s="43"/>
      <c r="D38" s="43"/>
      <c r="E38" s="43"/>
      <c r="F38" s="43"/>
      <c r="G38" s="43"/>
      <c r="H38" s="43"/>
      <c r="I38" s="43"/>
      <c r="J38" s="43"/>
      <c r="K38" s="43"/>
      <c r="L38" s="43"/>
      <c r="M38" s="43"/>
      <c r="N38" s="44"/>
      <c r="P38" s="44"/>
      <c r="R38" s="663"/>
      <c r="S38" s="193" t="s">
        <v>162</v>
      </c>
      <c r="T38" s="490">
        <f>SUM(T32:T37)</f>
        <v>0.6143044391501199</v>
      </c>
      <c r="U38" s="490">
        <f>SUM(U32:U37)</f>
        <v>0.40062849906778519</v>
      </c>
      <c r="V38" s="194"/>
      <c r="W38" s="422" t="str">
        <f>W32</f>
        <v>40-80%</v>
      </c>
      <c r="X38" s="423">
        <f>SUM(X32:X37)</f>
        <v>72600</v>
      </c>
      <c r="Y38" s="509">
        <f>X62</f>
        <v>360000</v>
      </c>
      <c r="Z38" s="454"/>
      <c r="AA38" s="465">
        <f>AA32+AA33</f>
        <v>0.35606999999999994</v>
      </c>
      <c r="AB38" s="462"/>
      <c r="AC38" s="364">
        <f>SUM(T32:T33)</f>
        <v>0.35650000000000004</v>
      </c>
      <c r="AF38" s="317">
        <f>SUM(AF28:AF37)</f>
        <v>5166000</v>
      </c>
      <c r="AG38" s="318">
        <f t="shared" ref="AG38" si="6">SUM(AG28:AG37)</f>
        <v>10295000</v>
      </c>
      <c r="AH38" s="319">
        <f>SUM(AH28:AH37)</f>
        <v>22085000</v>
      </c>
    </row>
    <row r="39" spans="2:49">
      <c r="B39" s="43"/>
      <c r="C39" s="43"/>
      <c r="D39" s="43"/>
      <c r="E39" s="43"/>
      <c r="F39" s="43"/>
      <c r="G39" s="43"/>
      <c r="H39" s="43"/>
      <c r="I39" s="43"/>
      <c r="J39" s="43"/>
      <c r="K39" s="43"/>
      <c r="L39" s="43"/>
      <c r="M39" s="43"/>
      <c r="N39" s="44"/>
      <c r="P39" s="44"/>
      <c r="R39" s="601"/>
      <c r="S39" s="602"/>
      <c r="T39" s="603"/>
      <c r="U39" s="603"/>
      <c r="V39" s="454"/>
      <c r="W39" s="604"/>
      <c r="X39" s="605"/>
      <c r="Y39" s="605"/>
      <c r="Z39" s="454"/>
      <c r="AA39" s="465"/>
      <c r="AB39" s="462"/>
      <c r="AC39" s="364"/>
      <c r="AF39" s="590"/>
      <c r="AG39" s="590"/>
      <c r="AH39" s="590"/>
    </row>
    <row r="40" spans="2:49">
      <c r="B40" s="43"/>
      <c r="C40" s="43"/>
      <c r="D40" s="43"/>
      <c r="E40" s="43"/>
      <c r="F40" s="43"/>
      <c r="G40" s="43"/>
      <c r="H40" s="43"/>
      <c r="I40" s="43"/>
      <c r="J40" s="43"/>
      <c r="K40" s="43"/>
      <c r="L40" s="43"/>
      <c r="M40" s="43"/>
      <c r="N40" s="44"/>
      <c r="P40" s="44"/>
      <c r="R40" s="670" t="s">
        <v>499</v>
      </c>
      <c r="S40" s="671"/>
      <c r="T40" s="198" t="s">
        <v>647</v>
      </c>
      <c r="U40" s="547"/>
      <c r="V40" s="548" t="s">
        <v>500</v>
      </c>
      <c r="W40" s="549"/>
      <c r="X40" s="550"/>
      <c r="Y40" s="605"/>
      <c r="Z40" s="454"/>
      <c r="AA40" s="465"/>
      <c r="AB40" s="462"/>
      <c r="AC40" s="364"/>
      <c r="AF40" s="590"/>
      <c r="AG40" s="590"/>
      <c r="AH40" s="590"/>
    </row>
    <row r="41" spans="2:49">
      <c r="B41" s="43"/>
      <c r="C41" s="43"/>
      <c r="D41" s="43"/>
      <c r="E41" s="43"/>
      <c r="F41" s="43"/>
      <c r="G41" s="43"/>
      <c r="H41" s="43"/>
      <c r="I41" s="43"/>
      <c r="J41" s="43"/>
      <c r="K41" s="43"/>
      <c r="L41" s="43"/>
      <c r="M41" s="43"/>
      <c r="N41" s="44"/>
      <c r="P41" s="44"/>
      <c r="R41" s="672"/>
      <c r="S41" s="673"/>
      <c r="T41" s="551" t="s">
        <v>648</v>
      </c>
      <c r="U41" s="552"/>
      <c r="V41" s="200" t="s">
        <v>216</v>
      </c>
      <c r="W41" s="200" t="s">
        <v>339</v>
      </c>
      <c r="X41" s="199" t="s">
        <v>217</v>
      </c>
      <c r="Y41" s="605"/>
      <c r="Z41" s="454"/>
      <c r="AA41" s="465"/>
      <c r="AB41" s="462"/>
      <c r="AC41" s="364"/>
      <c r="AF41" s="590"/>
      <c r="AG41" s="590"/>
      <c r="AH41" s="590"/>
    </row>
    <row r="42" spans="2:49" ht="14.4" customHeight="1">
      <c r="B42" s="43"/>
      <c r="C42" s="43"/>
      <c r="D42" s="43"/>
      <c r="E42" s="43"/>
      <c r="F42" s="43"/>
      <c r="G42" s="44"/>
      <c r="H42" s="44"/>
      <c r="I42" s="44"/>
      <c r="J42" s="44"/>
      <c r="K42" s="44"/>
      <c r="L42" s="44"/>
      <c r="M42" s="44"/>
      <c r="N42" s="44"/>
      <c r="P42" s="44"/>
      <c r="R42" s="618" t="s">
        <v>431</v>
      </c>
      <c r="S42" s="619"/>
      <c r="T42" s="645">
        <f>ROUND(run!D46,-3)</f>
        <v>75000</v>
      </c>
      <c r="U42" s="646"/>
      <c r="V42" s="626">
        <f>V43+V44</f>
        <v>59000</v>
      </c>
      <c r="W42" s="626">
        <f t="shared" ref="W42:X42" si="7">W43+W44</f>
        <v>231000</v>
      </c>
      <c r="X42" s="627">
        <f t="shared" si="7"/>
        <v>374000</v>
      </c>
      <c r="Z42" s="452"/>
      <c r="AA42" s="464">
        <f>SUM(AA34:AA36)</f>
        <v>0.26683799999999996</v>
      </c>
      <c r="AB42" s="195"/>
      <c r="AC42" s="364">
        <f>SUM(T34:T36)</f>
        <v>0.2578044391501198</v>
      </c>
    </row>
    <row r="43" spans="2:49">
      <c r="B43" s="43"/>
      <c r="C43" s="43"/>
      <c r="D43" s="43"/>
      <c r="E43" s="43"/>
      <c r="F43" s="43"/>
      <c r="G43" s="43"/>
      <c r="H43" s="43"/>
      <c r="I43" s="43"/>
      <c r="J43" s="43"/>
      <c r="K43" s="43"/>
      <c r="L43" s="43"/>
      <c r="M43" s="43"/>
      <c r="N43" s="44"/>
      <c r="P43" s="44"/>
      <c r="R43" s="620"/>
      <c r="S43" s="621" t="s">
        <v>498</v>
      </c>
      <c r="T43" s="644">
        <f>T42-T44</f>
        <v>30000</v>
      </c>
      <c r="U43" s="647"/>
      <c r="V43" s="630">
        <f>ROUND(Conv!P14,-3)</f>
        <v>16000</v>
      </c>
      <c r="W43" s="630">
        <f>ROUND(Conv!T14,-3)</f>
        <v>139000</v>
      </c>
      <c r="X43" s="631">
        <f>ROUND(Conv!X14,-3)</f>
        <v>234000</v>
      </c>
      <c r="Z43" s="452"/>
      <c r="AA43" s="195"/>
      <c r="AB43" s="195"/>
      <c r="AF43" s="320" t="s">
        <v>342</v>
      </c>
      <c r="AG43" s="321"/>
      <c r="AH43" s="322"/>
      <c r="AI43" s="322"/>
      <c r="AJ43" s="323" t="s">
        <v>343</v>
      </c>
      <c r="AK43" s="324"/>
      <c r="AL43" s="325"/>
    </row>
    <row r="44" spans="2:49">
      <c r="B44" s="43"/>
      <c r="C44" s="43"/>
      <c r="D44" s="43"/>
      <c r="E44" s="43"/>
      <c r="F44" s="43"/>
      <c r="G44" s="43"/>
      <c r="H44" s="43"/>
      <c r="I44" s="43"/>
      <c r="J44" s="43"/>
      <c r="K44" s="43"/>
      <c r="L44" s="43"/>
      <c r="M44" s="43"/>
      <c r="N44" s="44"/>
      <c r="P44" s="44"/>
      <c r="R44" s="620"/>
      <c r="S44" s="621" t="s">
        <v>192</v>
      </c>
      <c r="T44" s="644">
        <f>T42*T45</f>
        <v>45000</v>
      </c>
      <c r="U44" s="647"/>
      <c r="V44" s="630">
        <f>ROUND(Conv!P41,-3)</f>
        <v>43000</v>
      </c>
      <c r="W44" s="630">
        <f>ROUND(Conv!T41,-3)</f>
        <v>92000</v>
      </c>
      <c r="X44" s="631">
        <f>ROUND(Conv!X41,-3)</f>
        <v>140000</v>
      </c>
      <c r="Z44" s="452"/>
      <c r="AA44" s="195"/>
      <c r="AB44" s="195"/>
      <c r="AF44" s="424"/>
      <c r="AG44" s="425"/>
      <c r="AH44" s="426"/>
      <c r="AI44" s="426"/>
      <c r="AJ44" s="427"/>
      <c r="AK44" s="428"/>
      <c r="AL44" s="429"/>
    </row>
    <row r="45" spans="2:49">
      <c r="B45" s="43"/>
      <c r="C45" s="43"/>
      <c r="D45" s="43"/>
      <c r="E45" s="43"/>
      <c r="F45" s="43"/>
      <c r="G45" s="43"/>
      <c r="H45" s="43"/>
      <c r="I45" s="43"/>
      <c r="J45" s="43"/>
      <c r="K45" s="43"/>
      <c r="L45" s="43"/>
      <c r="M45" s="43"/>
      <c r="N45" s="44"/>
      <c r="P45" s="44"/>
      <c r="R45" s="622"/>
      <c r="S45" s="623" t="s">
        <v>501</v>
      </c>
      <c r="T45" s="639">
        <v>0.6</v>
      </c>
      <c r="U45" s="639"/>
      <c r="V45" s="632">
        <f>V44/V42</f>
        <v>0.72881355932203384</v>
      </c>
      <c r="W45" s="632">
        <f t="shared" ref="W45:X45" si="8">W44/W42</f>
        <v>0.39826839826839827</v>
      </c>
      <c r="X45" s="633">
        <f t="shared" si="8"/>
        <v>0.37433155080213903</v>
      </c>
      <c r="Z45" s="453"/>
      <c r="AA45" s="489"/>
      <c r="AB45" s="18"/>
      <c r="AF45" s="326"/>
      <c r="AG45" s="327" t="s">
        <v>344</v>
      </c>
      <c r="AH45" s="328"/>
      <c r="AI45" s="329" t="s">
        <v>150</v>
      </c>
      <c r="AJ45" s="330" t="s">
        <v>216</v>
      </c>
      <c r="AK45" s="330" t="s">
        <v>339</v>
      </c>
      <c r="AL45" s="331" t="s">
        <v>217</v>
      </c>
    </row>
    <row r="46" spans="2:49" ht="15" customHeight="1">
      <c r="B46" s="43"/>
      <c r="C46" s="43"/>
      <c r="D46" s="43"/>
      <c r="E46" s="43"/>
      <c r="F46" s="43"/>
      <c r="G46" s="44"/>
      <c r="H46" s="44"/>
      <c r="I46" s="44"/>
      <c r="J46" s="44"/>
      <c r="K46" s="44"/>
      <c r="L46" s="44"/>
      <c r="M46" s="44"/>
      <c r="N46" s="44"/>
      <c r="P46" s="44"/>
      <c r="R46" s="624" t="s">
        <v>636</v>
      </c>
      <c r="S46" s="619"/>
      <c r="T46" s="645">
        <f>ROUND(run!K46,-2)</f>
        <v>69000</v>
      </c>
      <c r="U46" s="656"/>
      <c r="V46" s="626">
        <f>V47+V48</f>
        <v>54000</v>
      </c>
      <c r="W46" s="626">
        <f t="shared" ref="W46" si="9">W47+W48</f>
        <v>212000</v>
      </c>
      <c r="X46" s="627">
        <f t="shared" ref="X46" si="10">X47+X48</f>
        <v>343000</v>
      </c>
      <c r="Z46" s="453"/>
      <c r="AA46" s="448" t="s">
        <v>715</v>
      </c>
      <c r="AB46" s="18"/>
      <c r="AF46" s="634" t="s">
        <v>192</v>
      </c>
      <c r="AG46" s="339" t="s">
        <v>345</v>
      </c>
      <c r="AH46" s="340" t="s">
        <v>346</v>
      </c>
      <c r="AI46" s="341">
        <v>0.28899999999999998</v>
      </c>
      <c r="AJ46" s="341"/>
      <c r="AK46" s="341"/>
      <c r="AL46" s="341"/>
      <c r="AQ46"/>
      <c r="AR46"/>
      <c r="AS46"/>
      <c r="AT46"/>
      <c r="AU46"/>
      <c r="AV46"/>
      <c r="AW46"/>
    </row>
    <row r="47" spans="2:49">
      <c r="B47" s="43"/>
      <c r="C47" s="43"/>
      <c r="D47" s="43"/>
      <c r="E47" s="43"/>
      <c r="F47" s="43"/>
      <c r="G47" s="43"/>
      <c r="H47" s="43"/>
      <c r="I47" s="43"/>
      <c r="J47" s="43"/>
      <c r="K47" s="43"/>
      <c r="L47" s="43"/>
      <c r="M47" s="43"/>
      <c r="N47" s="44"/>
      <c r="P47" s="44"/>
      <c r="R47" s="620"/>
      <c r="S47" s="621" t="s">
        <v>498</v>
      </c>
      <c r="T47" s="644">
        <f>ROUND(T46-T48,-2)</f>
        <v>27600</v>
      </c>
      <c r="U47" s="647"/>
      <c r="V47" s="630">
        <f>ROUND(Conv!P11,-3)</f>
        <v>15000</v>
      </c>
      <c r="W47" s="630">
        <f>ROUND(Conv!T11,-3)</f>
        <v>128000</v>
      </c>
      <c r="X47" s="631">
        <f>ROUND(Conv!X11,-3)</f>
        <v>214000</v>
      </c>
      <c r="Z47" s="453"/>
      <c r="AA47" s="18"/>
      <c r="AB47" s="18"/>
      <c r="AF47" s="635"/>
      <c r="AG47" s="348"/>
      <c r="AH47" s="349"/>
      <c r="AI47" s="350"/>
      <c r="AJ47" s="350"/>
      <c r="AK47" s="350"/>
      <c r="AL47" s="350"/>
    </row>
    <row r="48" spans="2:49">
      <c r="B48" s="43"/>
      <c r="C48" s="43"/>
      <c r="D48" s="43"/>
      <c r="E48" s="43"/>
      <c r="F48" s="43"/>
      <c r="G48" s="43"/>
      <c r="H48" s="43"/>
      <c r="I48" s="43"/>
      <c r="J48" s="43"/>
      <c r="K48" s="43"/>
      <c r="L48" s="43"/>
      <c r="M48" s="43"/>
      <c r="N48" s="44"/>
      <c r="P48" s="44"/>
      <c r="R48" s="620"/>
      <c r="S48" s="621" t="s">
        <v>192</v>
      </c>
      <c r="T48" s="644">
        <f>ROUND(T46*T49,-2)</f>
        <v>41400</v>
      </c>
      <c r="U48" s="647"/>
      <c r="V48" s="630">
        <f>ROUND(Conv!P38,-3)</f>
        <v>39000</v>
      </c>
      <c r="W48" s="630">
        <f>ROUND(Conv!T38,-3)</f>
        <v>84000</v>
      </c>
      <c r="X48" s="631">
        <f>ROUND(Conv!X38,-3)</f>
        <v>129000</v>
      </c>
      <c r="Z48" s="454"/>
      <c r="AA48" s="449"/>
      <c r="AB48" s="462"/>
      <c r="AF48" s="635"/>
      <c r="AG48" s="348" t="s">
        <v>347</v>
      </c>
      <c r="AH48" s="349" t="s">
        <v>346</v>
      </c>
      <c r="AI48" s="350">
        <f>Fishery!E40</f>
        <v>6.7299999999999999E-2</v>
      </c>
      <c r="AJ48" s="350"/>
      <c r="AK48" s="350"/>
      <c r="AL48" s="350"/>
    </row>
    <row r="49" spans="2:49">
      <c r="B49" s="43"/>
      <c r="C49" s="43"/>
      <c r="D49" s="43"/>
      <c r="E49" s="43"/>
      <c r="F49" s="43"/>
      <c r="G49" s="44"/>
      <c r="H49" s="44"/>
      <c r="I49" s="44"/>
      <c r="J49" s="44"/>
      <c r="K49" s="44"/>
      <c r="L49" s="44"/>
      <c r="M49" s="44"/>
      <c r="N49" s="44"/>
      <c r="P49" s="44"/>
      <c r="R49" s="622"/>
      <c r="S49" s="623" t="s">
        <v>501</v>
      </c>
      <c r="T49" s="639">
        <v>0.6</v>
      </c>
      <c r="U49" s="639"/>
      <c r="V49" s="632">
        <f>V48/V46</f>
        <v>0.72222222222222221</v>
      </c>
      <c r="W49" s="632">
        <f t="shared" ref="W49" si="11">W48/W46</f>
        <v>0.39622641509433965</v>
      </c>
      <c r="X49" s="633">
        <f t="shared" ref="X49" si="12">X48/X46</f>
        <v>0.37609329446064138</v>
      </c>
      <c r="AD49" s="301"/>
      <c r="AF49" s="635"/>
      <c r="AG49" s="359" t="s">
        <v>348</v>
      </c>
      <c r="AH49" s="360" t="s">
        <v>346</v>
      </c>
      <c r="AI49" s="361">
        <f>SUM(Fishery!E41:E43)</f>
        <v>0.22021954419604997</v>
      </c>
      <c r="AJ49" s="361"/>
      <c r="AK49" s="361"/>
      <c r="AL49" s="361"/>
      <c r="AQ49"/>
      <c r="AR49"/>
      <c r="AS49"/>
      <c r="AT49"/>
      <c r="AU49"/>
      <c r="AV49"/>
      <c r="AW49"/>
    </row>
    <row r="50" spans="2:49">
      <c r="B50" s="43"/>
      <c r="C50" s="43"/>
      <c r="D50" s="43"/>
      <c r="E50" s="43"/>
      <c r="F50" s="43"/>
      <c r="G50" s="43"/>
      <c r="H50" s="43"/>
      <c r="I50" s="43"/>
      <c r="J50" s="43"/>
      <c r="K50" s="43"/>
      <c r="L50" s="43"/>
      <c r="M50" s="43"/>
      <c r="N50" s="44"/>
      <c r="P50" s="44"/>
      <c r="R50" s="624" t="s">
        <v>502</v>
      </c>
      <c r="S50" s="619"/>
      <c r="T50" s="645">
        <f>ROUND(run!Q46,-2)</f>
        <v>50400</v>
      </c>
      <c r="U50" s="656"/>
      <c r="V50" s="626">
        <f>V51+V52</f>
        <v>40000</v>
      </c>
      <c r="W50" s="626">
        <f t="shared" ref="W50" si="13">W51+W52</f>
        <v>156000</v>
      </c>
      <c r="X50" s="627">
        <f t="shared" ref="X50" si="14">X51+X52</f>
        <v>251000</v>
      </c>
      <c r="AD50" s="301"/>
      <c r="AF50" s="635"/>
      <c r="AG50" s="348" t="s">
        <v>434</v>
      </c>
      <c r="AH50" s="349" t="s">
        <v>349</v>
      </c>
      <c r="AI50" s="362">
        <v>0</v>
      </c>
      <c r="AJ50" s="363"/>
      <c r="AK50" s="363"/>
      <c r="AL50" s="363"/>
      <c r="AN50" s="364">
        <f>SUM(AI46:AI49)</f>
        <v>0.57651954419604989</v>
      </c>
    </row>
    <row r="51" spans="2:49">
      <c r="B51" s="43"/>
      <c r="C51" s="43"/>
      <c r="D51" s="43"/>
      <c r="E51" s="43"/>
      <c r="F51" s="43"/>
      <c r="G51" s="43"/>
      <c r="H51" s="43"/>
      <c r="I51" s="43"/>
      <c r="J51" s="43"/>
      <c r="K51" s="43"/>
      <c r="L51" s="43"/>
      <c r="M51" s="43"/>
      <c r="N51" s="44"/>
      <c r="P51" s="44"/>
      <c r="R51" s="620"/>
      <c r="S51" s="621" t="s">
        <v>498</v>
      </c>
      <c r="T51" s="644">
        <f>T50-T52</f>
        <v>20160</v>
      </c>
      <c r="U51" s="647"/>
      <c r="V51" s="630">
        <f>ROUND(Conv!P8,-3)</f>
        <v>11000</v>
      </c>
      <c r="W51" s="630">
        <f>ROUND(Conv!T8,-3)</f>
        <v>94000</v>
      </c>
      <c r="X51" s="631">
        <f>ROUND(Conv!X8,-3)</f>
        <v>157000</v>
      </c>
      <c r="AF51" s="635"/>
      <c r="AG51" s="653" t="s">
        <v>162</v>
      </c>
      <c r="AH51" s="365" t="s">
        <v>346</v>
      </c>
      <c r="AI51" s="366">
        <f>SUM(AI46:AI49)</f>
        <v>0.57651954419604989</v>
      </c>
      <c r="AJ51" s="367">
        <v>0.57999999999999996</v>
      </c>
      <c r="AK51" s="367">
        <v>0.57999999999999996</v>
      </c>
      <c r="AL51" s="368">
        <v>0.57999999999999996</v>
      </c>
    </row>
    <row r="52" spans="2:49">
      <c r="B52" s="43"/>
      <c r="C52" s="43"/>
      <c r="D52" s="43"/>
      <c r="E52" s="43"/>
      <c r="F52" s="43"/>
      <c r="G52" s="43"/>
      <c r="H52" s="43"/>
      <c r="I52" s="43"/>
      <c r="J52" s="43"/>
      <c r="K52" s="43"/>
      <c r="L52" s="43"/>
      <c r="M52" s="43"/>
      <c r="N52" s="44"/>
      <c r="P52" s="44"/>
      <c r="R52" s="620"/>
      <c r="S52" s="621" t="s">
        <v>192</v>
      </c>
      <c r="T52" s="644">
        <f>T50*T53</f>
        <v>30240</v>
      </c>
      <c r="U52" s="647"/>
      <c r="V52" s="630">
        <f>ROUND(Conv!P35,-3)</f>
        <v>29000</v>
      </c>
      <c r="W52" s="630">
        <f>ROUND(Conv!T35,-3)</f>
        <v>62000</v>
      </c>
      <c r="X52" s="631">
        <f>ROUND(Conv!X35,-3)</f>
        <v>94000</v>
      </c>
      <c r="AF52" s="636"/>
      <c r="AG52" s="654"/>
      <c r="AH52" s="372" t="s">
        <v>349</v>
      </c>
      <c r="AI52" s="373"/>
      <c r="AJ52" s="373"/>
      <c r="AK52" s="373"/>
      <c r="AL52" s="374"/>
    </row>
    <row r="53" spans="2:49">
      <c r="B53" s="43"/>
      <c r="C53" s="43"/>
      <c r="D53" s="43"/>
      <c r="E53" s="43"/>
      <c r="F53" s="43"/>
      <c r="G53" s="44"/>
      <c r="H53" s="44"/>
      <c r="I53" s="44"/>
      <c r="J53" s="44"/>
      <c r="K53" s="44"/>
      <c r="L53" s="44"/>
      <c r="M53" s="44"/>
      <c r="N53" s="44"/>
      <c r="P53" s="44"/>
      <c r="R53" s="622"/>
      <c r="S53" s="623" t="s">
        <v>501</v>
      </c>
      <c r="T53" s="639">
        <f>T45</f>
        <v>0.6</v>
      </c>
      <c r="U53" s="640"/>
      <c r="V53" s="632">
        <f>V52/V50</f>
        <v>0.72499999999999998</v>
      </c>
      <c r="W53" s="632">
        <f t="shared" ref="W53" si="15">W52/W50</f>
        <v>0.39743589743589741</v>
      </c>
      <c r="X53" s="633">
        <f t="shared" ref="X53" si="16">X52/X50</f>
        <v>0.37450199203187251</v>
      </c>
      <c r="AF53" s="378"/>
      <c r="AG53" s="379"/>
      <c r="AH53" s="372"/>
      <c r="AI53" s="373"/>
      <c r="AJ53" s="373"/>
      <c r="AK53" s="373"/>
      <c r="AL53" s="374"/>
      <c r="AQ53"/>
      <c r="AR53"/>
      <c r="AS53"/>
      <c r="AT53"/>
      <c r="AU53"/>
      <c r="AV53"/>
      <c r="AW53"/>
    </row>
    <row r="54" spans="2:49">
      <c r="B54" s="43"/>
      <c r="C54" s="43"/>
      <c r="D54" s="43"/>
      <c r="E54" s="43"/>
      <c r="F54" s="43"/>
      <c r="G54" s="43"/>
      <c r="H54" s="43"/>
      <c r="I54" s="43"/>
      <c r="J54" s="43"/>
      <c r="K54" s="43"/>
      <c r="L54" s="43"/>
      <c r="M54" s="43"/>
      <c r="N54" s="44"/>
      <c r="P54" s="44"/>
      <c r="R54" s="624" t="s">
        <v>638</v>
      </c>
      <c r="S54" s="619"/>
      <c r="T54" s="657">
        <f>ROUND(T55/(1-T57),-2)</f>
        <v>36300</v>
      </c>
      <c r="U54" s="645"/>
      <c r="V54" s="626">
        <f>V55+V56</f>
        <v>27000</v>
      </c>
      <c r="W54" s="626">
        <f t="shared" ref="W54" si="17">W55+W56</f>
        <v>106000</v>
      </c>
      <c r="X54" s="627">
        <f t="shared" ref="X54" si="18">X55+X56</f>
        <v>171000</v>
      </c>
      <c r="AF54" s="634" t="s">
        <v>191</v>
      </c>
      <c r="AG54" s="339" t="s">
        <v>345</v>
      </c>
      <c r="AH54" s="340" t="s">
        <v>346</v>
      </c>
      <c r="AI54" s="341">
        <f>AI46</f>
        <v>0.28899999999999998</v>
      </c>
      <c r="AJ54" s="380"/>
      <c r="AK54" s="381"/>
      <c r="AL54" s="382"/>
    </row>
    <row r="55" spans="2:49">
      <c r="B55" s="43"/>
      <c r="C55" s="43"/>
      <c r="D55" s="43"/>
      <c r="E55" s="43"/>
      <c r="F55" s="43"/>
      <c r="G55" s="43"/>
      <c r="H55" s="43"/>
      <c r="I55" s="43"/>
      <c r="J55" s="43"/>
      <c r="K55" s="43"/>
      <c r="L55" s="43"/>
      <c r="M55" s="43"/>
      <c r="N55" s="44"/>
      <c r="P55" s="44"/>
      <c r="R55" s="620"/>
      <c r="S55" s="621" t="s">
        <v>498</v>
      </c>
      <c r="T55" s="643">
        <f>ROUND(run!BO46,-2)</f>
        <v>14500</v>
      </c>
      <c r="U55" s="644"/>
      <c r="V55" s="630">
        <f>ROUND(Conv!P5,-3)</f>
        <v>7000</v>
      </c>
      <c r="W55" s="630">
        <f>ROUND(Conv!T5,-3)</f>
        <v>64000</v>
      </c>
      <c r="X55" s="631">
        <f>ROUND(Conv!X5,-3)</f>
        <v>107000</v>
      </c>
      <c r="AF55" s="635"/>
      <c r="AG55" s="348" t="s">
        <v>347</v>
      </c>
      <c r="AH55" s="349" t="s">
        <v>346</v>
      </c>
      <c r="AI55" s="350" t="s">
        <v>467</v>
      </c>
      <c r="AJ55" s="384"/>
      <c r="AK55" s="385"/>
      <c r="AL55" s="386"/>
    </row>
    <row r="56" spans="2:49" ht="14.4" customHeight="1">
      <c r="B56" s="44"/>
      <c r="C56" s="44"/>
      <c r="D56" s="44"/>
      <c r="E56" s="44"/>
      <c r="F56" s="44"/>
      <c r="G56" s="44"/>
      <c r="H56" s="44"/>
      <c r="I56" s="44"/>
      <c r="J56" s="44"/>
      <c r="K56" s="44"/>
      <c r="L56" s="44"/>
      <c r="M56" s="44"/>
      <c r="N56" s="44"/>
      <c r="P56" s="44"/>
      <c r="R56" s="620"/>
      <c r="S56" s="621" t="s">
        <v>192</v>
      </c>
      <c r="T56" s="643">
        <f>T54-T55</f>
        <v>21800</v>
      </c>
      <c r="U56" s="644"/>
      <c r="V56" s="630">
        <f>ROUND(Conv!P32,-3)</f>
        <v>20000</v>
      </c>
      <c r="W56" s="630">
        <f>ROUND(Conv!T32,-3)</f>
        <v>42000</v>
      </c>
      <c r="X56" s="631">
        <f>ROUND(Conv!X32,-3)</f>
        <v>64000</v>
      </c>
      <c r="AF56" s="635"/>
      <c r="AG56" s="359" t="s">
        <v>348</v>
      </c>
      <c r="AH56" s="360" t="s">
        <v>346</v>
      </c>
      <c r="AI56" s="361" t="s">
        <v>467</v>
      </c>
      <c r="AJ56" s="387"/>
      <c r="AK56" s="388"/>
      <c r="AL56" s="389"/>
    </row>
    <row r="57" spans="2:49">
      <c r="B57" s="43"/>
      <c r="C57" s="43"/>
      <c r="D57" s="44"/>
      <c r="E57" s="44"/>
      <c r="F57" s="43"/>
      <c r="G57" s="43"/>
      <c r="H57" s="43"/>
      <c r="I57" s="43"/>
      <c r="J57" s="43"/>
      <c r="K57" s="43"/>
      <c r="L57" s="43"/>
      <c r="M57" s="43"/>
      <c r="N57" s="44"/>
      <c r="P57" s="44"/>
      <c r="R57" s="622"/>
      <c r="S57" s="623" t="s">
        <v>501</v>
      </c>
      <c r="T57" s="639">
        <f>T49</f>
        <v>0.6</v>
      </c>
      <c r="U57" s="640"/>
      <c r="V57" s="632">
        <f>V56/V54</f>
        <v>0.7407407407407407</v>
      </c>
      <c r="W57" s="632">
        <f t="shared" ref="W57" si="19">W56/W54</f>
        <v>0.39622641509433965</v>
      </c>
      <c r="X57" s="633">
        <f t="shared" ref="X57" si="20">X56/X54</f>
        <v>0.3742690058479532</v>
      </c>
      <c r="AF57" s="635"/>
      <c r="AG57" s="390" t="s">
        <v>434</v>
      </c>
      <c r="AH57" s="391" t="s">
        <v>349</v>
      </c>
      <c r="AI57" s="392">
        <v>0</v>
      </c>
      <c r="AJ57" s="393"/>
      <c r="AK57" s="394"/>
      <c r="AL57" s="395"/>
    </row>
    <row r="58" spans="2:49">
      <c r="B58" s="43"/>
      <c r="C58" s="43"/>
      <c r="D58" s="44"/>
      <c r="E58" s="44"/>
      <c r="F58" s="43"/>
      <c r="G58" s="43"/>
      <c r="H58" s="43"/>
      <c r="I58" s="43"/>
      <c r="J58" s="43"/>
      <c r="K58" s="43"/>
      <c r="L58" s="43"/>
      <c r="M58" s="43"/>
      <c r="N58" s="44"/>
      <c r="P58" s="44"/>
      <c r="R58" s="624" t="s">
        <v>503</v>
      </c>
      <c r="S58" s="619"/>
      <c r="T58" s="641">
        <f>ROUND(run!W46,-2)</f>
        <v>31100</v>
      </c>
      <c r="U58" s="642"/>
      <c r="V58" s="626">
        <f>V59+V60</f>
        <v>25000</v>
      </c>
      <c r="W58" s="626">
        <f t="shared" ref="W58" si="21">W59+W60</f>
        <v>94000</v>
      </c>
      <c r="X58" s="627">
        <f t="shared" ref="X58" si="22">X59+X60</f>
        <v>153000</v>
      </c>
      <c r="AF58" s="635"/>
      <c r="AG58" s="653" t="s">
        <v>162</v>
      </c>
      <c r="AH58" s="365" t="s">
        <v>346</v>
      </c>
      <c r="AI58" s="366">
        <f>AI51</f>
        <v>0.57651954419604989</v>
      </c>
      <c r="AJ58" s="366">
        <f>AJ51</f>
        <v>0.57999999999999996</v>
      </c>
      <c r="AK58" s="366">
        <f>AK51</f>
        <v>0.57999999999999996</v>
      </c>
      <c r="AL58" s="396">
        <f>AL51</f>
        <v>0.57999999999999996</v>
      </c>
    </row>
    <row r="59" spans="2:49">
      <c r="B59" s="43"/>
      <c r="C59" s="43"/>
      <c r="D59" s="44"/>
      <c r="E59" s="44"/>
      <c r="F59" s="43"/>
      <c r="G59" s="43"/>
      <c r="H59" s="43"/>
      <c r="I59" s="43"/>
      <c r="J59" s="43"/>
      <c r="K59" s="43"/>
      <c r="L59" s="43"/>
      <c r="M59" s="43"/>
      <c r="N59" s="44"/>
      <c r="P59" s="44"/>
      <c r="R59" s="620"/>
      <c r="S59" s="621" t="s">
        <v>498</v>
      </c>
      <c r="T59" s="643">
        <f>ROUND(T58-T60,-2)</f>
        <v>12400</v>
      </c>
      <c r="U59" s="644"/>
      <c r="V59" s="630">
        <f>ROUND(Conv!Q18,-3)</f>
        <v>7000</v>
      </c>
      <c r="W59" s="630">
        <f>ROUND(Conv!U18,-3)</f>
        <v>57000</v>
      </c>
      <c r="X59" s="631">
        <f>ROUND(Conv!Y18,-3)</f>
        <v>96000</v>
      </c>
      <c r="AF59" s="635"/>
      <c r="AG59" s="655"/>
      <c r="AH59" s="397" t="s">
        <v>349</v>
      </c>
      <c r="AI59" s="397" t="s">
        <v>235</v>
      </c>
      <c r="AJ59" s="398">
        <f>SUM(AJ54:AJ56)</f>
        <v>0</v>
      </c>
      <c r="AK59" s="398">
        <f>SUM(AK54:AK56)</f>
        <v>0</v>
      </c>
      <c r="AL59" s="399"/>
    </row>
    <row r="60" spans="2:49" ht="14.4" customHeight="1">
      <c r="B60" s="43"/>
      <c r="C60" s="43"/>
      <c r="D60" s="44"/>
      <c r="E60" s="44"/>
      <c r="F60" s="43"/>
      <c r="G60" s="43"/>
      <c r="H60" s="43"/>
      <c r="I60" s="43"/>
      <c r="J60" s="43"/>
      <c r="K60" s="43"/>
      <c r="L60" s="43"/>
      <c r="M60" s="43"/>
      <c r="N60" s="44"/>
      <c r="P60" s="44"/>
      <c r="R60" s="620"/>
      <c r="S60" s="621" t="s">
        <v>192</v>
      </c>
      <c r="T60" s="643">
        <f>ROUND(T58*T61,-2)</f>
        <v>18700</v>
      </c>
      <c r="U60" s="644"/>
      <c r="V60" s="630">
        <f>ROUND(Conv!Q48,-3)</f>
        <v>18000</v>
      </c>
      <c r="W60" s="630">
        <f>ROUND(Conv!U48,-3)</f>
        <v>37000</v>
      </c>
      <c r="X60" s="631">
        <f>ROUND(Conv!Y48,-3)</f>
        <v>57000</v>
      </c>
      <c r="AF60" s="400" t="s">
        <v>481</v>
      </c>
      <c r="AG60" s="401" t="s">
        <v>468</v>
      </c>
      <c r="AH60" s="365" t="s">
        <v>349</v>
      </c>
      <c r="AI60" s="365"/>
      <c r="AJ60" s="402"/>
      <c r="AK60" s="402"/>
      <c r="AL60" s="403"/>
    </row>
    <row r="61" spans="2:49" ht="15" customHeight="1">
      <c r="B61" s="43"/>
      <c r="C61" s="43"/>
      <c r="D61" s="44"/>
      <c r="E61" s="44"/>
      <c r="F61" s="43"/>
      <c r="G61" s="43"/>
      <c r="H61" s="43"/>
      <c r="I61" s="43"/>
      <c r="J61" s="43"/>
      <c r="K61" s="43"/>
      <c r="L61" s="43"/>
      <c r="M61" s="43"/>
      <c r="N61" s="44"/>
      <c r="P61" s="44"/>
      <c r="R61" s="622"/>
      <c r="S61" s="623" t="s">
        <v>501</v>
      </c>
      <c r="T61" s="639">
        <v>0.6</v>
      </c>
      <c r="U61" s="640"/>
      <c r="V61" s="632">
        <f>V60/V58</f>
        <v>0.72</v>
      </c>
      <c r="W61" s="632">
        <f t="shared" ref="W61" si="23">W60/W58</f>
        <v>0.39361702127659576</v>
      </c>
      <c r="X61" s="633">
        <f t="shared" ref="X61" si="24">X60/X58</f>
        <v>0.37254901960784315</v>
      </c>
      <c r="AF61" s="404"/>
      <c r="AG61" s="405" t="s">
        <v>434</v>
      </c>
      <c r="AH61" s="406" t="s">
        <v>349</v>
      </c>
      <c r="AI61" s="406">
        <v>0</v>
      </c>
      <c r="AJ61" s="407" t="s">
        <v>484</v>
      </c>
      <c r="AK61" s="408"/>
      <c r="AL61" s="409" t="s">
        <v>485</v>
      </c>
    </row>
    <row r="62" spans="2:49">
      <c r="B62" s="43"/>
      <c r="C62" s="43"/>
      <c r="D62" s="44"/>
      <c r="E62" s="44"/>
      <c r="F62" s="43"/>
      <c r="G62" s="43"/>
      <c r="H62" s="43"/>
      <c r="I62" s="43"/>
      <c r="J62" s="43"/>
      <c r="K62" s="43"/>
      <c r="L62" s="43"/>
      <c r="M62" s="43"/>
      <c r="N62" s="44"/>
      <c r="P62" s="44"/>
      <c r="R62" s="624" t="s">
        <v>637</v>
      </c>
      <c r="S62" s="619"/>
      <c r="T62" s="641">
        <f>X38</f>
        <v>72600</v>
      </c>
      <c r="U62" s="642"/>
      <c r="V62" s="626">
        <f>V63+V64</f>
        <v>56000</v>
      </c>
      <c r="W62" s="626">
        <f t="shared" ref="W62" si="25">W63+W64</f>
        <v>222000</v>
      </c>
      <c r="X62" s="627">
        <f t="shared" ref="X62" si="26">X63+X64</f>
        <v>360000</v>
      </c>
      <c r="AA62">
        <f>0.4*T43</f>
        <v>12000</v>
      </c>
      <c r="AF62" s="410" t="s">
        <v>212</v>
      </c>
      <c r="AG62" s="411"/>
      <c r="AH62" s="411" t="s">
        <v>349</v>
      </c>
      <c r="AI62" s="412" t="s">
        <v>235</v>
      </c>
      <c r="AJ62" s="413">
        <f>AJ59+AJ52</f>
        <v>0</v>
      </c>
      <c r="AK62" s="413">
        <f>AK59+AK52</f>
        <v>0</v>
      </c>
      <c r="AL62" s="414"/>
    </row>
    <row r="63" spans="2:49">
      <c r="B63" s="43"/>
      <c r="C63" s="43"/>
      <c r="D63" s="44"/>
      <c r="E63" s="44"/>
      <c r="F63" s="43"/>
      <c r="G63" s="43"/>
      <c r="H63" s="43"/>
      <c r="I63" s="43"/>
      <c r="J63" s="43"/>
      <c r="K63" s="43"/>
      <c r="L63" s="43"/>
      <c r="M63" s="43"/>
      <c r="N63" s="44"/>
      <c r="P63" s="44"/>
      <c r="R63" s="620"/>
      <c r="S63" s="621" t="s">
        <v>498</v>
      </c>
      <c r="T63" s="643">
        <f>ROUND(T62-T64,-2)</f>
        <v>29000</v>
      </c>
      <c r="U63" s="644"/>
      <c r="V63" s="630">
        <f>ROUND(Conv!Q26,-3)</f>
        <v>15000</v>
      </c>
      <c r="W63" s="630">
        <f>ROUND(Conv!U26,-3)</f>
        <v>134000</v>
      </c>
      <c r="X63" s="631">
        <f>ROUND(Conv!Y26,-3)</f>
        <v>225000</v>
      </c>
    </row>
    <row r="64" spans="2:49">
      <c r="B64" s="43"/>
      <c r="C64" s="43"/>
      <c r="D64" s="44"/>
      <c r="E64" s="44"/>
      <c r="F64" s="43"/>
      <c r="G64" s="43"/>
      <c r="H64" s="43"/>
      <c r="I64" s="43"/>
      <c r="J64" s="43"/>
      <c r="K64" s="43"/>
      <c r="L64" s="43"/>
      <c r="M64" s="43"/>
      <c r="N64" s="44"/>
      <c r="P64" s="44"/>
      <c r="R64" s="620"/>
      <c r="S64" s="621" t="s">
        <v>192</v>
      </c>
      <c r="T64" s="643">
        <f>ROUND(T62*T65,-2)</f>
        <v>43600</v>
      </c>
      <c r="U64" s="644"/>
      <c r="V64" s="630">
        <f>ROUND(Conv!Q56,-3)</f>
        <v>41000</v>
      </c>
      <c r="W64" s="630">
        <f>ROUND(Conv!U56,-3)</f>
        <v>88000</v>
      </c>
      <c r="X64" s="631">
        <f>ROUND(Conv!Y56,-3)</f>
        <v>135000</v>
      </c>
      <c r="AD64" s="415">
        <f>0.02*AF38</f>
        <v>103320</v>
      </c>
      <c r="AE64" s="415">
        <f>0.02*AG38</f>
        <v>205900</v>
      </c>
      <c r="AF64" s="415">
        <f>0.02*AH38</f>
        <v>441700</v>
      </c>
      <c r="AG64" s="300">
        <v>0.02</v>
      </c>
      <c r="AH64" s="296" t="s">
        <v>489</v>
      </c>
    </row>
    <row r="65" spans="1:50">
      <c r="B65" s="44"/>
      <c r="C65" s="44"/>
      <c r="D65" s="44"/>
      <c r="E65" s="44"/>
      <c r="F65" s="44"/>
      <c r="G65" s="44"/>
      <c r="H65" s="44"/>
      <c r="I65" s="44"/>
      <c r="J65" s="44"/>
      <c r="K65" s="44"/>
      <c r="L65" s="44"/>
      <c r="M65" s="44"/>
      <c r="N65" s="44"/>
      <c r="P65" s="44"/>
      <c r="R65" s="622"/>
      <c r="S65" s="623" t="s">
        <v>501</v>
      </c>
      <c r="T65" s="639">
        <v>0.6</v>
      </c>
      <c r="U65" s="640"/>
      <c r="V65" s="632">
        <f>V64/V62</f>
        <v>0.7321428571428571</v>
      </c>
      <c r="W65" s="632">
        <f t="shared" ref="W65" si="27">W64/W62</f>
        <v>0.3963963963963964</v>
      </c>
      <c r="X65" s="633">
        <f t="shared" ref="X65" si="28">X64/X62</f>
        <v>0.375</v>
      </c>
    </row>
    <row r="66" spans="1:50">
      <c r="B66" s="44"/>
      <c r="C66" s="44"/>
      <c r="D66" s="44"/>
      <c r="E66" s="44"/>
      <c r="F66" s="44"/>
      <c r="G66" s="44"/>
      <c r="H66" s="44"/>
      <c r="I66" s="44"/>
      <c r="J66" s="44"/>
      <c r="K66" s="44"/>
      <c r="L66" s="44"/>
      <c r="M66" s="44"/>
      <c r="N66" s="44"/>
      <c r="P66" s="44"/>
      <c r="R66" s="44"/>
      <c r="S66" s="44"/>
      <c r="T66" s="44"/>
      <c r="U66" s="44"/>
      <c r="V66" s="44"/>
      <c r="W66" s="44"/>
      <c r="X66" s="44"/>
    </row>
    <row r="67" spans="1:50" ht="14.4" customHeight="1">
      <c r="B67" s="43"/>
      <c r="C67" s="43"/>
      <c r="D67" s="43"/>
      <c r="E67" s="43"/>
      <c r="F67" s="43"/>
      <c r="G67" s="43"/>
      <c r="H67" s="43"/>
      <c r="I67" s="43"/>
      <c r="J67" s="43"/>
      <c r="K67" s="43"/>
      <c r="L67" s="43"/>
      <c r="M67" s="43"/>
      <c r="N67" s="44"/>
      <c r="P67" s="44"/>
    </row>
    <row r="68" spans="1:50">
      <c r="B68" s="43"/>
      <c r="C68" s="43"/>
      <c r="D68" s="43"/>
      <c r="E68" s="43"/>
      <c r="F68" s="43"/>
      <c r="G68" s="43"/>
      <c r="H68" s="43"/>
      <c r="I68" s="43"/>
      <c r="J68" s="43"/>
      <c r="K68" s="43"/>
      <c r="L68" s="43"/>
      <c r="M68" s="43"/>
      <c r="N68" s="44"/>
      <c r="P68" s="44"/>
    </row>
    <row r="69" spans="1:50">
      <c r="B69" s="43"/>
      <c r="C69" s="43"/>
      <c r="D69" s="43"/>
      <c r="E69" s="43"/>
      <c r="F69" s="43"/>
      <c r="G69" s="43"/>
      <c r="H69" s="43"/>
      <c r="I69" s="43"/>
      <c r="J69" s="43"/>
      <c r="K69" s="43"/>
      <c r="L69" s="43"/>
      <c r="M69" s="43"/>
      <c r="N69" s="44"/>
      <c r="P69" s="44"/>
      <c r="R69" s="44"/>
      <c r="S69" s="44"/>
      <c r="T69" s="44"/>
      <c r="U69" s="44"/>
      <c r="V69" s="44"/>
      <c r="W69" s="44"/>
      <c r="X69" s="44"/>
    </row>
    <row r="70" spans="1:50">
      <c r="B70" s="43"/>
      <c r="C70" s="43"/>
      <c r="D70" s="43"/>
      <c r="E70" s="43"/>
      <c r="F70" s="43"/>
      <c r="G70" s="43"/>
      <c r="H70" s="43"/>
      <c r="I70" s="43"/>
      <c r="J70" s="43"/>
      <c r="K70" s="43"/>
      <c r="L70" s="43"/>
      <c r="M70" s="43"/>
      <c r="N70" s="44"/>
      <c r="P70" s="44"/>
    </row>
    <row r="71" spans="1:50">
      <c r="B71" s="43"/>
      <c r="C71" s="43"/>
      <c r="D71" s="43"/>
      <c r="E71" s="43"/>
      <c r="F71" s="43"/>
      <c r="G71" s="43"/>
      <c r="H71" s="43"/>
      <c r="I71" s="43"/>
      <c r="J71" s="43"/>
      <c r="K71" s="43"/>
      <c r="L71" s="43"/>
      <c r="M71" s="43"/>
      <c r="N71" s="44"/>
      <c r="P71" s="44"/>
    </row>
    <row r="72" spans="1:50" s="598" customFormat="1" ht="18">
      <c r="A72" s="591"/>
      <c r="B72" s="592"/>
      <c r="C72" s="592"/>
      <c r="D72" s="593" t="s">
        <v>162</v>
      </c>
      <c r="E72" s="594">
        <f>T38</f>
        <v>0.6143044391501199</v>
      </c>
      <c r="G72" s="592"/>
      <c r="H72" s="591"/>
      <c r="I72" s="592"/>
      <c r="J72" s="592"/>
      <c r="K72" s="595" t="s">
        <v>504</v>
      </c>
      <c r="L72" s="596"/>
      <c r="M72" s="597">
        <f>U28/1000000</f>
        <v>3.1019999999999999</v>
      </c>
      <c r="N72" s="600" t="s">
        <v>738</v>
      </c>
      <c r="O72" s="591"/>
      <c r="P72" s="591"/>
      <c r="Q72" s="591"/>
      <c r="Y72" s="591"/>
      <c r="Z72" s="591"/>
      <c r="AJ72" s="599"/>
      <c r="AK72" s="599"/>
      <c r="AL72" s="599"/>
      <c r="AM72" s="599"/>
      <c r="AN72" s="599"/>
      <c r="AO72" s="599"/>
      <c r="AP72" s="599"/>
      <c r="AQ72" s="599"/>
      <c r="AR72" s="599"/>
      <c r="AS72" s="599"/>
      <c r="AT72" s="599"/>
      <c r="AU72" s="599"/>
      <c r="AV72" s="599"/>
      <c r="AW72" s="599"/>
      <c r="AX72" s="599"/>
    </row>
    <row r="73" spans="1:50">
      <c r="B73" s="43"/>
      <c r="C73" s="43"/>
      <c r="D73" s="43"/>
      <c r="E73" s="43"/>
      <c r="F73" s="43"/>
      <c r="G73" s="43"/>
      <c r="H73" s="43"/>
      <c r="I73" s="43"/>
      <c r="J73" s="43"/>
      <c r="K73" s="43"/>
      <c r="L73" s="43"/>
      <c r="M73" s="43"/>
      <c r="N73" s="44"/>
      <c r="P73" s="44"/>
    </row>
    <row r="74" spans="1:50">
      <c r="B74" s="43"/>
      <c r="C74" s="43"/>
      <c r="D74" s="43"/>
      <c r="E74" s="43"/>
      <c r="F74" s="43"/>
      <c r="G74" s="43"/>
      <c r="H74" s="43"/>
      <c r="I74" s="43"/>
      <c r="J74" s="43"/>
      <c r="K74" s="43"/>
      <c r="L74" s="43"/>
      <c r="M74" s="43"/>
      <c r="N74" s="44"/>
      <c r="P74" s="44"/>
    </row>
    <row r="75" spans="1:50">
      <c r="B75"/>
      <c r="C75"/>
      <c r="D75"/>
      <c r="E75"/>
      <c r="F75"/>
      <c r="G75"/>
      <c r="H75"/>
      <c r="I75"/>
      <c r="J75"/>
      <c r="K75"/>
      <c r="L75"/>
      <c r="M75"/>
      <c r="O75"/>
    </row>
    <row r="111" spans="9:9">
      <c r="I111"/>
    </row>
    <row r="112" spans="9:9">
      <c r="I112"/>
    </row>
    <row r="113" spans="9:9">
      <c r="I113"/>
    </row>
    <row r="114" spans="9:9">
      <c r="I114"/>
    </row>
    <row r="115" spans="9:9">
      <c r="I115"/>
    </row>
    <row r="116" spans="9:9">
      <c r="I116"/>
    </row>
    <row r="117" spans="9:9">
      <c r="I117"/>
    </row>
    <row r="118" spans="9:9">
      <c r="I118"/>
    </row>
    <row r="119" spans="9:9">
      <c r="I119"/>
    </row>
    <row r="120" spans="9:9">
      <c r="I120"/>
    </row>
    <row r="121" spans="9:9">
      <c r="I121"/>
    </row>
    <row r="122" spans="9:9">
      <c r="I122"/>
    </row>
    <row r="123" spans="9:9">
      <c r="I123"/>
    </row>
    <row r="124" spans="9:9">
      <c r="I124"/>
    </row>
    <row r="125" spans="9:9">
      <c r="I125"/>
    </row>
    <row r="126" spans="9:9">
      <c r="I126"/>
    </row>
    <row r="127" spans="9:9">
      <c r="I127"/>
    </row>
    <row r="128" spans="9:9">
      <c r="I128"/>
    </row>
    <row r="129" spans="9:15">
      <c r="I129"/>
    </row>
    <row r="130" spans="9:15">
      <c r="I130"/>
    </row>
    <row r="131" spans="9:15">
      <c r="I131"/>
      <c r="J131" s="44"/>
    </row>
    <row r="132" spans="9:15">
      <c r="I132"/>
      <c r="J132" s="44"/>
      <c r="K132"/>
      <c r="L132"/>
      <c r="M132"/>
      <c r="O132"/>
    </row>
    <row r="133" spans="9:15">
      <c r="I133"/>
      <c r="J133" s="44"/>
      <c r="K133"/>
      <c r="L133"/>
      <c r="M133"/>
      <c r="O133"/>
    </row>
    <row r="134" spans="9:15">
      <c r="I134"/>
      <c r="J134" s="44"/>
      <c r="K134"/>
      <c r="L134"/>
      <c r="M134"/>
      <c r="O134"/>
    </row>
    <row r="135" spans="9:15">
      <c r="I135"/>
      <c r="J135" s="44"/>
      <c r="K135"/>
      <c r="L135"/>
      <c r="M135"/>
      <c r="O135"/>
    </row>
    <row r="136" spans="9:15">
      <c r="I136"/>
      <c r="J136" s="44"/>
      <c r="K136"/>
      <c r="L136"/>
      <c r="M136"/>
      <c r="O136"/>
    </row>
    <row r="137" spans="9:15">
      <c r="K137"/>
      <c r="L137"/>
      <c r="M137"/>
      <c r="O137"/>
    </row>
  </sheetData>
  <mergeCells count="45">
    <mergeCell ref="T48:U48"/>
    <mergeCell ref="T49:U49"/>
    <mergeCell ref="R6:R11"/>
    <mergeCell ref="R32:R38"/>
    <mergeCell ref="R21:S21"/>
    <mergeCell ref="R20:S20"/>
    <mergeCell ref="R19:S19"/>
    <mergeCell ref="R18:S18"/>
    <mergeCell ref="R27:S27"/>
    <mergeCell ref="R25:S25"/>
    <mergeCell ref="R24:S24"/>
    <mergeCell ref="R23:S23"/>
    <mergeCell ref="R22:S22"/>
    <mergeCell ref="R40:S41"/>
    <mergeCell ref="T46:U46"/>
    <mergeCell ref="T47:U47"/>
    <mergeCell ref="T62:U62"/>
    <mergeCell ref="T63:U63"/>
    <mergeCell ref="T64:U64"/>
    <mergeCell ref="T65:U65"/>
    <mergeCell ref="T60:U60"/>
    <mergeCell ref="T61:U61"/>
    <mergeCell ref="T50:U50"/>
    <mergeCell ref="T54:U54"/>
    <mergeCell ref="T55:U55"/>
    <mergeCell ref="T56:U56"/>
    <mergeCell ref="T51:U51"/>
    <mergeCell ref="T52:U52"/>
    <mergeCell ref="T53:U53"/>
    <mergeCell ref="AM5:AM9"/>
    <mergeCell ref="W32:W37"/>
    <mergeCell ref="T57:U57"/>
    <mergeCell ref="T58:U58"/>
    <mergeCell ref="T59:U59"/>
    <mergeCell ref="T42:U42"/>
    <mergeCell ref="T43:U43"/>
    <mergeCell ref="T44:U44"/>
    <mergeCell ref="T45:U45"/>
    <mergeCell ref="V34:V35"/>
    <mergeCell ref="Y34:Y37"/>
    <mergeCell ref="Y32:Y33"/>
    <mergeCell ref="AG51:AG52"/>
    <mergeCell ref="AF54:AF59"/>
    <mergeCell ref="AG58:AG59"/>
    <mergeCell ref="AF46:AF52"/>
  </mergeCells>
  <printOptions horizontalCentered="1"/>
  <pageMargins left="0.5" right="0.5" top="1" bottom="0.5" header="0.3" footer="0.3"/>
  <pageSetup scale="69" orientation="portrait" r:id="rId1"/>
  <headerFooter>
    <oddHeader>&amp;R&amp;D</oddHeader>
    <oddFooter>&amp;L&amp;F</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C11"/>
  <sheetViews>
    <sheetView zoomScale="80" zoomScaleNormal="80" workbookViewId="0">
      <selection activeCell="F10" sqref="F10:L15"/>
    </sheetView>
  </sheetViews>
  <sheetFormatPr defaultColWidth="52.109375" defaultRowHeight="14.4"/>
  <cols>
    <col min="3" max="3" width="54.5546875" customWidth="1"/>
    <col min="6" max="6" width="10.5546875" customWidth="1"/>
    <col min="7" max="7" width="17.88671875" bestFit="1" customWidth="1"/>
    <col min="8" max="8" width="16.5546875" customWidth="1"/>
    <col min="9" max="9" width="16" customWidth="1"/>
    <col min="10" max="10" width="14" customWidth="1"/>
    <col min="11" max="11" width="12.6640625" customWidth="1"/>
    <col min="12" max="12" width="20.109375" customWidth="1"/>
  </cols>
  <sheetData>
    <row r="3" spans="1:3" ht="15" thickBot="1"/>
    <row r="4" spans="1:3" ht="16.2" thickBot="1">
      <c r="A4" s="12" t="s">
        <v>207</v>
      </c>
      <c r="B4" s="13" t="s">
        <v>208</v>
      </c>
      <c r="C4" s="13" t="s">
        <v>209</v>
      </c>
    </row>
    <row r="5" spans="1:3" ht="60.6" customHeight="1" thickBot="1">
      <c r="A5" s="750" t="s">
        <v>204</v>
      </c>
      <c r="B5" s="8" t="s">
        <v>205</v>
      </c>
      <c r="C5" s="9" t="s">
        <v>206</v>
      </c>
    </row>
    <row r="6" spans="1:3" ht="60.6" customHeight="1" thickBot="1">
      <c r="A6" s="751"/>
      <c r="B6" s="10" t="s">
        <v>277</v>
      </c>
      <c r="C6" s="11" t="s">
        <v>275</v>
      </c>
    </row>
    <row r="7" spans="1:3" ht="18" thickBot="1">
      <c r="A7" s="752"/>
      <c r="B7" s="10" t="s">
        <v>211</v>
      </c>
      <c r="C7" s="11" t="s">
        <v>210</v>
      </c>
    </row>
    <row r="9" spans="1:3" ht="16.2" customHeight="1">
      <c r="A9" s="686" t="s">
        <v>276</v>
      </c>
      <c r="B9" s="686"/>
      <c r="C9" s="686"/>
    </row>
    <row r="10" spans="1:3">
      <c r="A10" s="686"/>
      <c r="B10" s="686"/>
      <c r="C10" s="686"/>
    </row>
    <row r="11" spans="1:3">
      <c r="A11" s="686"/>
      <c r="B11" s="686"/>
      <c r="C11" s="686"/>
    </row>
  </sheetData>
  <mergeCells count="2">
    <mergeCell ref="A5:A7"/>
    <mergeCell ref="A9:C1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C44"/>
  <sheetViews>
    <sheetView zoomScale="80" zoomScaleNormal="80" workbookViewId="0">
      <selection activeCell="I19" sqref="I19"/>
    </sheetView>
  </sheetViews>
  <sheetFormatPr defaultRowHeight="14.4"/>
  <cols>
    <col min="2" max="2" width="16.88671875" bestFit="1" customWidth="1"/>
    <col min="3" max="3" width="112.109375" bestFit="1" customWidth="1"/>
  </cols>
  <sheetData>
    <row r="3" spans="2:3">
      <c r="B3" s="3" t="s">
        <v>44</v>
      </c>
      <c r="C3" s="3" t="s">
        <v>45</v>
      </c>
    </row>
    <row r="4" spans="2:3" ht="27.6">
      <c r="B4" s="4" t="s">
        <v>46</v>
      </c>
      <c r="C4" s="4" t="s">
        <v>47</v>
      </c>
    </row>
    <row r="5" spans="2:3">
      <c r="B5" s="4" t="s">
        <v>1</v>
      </c>
      <c r="C5" s="4" t="s">
        <v>48</v>
      </c>
    </row>
    <row r="6" spans="2:3" ht="27.6">
      <c r="B6" s="4" t="s">
        <v>2</v>
      </c>
      <c r="C6" s="4" t="s">
        <v>49</v>
      </c>
    </row>
    <row r="7" spans="2:3" ht="41.4">
      <c r="B7" s="4" t="s">
        <v>50</v>
      </c>
      <c r="C7" s="4" t="s">
        <v>51</v>
      </c>
    </row>
    <row r="8" spans="2:3" ht="55.2">
      <c r="B8" s="4" t="s">
        <v>4</v>
      </c>
      <c r="C8" s="4" t="s">
        <v>52</v>
      </c>
    </row>
    <row r="9" spans="2:3" ht="27.6">
      <c r="B9" s="4" t="s">
        <v>53</v>
      </c>
      <c r="C9" s="4" t="s">
        <v>54</v>
      </c>
    </row>
    <row r="10" spans="2:3" ht="27.6">
      <c r="B10" s="4" t="s">
        <v>55</v>
      </c>
      <c r="C10" s="4" t="s">
        <v>54</v>
      </c>
    </row>
    <row r="11" spans="2:3" ht="27.6">
      <c r="B11" s="4" t="s">
        <v>56</v>
      </c>
      <c r="C11" s="4" t="s">
        <v>54</v>
      </c>
    </row>
    <row r="12" spans="2:3" ht="55.2">
      <c r="B12" s="4" t="s">
        <v>57</v>
      </c>
      <c r="C12" s="4" t="s">
        <v>58</v>
      </c>
    </row>
    <row r="13" spans="2:3" ht="27.6">
      <c r="B13" s="4" t="s">
        <v>59</v>
      </c>
      <c r="C13" s="4" t="s">
        <v>60</v>
      </c>
    </row>
    <row r="14" spans="2:3" ht="27.6">
      <c r="B14" s="4" t="s">
        <v>61</v>
      </c>
      <c r="C14" s="4" t="s">
        <v>62</v>
      </c>
    </row>
    <row r="15" spans="2:3">
      <c r="B15" s="4" t="s">
        <v>63</v>
      </c>
      <c r="C15" s="4" t="s">
        <v>64</v>
      </c>
    </row>
    <row r="16" spans="2:3" ht="27.6">
      <c r="B16" s="4" t="s">
        <v>65</v>
      </c>
      <c r="C16" s="4" t="s">
        <v>66</v>
      </c>
    </row>
    <row r="17" spans="2:3" ht="27.6">
      <c r="B17" s="4" t="s">
        <v>67</v>
      </c>
      <c r="C17" s="4" t="s">
        <v>68</v>
      </c>
    </row>
    <row r="18" spans="2:3" ht="27.6">
      <c r="B18" s="4" t="s">
        <v>69</v>
      </c>
      <c r="C18" s="4" t="s">
        <v>70</v>
      </c>
    </row>
    <row r="19" spans="2:3" ht="41.4">
      <c r="B19" s="4" t="s">
        <v>71</v>
      </c>
      <c r="C19" s="4" t="s">
        <v>72</v>
      </c>
    </row>
    <row r="20" spans="2:3" ht="41.4">
      <c r="B20" s="4" t="s">
        <v>73</v>
      </c>
      <c r="C20" s="4" t="s">
        <v>74</v>
      </c>
    </row>
    <row r="21" spans="2:3" ht="27.6">
      <c r="B21" s="4" t="s">
        <v>75</v>
      </c>
      <c r="C21" s="4" t="s">
        <v>76</v>
      </c>
    </row>
    <row r="22" spans="2:3" ht="55.2">
      <c r="B22" s="4" t="s">
        <v>11</v>
      </c>
      <c r="C22" s="4" t="s">
        <v>77</v>
      </c>
    </row>
    <row r="23" spans="2:3" ht="27.6">
      <c r="B23" s="4" t="s">
        <v>12</v>
      </c>
      <c r="C23" s="4" t="s">
        <v>78</v>
      </c>
    </row>
    <row r="24" spans="2:3">
      <c r="B24" s="4" t="s">
        <v>79</v>
      </c>
      <c r="C24" s="4" t="s">
        <v>80</v>
      </c>
    </row>
    <row r="25" spans="2:3" ht="55.2">
      <c r="B25" s="4" t="s">
        <v>81</v>
      </c>
      <c r="C25" s="4" t="s">
        <v>82</v>
      </c>
    </row>
    <row r="26" spans="2:3" ht="27.6">
      <c r="B26" s="4" t="s">
        <v>83</v>
      </c>
      <c r="C26" s="4" t="s">
        <v>84</v>
      </c>
    </row>
    <row r="27" spans="2:3">
      <c r="B27" s="4" t="s">
        <v>15</v>
      </c>
      <c r="C27" s="4" t="s">
        <v>85</v>
      </c>
    </row>
    <row r="28" spans="2:3" ht="27.6">
      <c r="B28" s="4" t="s">
        <v>16</v>
      </c>
      <c r="C28" s="4" t="s">
        <v>86</v>
      </c>
    </row>
    <row r="29" spans="2:3">
      <c r="B29" s="4" t="s">
        <v>17</v>
      </c>
      <c r="C29" s="4" t="s">
        <v>87</v>
      </c>
    </row>
    <row r="30" spans="2:3" ht="41.4">
      <c r="B30" s="4" t="s">
        <v>88</v>
      </c>
      <c r="C30" s="4" t="s">
        <v>89</v>
      </c>
    </row>
    <row r="31" spans="2:3" ht="41.4">
      <c r="B31" s="4" t="s">
        <v>19</v>
      </c>
      <c r="C31" s="4" t="s">
        <v>90</v>
      </c>
    </row>
    <row r="32" spans="2:3">
      <c r="B32" s="4" t="s">
        <v>91</v>
      </c>
      <c r="C32" s="4" t="s">
        <v>92</v>
      </c>
    </row>
    <row r="33" spans="2:3">
      <c r="B33" s="753" t="s">
        <v>93</v>
      </c>
      <c r="C33" s="754" t="s">
        <v>94</v>
      </c>
    </row>
    <row r="34" spans="2:3">
      <c r="B34" s="753"/>
      <c r="C34" s="754"/>
    </row>
    <row r="35" spans="2:3" ht="27.6">
      <c r="B35" s="4" t="s">
        <v>95</v>
      </c>
      <c r="C35" s="4" t="s">
        <v>96</v>
      </c>
    </row>
    <row r="36" spans="2:3" ht="27.6">
      <c r="B36" s="4" t="s">
        <v>20</v>
      </c>
      <c r="C36" s="4" t="s">
        <v>97</v>
      </c>
    </row>
    <row r="37" spans="2:3" ht="27.6">
      <c r="B37" s="4" t="s">
        <v>98</v>
      </c>
      <c r="C37" s="4" t="s">
        <v>99</v>
      </c>
    </row>
    <row r="38" spans="2:3" ht="27.6">
      <c r="B38" s="4" t="s">
        <v>100</v>
      </c>
      <c r="C38" s="4" t="s">
        <v>101</v>
      </c>
    </row>
    <row r="39" spans="2:3">
      <c r="B39" s="4" t="s">
        <v>102</v>
      </c>
      <c r="C39" s="4" t="s">
        <v>103</v>
      </c>
    </row>
    <row r="40" spans="2:3">
      <c r="B40" s="4" t="s">
        <v>21</v>
      </c>
      <c r="C40" s="4" t="s">
        <v>104</v>
      </c>
    </row>
    <row r="41" spans="2:3">
      <c r="B41" s="4" t="s">
        <v>105</v>
      </c>
      <c r="C41" s="4" t="s">
        <v>106</v>
      </c>
    </row>
    <row r="42" spans="2:3">
      <c r="B42" s="4" t="s">
        <v>107</v>
      </c>
      <c r="C42" s="4" t="s">
        <v>108</v>
      </c>
    </row>
    <row r="43" spans="2:3" ht="41.4">
      <c r="B43" s="4" t="s">
        <v>109</v>
      </c>
      <c r="C43" s="4" t="s">
        <v>110</v>
      </c>
    </row>
    <row r="44" spans="2:3" ht="41.4">
      <c r="B44" s="4" t="s">
        <v>111</v>
      </c>
      <c r="C44" s="4" t="s">
        <v>112</v>
      </c>
    </row>
  </sheetData>
  <mergeCells count="2">
    <mergeCell ref="B33:B34"/>
    <mergeCell ref="C33:C3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8"/>
  <sheetViews>
    <sheetView workbookViewId="0">
      <selection activeCell="F39" sqref="F39"/>
    </sheetView>
  </sheetViews>
  <sheetFormatPr defaultColWidth="9.109375" defaultRowHeight="13.2"/>
  <cols>
    <col min="1" max="1" width="12.44140625" style="2" bestFit="1" customWidth="1"/>
    <col min="2" max="2" width="8.5546875" style="2" bestFit="1" customWidth="1"/>
    <col min="3" max="3" width="11.33203125" style="2" bestFit="1" customWidth="1"/>
    <col min="4" max="4" width="9.44140625" style="2" bestFit="1" customWidth="1"/>
    <col min="5" max="5" width="13.88671875" style="2" bestFit="1" customWidth="1"/>
    <col min="6" max="6" width="63.6640625" style="2" bestFit="1" customWidth="1"/>
    <col min="7" max="7" width="51" style="2" bestFit="1" customWidth="1"/>
    <col min="8" max="8" width="14" style="2" bestFit="1" customWidth="1"/>
    <col min="9" max="9" width="14.6640625" style="2" bestFit="1" customWidth="1"/>
    <col min="10" max="10" width="11.5546875" style="2" bestFit="1" customWidth="1"/>
    <col min="11" max="11" width="12.33203125" style="2" bestFit="1" customWidth="1"/>
    <col min="12" max="12" width="71.44140625" style="2" bestFit="1" customWidth="1"/>
    <col min="13" max="13" width="193.33203125" style="2" bestFit="1" customWidth="1"/>
    <col min="14" max="14" width="9.5546875" style="2" bestFit="1" customWidth="1"/>
    <col min="15" max="15" width="47.33203125" style="2" bestFit="1" customWidth="1"/>
    <col min="16" max="16" width="9.33203125" style="2" bestFit="1" customWidth="1"/>
    <col min="17" max="17" width="30.88671875" style="2" bestFit="1" customWidth="1"/>
    <col min="18" max="18" width="20.6640625" style="2" bestFit="1" customWidth="1"/>
    <col min="19" max="19" width="17.6640625" style="2" bestFit="1" customWidth="1"/>
    <col min="20" max="16384" width="9.109375" style="2"/>
  </cols>
  <sheetData>
    <row r="1" spans="1:19" s="1" customFormat="1" ht="12.6">
      <c r="A1" s="1" t="s">
        <v>0</v>
      </c>
      <c r="B1" s="1" t="s">
        <v>1</v>
      </c>
      <c r="C1" s="1" t="s">
        <v>2</v>
      </c>
      <c r="D1" s="1" t="s">
        <v>3</v>
      </c>
      <c r="E1" s="1" t="s">
        <v>4</v>
      </c>
      <c r="F1" s="1" t="s">
        <v>5</v>
      </c>
      <c r="G1" s="1" t="s">
        <v>6</v>
      </c>
      <c r="H1" s="1" t="s">
        <v>7</v>
      </c>
      <c r="I1" s="1" t="s">
        <v>8</v>
      </c>
      <c r="J1" s="1" t="s">
        <v>9</v>
      </c>
      <c r="K1" s="1" t="s">
        <v>10</v>
      </c>
      <c r="L1" s="1" t="s">
        <v>12</v>
      </c>
      <c r="M1" s="1" t="s">
        <v>13</v>
      </c>
      <c r="N1" s="1" t="s">
        <v>14</v>
      </c>
      <c r="O1" s="1" t="s">
        <v>16</v>
      </c>
      <c r="P1" s="1" t="s">
        <v>17</v>
      </c>
      <c r="Q1" s="1" t="s">
        <v>18</v>
      </c>
      <c r="R1" s="1" t="s">
        <v>19</v>
      </c>
      <c r="S1" s="1" t="s">
        <v>114</v>
      </c>
    </row>
    <row r="2" spans="1:19">
      <c r="A2" s="2" t="s">
        <v>22</v>
      </c>
      <c r="B2" s="2" t="s">
        <v>23</v>
      </c>
      <c r="C2" s="2" t="s">
        <v>24</v>
      </c>
      <c r="D2" s="2" t="s">
        <v>25</v>
      </c>
      <c r="E2" s="2" t="s">
        <v>115</v>
      </c>
      <c r="F2" s="2" t="s">
        <v>26</v>
      </c>
      <c r="G2" s="2" t="s">
        <v>116</v>
      </c>
      <c r="H2" s="2">
        <v>2000</v>
      </c>
      <c r="J2" s="2" t="s">
        <v>27</v>
      </c>
      <c r="K2" s="2" t="b">
        <v>0</v>
      </c>
      <c r="L2" s="2" t="s">
        <v>117</v>
      </c>
      <c r="M2" s="2" t="s">
        <v>118</v>
      </c>
      <c r="N2" s="2">
        <v>2007</v>
      </c>
      <c r="O2" s="2" t="s">
        <v>119</v>
      </c>
      <c r="P2" s="2" t="s">
        <v>120</v>
      </c>
      <c r="Q2" s="2" t="s">
        <v>121</v>
      </c>
      <c r="R2" s="2" t="s">
        <v>122</v>
      </c>
      <c r="S2" s="2" t="s">
        <v>123</v>
      </c>
    </row>
    <row r="3" spans="1:19">
      <c r="A3" s="2" t="s">
        <v>22</v>
      </c>
      <c r="B3" s="2" t="s">
        <v>23</v>
      </c>
      <c r="C3" s="2" t="s">
        <v>24</v>
      </c>
      <c r="D3" s="2" t="s">
        <v>25</v>
      </c>
      <c r="E3" s="2" t="s">
        <v>115</v>
      </c>
      <c r="F3" s="2" t="s">
        <v>26</v>
      </c>
      <c r="G3" s="2" t="s">
        <v>28</v>
      </c>
      <c r="H3" s="2">
        <v>2000</v>
      </c>
      <c r="J3" s="2" t="s">
        <v>27</v>
      </c>
      <c r="K3" s="2" t="b">
        <v>0</v>
      </c>
      <c r="L3" s="2" t="s">
        <v>29</v>
      </c>
      <c r="M3" s="2" t="s">
        <v>30</v>
      </c>
      <c r="N3" s="2">
        <v>2007</v>
      </c>
      <c r="O3" s="2" t="s">
        <v>31</v>
      </c>
      <c r="P3" s="2" t="s">
        <v>120</v>
      </c>
      <c r="Q3" s="2" t="s">
        <v>121</v>
      </c>
      <c r="R3" s="2" t="s">
        <v>122</v>
      </c>
      <c r="S3" s="2" t="s">
        <v>123</v>
      </c>
    </row>
    <row r="4" spans="1:19">
      <c r="A4" s="2" t="s">
        <v>22</v>
      </c>
      <c r="B4" s="2" t="s">
        <v>23</v>
      </c>
      <c r="C4" s="2" t="s">
        <v>24</v>
      </c>
      <c r="D4" s="2" t="s">
        <v>25</v>
      </c>
      <c r="E4" s="2" t="s">
        <v>115</v>
      </c>
      <c r="F4" s="2" t="s">
        <v>26</v>
      </c>
      <c r="G4" s="2" t="s">
        <v>28</v>
      </c>
      <c r="H4" s="2">
        <v>2000</v>
      </c>
      <c r="J4" s="2" t="s">
        <v>27</v>
      </c>
      <c r="K4" s="2" t="b">
        <v>0</v>
      </c>
      <c r="L4" s="2" t="s">
        <v>32</v>
      </c>
      <c r="M4" s="2" t="s">
        <v>33</v>
      </c>
      <c r="N4" s="2">
        <v>2009</v>
      </c>
      <c r="O4" s="2" t="s">
        <v>34</v>
      </c>
      <c r="P4" s="2" t="s">
        <v>120</v>
      </c>
      <c r="Q4" s="2" t="s">
        <v>121</v>
      </c>
      <c r="R4" s="2" t="s">
        <v>122</v>
      </c>
      <c r="S4" s="2" t="s">
        <v>123</v>
      </c>
    </row>
    <row r="5" spans="1:19">
      <c r="A5" s="2" t="s">
        <v>22</v>
      </c>
      <c r="B5" s="2" t="s">
        <v>23</v>
      </c>
      <c r="C5" s="2" t="s">
        <v>24</v>
      </c>
      <c r="D5" s="2" t="s">
        <v>25</v>
      </c>
      <c r="E5" s="2" t="s">
        <v>115</v>
      </c>
      <c r="F5" s="2" t="s">
        <v>26</v>
      </c>
      <c r="G5" s="2" t="s">
        <v>42</v>
      </c>
      <c r="H5" s="2">
        <v>2000</v>
      </c>
      <c r="J5" s="2" t="s">
        <v>27</v>
      </c>
      <c r="K5" s="2" t="b">
        <v>0</v>
      </c>
      <c r="L5" s="2" t="s">
        <v>32</v>
      </c>
      <c r="M5" s="2" t="s">
        <v>33</v>
      </c>
      <c r="N5" s="2">
        <v>2009</v>
      </c>
      <c r="O5" s="2" t="s">
        <v>34</v>
      </c>
      <c r="P5" s="2" t="s">
        <v>120</v>
      </c>
      <c r="Q5" s="2" t="s">
        <v>121</v>
      </c>
      <c r="R5" s="2" t="s">
        <v>122</v>
      </c>
      <c r="S5" s="2" t="s">
        <v>123</v>
      </c>
    </row>
    <row r="6" spans="1:19">
      <c r="A6" s="2" t="s">
        <v>22</v>
      </c>
      <c r="B6" s="2" t="s">
        <v>23</v>
      </c>
      <c r="C6" s="2" t="s">
        <v>113</v>
      </c>
      <c r="D6" s="2" t="s">
        <v>124</v>
      </c>
      <c r="E6" s="2" t="s">
        <v>115</v>
      </c>
      <c r="F6" s="2" t="s">
        <v>26</v>
      </c>
      <c r="G6" s="2" t="s">
        <v>28</v>
      </c>
      <c r="H6" s="2">
        <v>1000</v>
      </c>
      <c r="J6" s="2" t="s">
        <v>27</v>
      </c>
      <c r="K6" s="2" t="b">
        <v>0</v>
      </c>
      <c r="L6" s="2" t="s">
        <v>125</v>
      </c>
      <c r="M6" s="2" t="s">
        <v>126</v>
      </c>
      <c r="N6" s="2">
        <v>2009</v>
      </c>
      <c r="O6" s="2" t="s">
        <v>127</v>
      </c>
      <c r="P6" s="2" t="s">
        <v>120</v>
      </c>
    </row>
    <row r="7" spans="1:19" ht="14.4">
      <c r="A7" s="2" t="s">
        <v>22</v>
      </c>
      <c r="B7" s="2" t="s">
        <v>23</v>
      </c>
      <c r="C7" s="2" t="s">
        <v>128</v>
      </c>
      <c r="D7" s="2" t="s">
        <v>124</v>
      </c>
      <c r="E7" s="2" t="s">
        <v>115</v>
      </c>
      <c r="F7" s="2" t="s">
        <v>36</v>
      </c>
      <c r="G7" s="2" t="s">
        <v>42</v>
      </c>
      <c r="H7" s="2">
        <v>2000</v>
      </c>
      <c r="J7" s="2" t="s">
        <v>27</v>
      </c>
      <c r="K7" s="2" t="b">
        <v>0</v>
      </c>
      <c r="L7" s="2" t="s">
        <v>32</v>
      </c>
      <c r="M7" s="14" t="s">
        <v>33</v>
      </c>
      <c r="N7" s="2">
        <v>2009</v>
      </c>
      <c r="O7" s="2" t="s">
        <v>34</v>
      </c>
      <c r="P7" s="2" t="s">
        <v>120</v>
      </c>
      <c r="Q7" s="2" t="s">
        <v>129</v>
      </c>
    </row>
    <row r="8" spans="1:19">
      <c r="A8" s="2" t="s">
        <v>22</v>
      </c>
      <c r="B8" s="2" t="s">
        <v>23</v>
      </c>
      <c r="C8" s="2" t="s">
        <v>128</v>
      </c>
      <c r="D8" s="2" t="s">
        <v>124</v>
      </c>
      <c r="E8" s="2" t="s">
        <v>115</v>
      </c>
      <c r="F8" s="2" t="s">
        <v>36</v>
      </c>
      <c r="G8" s="2" t="s">
        <v>40</v>
      </c>
      <c r="H8" s="2">
        <v>2000</v>
      </c>
      <c r="J8" s="2" t="s">
        <v>41</v>
      </c>
      <c r="K8" s="2" t="b">
        <v>0</v>
      </c>
      <c r="L8" s="2" t="s">
        <v>32</v>
      </c>
      <c r="M8" s="2" t="s">
        <v>33</v>
      </c>
      <c r="N8" s="2">
        <v>2009</v>
      </c>
      <c r="O8" s="2" t="s">
        <v>34</v>
      </c>
      <c r="P8" s="2" t="s">
        <v>120</v>
      </c>
      <c r="Q8" s="2" t="s">
        <v>129</v>
      </c>
    </row>
    <row r="10" spans="1:19">
      <c r="A10" s="2" t="s">
        <v>22</v>
      </c>
      <c r="B10" s="2" t="s">
        <v>23</v>
      </c>
      <c r="C10" s="2" t="s">
        <v>24</v>
      </c>
      <c r="D10" s="2" t="s">
        <v>25</v>
      </c>
      <c r="E10" s="2" t="s">
        <v>130</v>
      </c>
      <c r="F10" s="2" t="s">
        <v>26</v>
      </c>
      <c r="G10" s="2" t="s">
        <v>116</v>
      </c>
      <c r="H10" s="2">
        <v>2000</v>
      </c>
      <c r="J10" s="2" t="s">
        <v>27</v>
      </c>
      <c r="K10" s="2" t="b">
        <v>0</v>
      </c>
      <c r="L10" s="2" t="s">
        <v>117</v>
      </c>
      <c r="M10" s="2" t="s">
        <v>118</v>
      </c>
      <c r="N10" s="2">
        <v>2007</v>
      </c>
      <c r="O10" s="2" t="s">
        <v>119</v>
      </c>
      <c r="P10" s="2" t="s">
        <v>131</v>
      </c>
      <c r="Q10" s="2" t="s">
        <v>121</v>
      </c>
      <c r="R10" s="2" t="s">
        <v>122</v>
      </c>
      <c r="S10" s="2" t="s">
        <v>123</v>
      </c>
    </row>
    <row r="11" spans="1:19">
      <c r="A11" s="2" t="s">
        <v>22</v>
      </c>
      <c r="B11" s="2" t="s">
        <v>23</v>
      </c>
      <c r="C11" s="2" t="s">
        <v>24</v>
      </c>
      <c r="D11" s="2" t="s">
        <v>25</v>
      </c>
      <c r="E11" s="2" t="s">
        <v>130</v>
      </c>
      <c r="F11" s="2" t="s">
        <v>26</v>
      </c>
      <c r="G11" s="2" t="s">
        <v>28</v>
      </c>
      <c r="H11" s="2">
        <v>2000</v>
      </c>
      <c r="J11" s="2" t="s">
        <v>27</v>
      </c>
      <c r="K11" s="2" t="b">
        <v>0</v>
      </c>
      <c r="L11" s="2" t="s">
        <v>29</v>
      </c>
      <c r="M11" s="2" t="s">
        <v>30</v>
      </c>
      <c r="N11" s="2">
        <v>2007</v>
      </c>
      <c r="O11" s="2" t="s">
        <v>31</v>
      </c>
      <c r="P11" s="2" t="s">
        <v>131</v>
      </c>
      <c r="Q11" s="2" t="s">
        <v>121</v>
      </c>
      <c r="R11" s="2" t="s">
        <v>122</v>
      </c>
      <c r="S11" s="2" t="s">
        <v>123</v>
      </c>
    </row>
    <row r="12" spans="1:19">
      <c r="A12" s="2" t="s">
        <v>22</v>
      </c>
      <c r="B12" s="2" t="s">
        <v>23</v>
      </c>
      <c r="C12" s="2" t="s">
        <v>24</v>
      </c>
      <c r="D12" s="2" t="s">
        <v>25</v>
      </c>
      <c r="E12" s="2" t="s">
        <v>130</v>
      </c>
      <c r="F12" s="2" t="s">
        <v>26</v>
      </c>
      <c r="G12" s="2" t="s">
        <v>28</v>
      </c>
      <c r="H12" s="2">
        <v>2000</v>
      </c>
      <c r="J12" s="2" t="s">
        <v>27</v>
      </c>
      <c r="K12" s="2" t="b">
        <v>0</v>
      </c>
      <c r="L12" s="2" t="s">
        <v>32</v>
      </c>
      <c r="M12" s="2" t="s">
        <v>33</v>
      </c>
      <c r="N12" s="2">
        <v>2009</v>
      </c>
      <c r="O12" s="2" t="s">
        <v>34</v>
      </c>
      <c r="P12" s="2" t="s">
        <v>131</v>
      </c>
      <c r="Q12" s="2" t="s">
        <v>121</v>
      </c>
      <c r="R12" s="2" t="s">
        <v>122</v>
      </c>
      <c r="S12" s="2" t="s">
        <v>123</v>
      </c>
    </row>
    <row r="13" spans="1:19">
      <c r="A13" s="2" t="s">
        <v>22</v>
      </c>
      <c r="B13" s="2" t="s">
        <v>23</v>
      </c>
      <c r="C13" s="2" t="s">
        <v>24</v>
      </c>
      <c r="D13" s="2" t="s">
        <v>25</v>
      </c>
      <c r="E13" s="2" t="s">
        <v>130</v>
      </c>
      <c r="F13" s="2" t="s">
        <v>36</v>
      </c>
      <c r="G13" s="2" t="s">
        <v>40</v>
      </c>
      <c r="H13" s="2">
        <v>5500</v>
      </c>
      <c r="J13" s="2" t="s">
        <v>41</v>
      </c>
      <c r="K13" s="2" t="b">
        <v>0</v>
      </c>
      <c r="L13" s="2" t="s">
        <v>32</v>
      </c>
      <c r="M13" s="2" t="s">
        <v>33</v>
      </c>
      <c r="N13" s="2">
        <v>2009</v>
      </c>
      <c r="O13" s="2" t="s">
        <v>34</v>
      </c>
      <c r="P13" s="2" t="s">
        <v>131</v>
      </c>
      <c r="Q13" s="2" t="s">
        <v>121</v>
      </c>
      <c r="R13" s="2" t="s">
        <v>122</v>
      </c>
      <c r="S13" s="2" t="s">
        <v>123</v>
      </c>
    </row>
    <row r="14" spans="1:19">
      <c r="A14" s="2" t="s">
        <v>22</v>
      </c>
      <c r="B14" s="2" t="s">
        <v>23</v>
      </c>
      <c r="C14" s="2" t="s">
        <v>24</v>
      </c>
      <c r="D14" s="2" t="s">
        <v>25</v>
      </c>
      <c r="E14" s="2" t="s">
        <v>130</v>
      </c>
      <c r="F14" s="2" t="s">
        <v>36</v>
      </c>
      <c r="G14" s="2" t="s">
        <v>42</v>
      </c>
      <c r="H14" s="2">
        <v>4100</v>
      </c>
      <c r="J14" s="2" t="s">
        <v>27</v>
      </c>
      <c r="K14" s="2" t="b">
        <v>0</v>
      </c>
      <c r="L14" s="2" t="s">
        <v>32</v>
      </c>
      <c r="M14" s="2" t="s">
        <v>33</v>
      </c>
      <c r="N14" s="2">
        <v>2009</v>
      </c>
      <c r="O14" s="2" t="s">
        <v>34</v>
      </c>
      <c r="P14" s="2" t="s">
        <v>131</v>
      </c>
      <c r="Q14" s="2" t="s">
        <v>121</v>
      </c>
      <c r="R14" s="2" t="s">
        <v>122</v>
      </c>
      <c r="S14" s="2" t="s">
        <v>123</v>
      </c>
    </row>
    <row r="15" spans="1:19">
      <c r="A15" s="2" t="s">
        <v>22</v>
      </c>
      <c r="B15" s="2" t="s">
        <v>23</v>
      </c>
      <c r="C15" s="2" t="s">
        <v>128</v>
      </c>
      <c r="D15" s="2" t="s">
        <v>124</v>
      </c>
      <c r="E15" s="2" t="s">
        <v>130</v>
      </c>
      <c r="F15" s="2" t="s">
        <v>36</v>
      </c>
      <c r="G15" s="2" t="s">
        <v>40</v>
      </c>
      <c r="H15" s="2">
        <v>13500</v>
      </c>
      <c r="J15" s="2" t="s">
        <v>41</v>
      </c>
      <c r="K15" s="2" t="b">
        <v>0</v>
      </c>
      <c r="L15" s="2" t="s">
        <v>32</v>
      </c>
      <c r="M15" s="2" t="s">
        <v>33</v>
      </c>
      <c r="N15" s="2">
        <v>2009</v>
      </c>
      <c r="O15" s="2" t="s">
        <v>34</v>
      </c>
      <c r="P15" s="2" t="s">
        <v>131</v>
      </c>
      <c r="Q15" s="2" t="s">
        <v>129</v>
      </c>
    </row>
    <row r="17" spans="1:19">
      <c r="A17" s="2" t="s">
        <v>22</v>
      </c>
      <c r="B17" s="2" t="s">
        <v>23</v>
      </c>
      <c r="C17" s="2" t="s">
        <v>24</v>
      </c>
      <c r="D17" s="2" t="s">
        <v>25</v>
      </c>
      <c r="E17" s="2" t="s">
        <v>132</v>
      </c>
      <c r="F17" s="2" t="s">
        <v>36</v>
      </c>
      <c r="G17" s="2" t="s">
        <v>40</v>
      </c>
      <c r="H17" s="2">
        <v>300</v>
      </c>
      <c r="J17" s="2" t="s">
        <v>35</v>
      </c>
      <c r="K17" s="2" t="b">
        <v>0</v>
      </c>
      <c r="L17" s="2" t="s">
        <v>32</v>
      </c>
      <c r="M17" s="2" t="s">
        <v>33</v>
      </c>
      <c r="N17" s="2">
        <v>2009</v>
      </c>
      <c r="O17" s="2" t="s">
        <v>34</v>
      </c>
      <c r="P17" s="2" t="s">
        <v>133</v>
      </c>
      <c r="Q17" s="2" t="s">
        <v>121</v>
      </c>
      <c r="R17" s="2" t="s">
        <v>122</v>
      </c>
      <c r="S17" s="2" t="s">
        <v>123</v>
      </c>
    </row>
    <row r="18" spans="1:19">
      <c r="A18" s="2" t="s">
        <v>22</v>
      </c>
      <c r="B18" s="2" t="s">
        <v>23</v>
      </c>
      <c r="C18" s="2" t="s">
        <v>24</v>
      </c>
      <c r="D18" s="2" t="s">
        <v>25</v>
      </c>
      <c r="E18" s="2" t="s">
        <v>132</v>
      </c>
      <c r="F18" s="2" t="s">
        <v>26</v>
      </c>
      <c r="G18" s="2" t="s">
        <v>28</v>
      </c>
      <c r="H18" s="2">
        <v>750</v>
      </c>
      <c r="J18" s="2" t="s">
        <v>27</v>
      </c>
      <c r="K18" s="2" t="b">
        <v>0</v>
      </c>
      <c r="L18" s="2" t="s">
        <v>29</v>
      </c>
      <c r="M18" s="2" t="s">
        <v>30</v>
      </c>
      <c r="N18" s="2">
        <v>2007</v>
      </c>
      <c r="O18" s="2" t="s">
        <v>31</v>
      </c>
      <c r="P18" s="2" t="s">
        <v>133</v>
      </c>
      <c r="Q18" s="2" t="s">
        <v>121</v>
      </c>
      <c r="R18" s="2" t="s">
        <v>122</v>
      </c>
      <c r="S18" s="2" t="s">
        <v>123</v>
      </c>
    </row>
    <row r="19" spans="1:19">
      <c r="A19" s="2" t="s">
        <v>22</v>
      </c>
      <c r="B19" s="2" t="s">
        <v>23</v>
      </c>
      <c r="C19" s="2" t="s">
        <v>128</v>
      </c>
      <c r="D19" s="2" t="s">
        <v>124</v>
      </c>
      <c r="E19" s="2" t="s">
        <v>134</v>
      </c>
      <c r="F19" s="2" t="s">
        <v>36</v>
      </c>
      <c r="G19" s="2" t="s">
        <v>40</v>
      </c>
      <c r="H19" s="2">
        <v>3500</v>
      </c>
      <c r="J19" s="2" t="s">
        <v>27</v>
      </c>
      <c r="K19" s="2" t="b">
        <v>0</v>
      </c>
      <c r="L19" s="2" t="s">
        <v>32</v>
      </c>
      <c r="M19" s="2" t="s">
        <v>33</v>
      </c>
      <c r="N19" s="2">
        <v>2009</v>
      </c>
      <c r="O19" s="2" t="s">
        <v>34</v>
      </c>
      <c r="P19" s="2" t="s">
        <v>133</v>
      </c>
    </row>
    <row r="20" spans="1:19">
      <c r="A20" s="2" t="s">
        <v>22</v>
      </c>
      <c r="B20" s="2" t="s">
        <v>23</v>
      </c>
      <c r="C20" s="2" t="s">
        <v>128</v>
      </c>
      <c r="D20" s="2" t="s">
        <v>124</v>
      </c>
      <c r="E20" s="2" t="s">
        <v>134</v>
      </c>
      <c r="F20" s="2" t="s">
        <v>36</v>
      </c>
      <c r="G20" s="2" t="s">
        <v>42</v>
      </c>
      <c r="H20" s="2">
        <v>6915</v>
      </c>
      <c r="J20" s="2" t="s">
        <v>27</v>
      </c>
      <c r="K20" s="2" t="b">
        <v>0</v>
      </c>
      <c r="L20" s="2" t="s">
        <v>135</v>
      </c>
      <c r="M20" s="2" t="s">
        <v>136</v>
      </c>
      <c r="N20" s="2">
        <v>2016</v>
      </c>
      <c r="O20" s="2" t="s">
        <v>137</v>
      </c>
      <c r="P20" s="2" t="s">
        <v>133</v>
      </c>
    </row>
    <row r="21" spans="1:19">
      <c r="A21" s="2" t="s">
        <v>22</v>
      </c>
      <c r="B21" s="2" t="s">
        <v>23</v>
      </c>
      <c r="C21" s="2" t="s">
        <v>128</v>
      </c>
      <c r="D21" s="2" t="s">
        <v>124</v>
      </c>
      <c r="E21" s="2" t="s">
        <v>134</v>
      </c>
      <c r="F21" s="2" t="s">
        <v>26</v>
      </c>
      <c r="G21" s="2" t="s">
        <v>138</v>
      </c>
      <c r="H21" s="2">
        <v>2000</v>
      </c>
      <c r="J21" s="2" t="s">
        <v>27</v>
      </c>
      <c r="K21" s="2" t="b">
        <v>0</v>
      </c>
      <c r="L21" s="2" t="s">
        <v>125</v>
      </c>
      <c r="M21" s="2" t="s">
        <v>126</v>
      </c>
      <c r="N21" s="2">
        <v>2009</v>
      </c>
      <c r="O21" s="2" t="s">
        <v>127</v>
      </c>
      <c r="P21" s="2" t="s">
        <v>133</v>
      </c>
    </row>
    <row r="22" spans="1:19">
      <c r="A22" s="2" t="s">
        <v>22</v>
      </c>
      <c r="B22" s="2" t="s">
        <v>23</v>
      </c>
      <c r="C22" s="2" t="s">
        <v>128</v>
      </c>
      <c r="D22" s="2" t="s">
        <v>124</v>
      </c>
      <c r="E22" s="2" t="s">
        <v>134</v>
      </c>
      <c r="F22" s="2" t="s">
        <v>36</v>
      </c>
      <c r="G22" s="2" t="s">
        <v>37</v>
      </c>
      <c r="H22" s="2">
        <v>6750</v>
      </c>
      <c r="J22" s="2" t="s">
        <v>35</v>
      </c>
      <c r="K22" s="2" t="b">
        <v>0</v>
      </c>
      <c r="L22" s="2" t="s">
        <v>139</v>
      </c>
      <c r="M22" s="2" t="s">
        <v>43</v>
      </c>
      <c r="N22" s="2">
        <v>2016</v>
      </c>
      <c r="O22" s="2" t="s">
        <v>140</v>
      </c>
      <c r="P22" s="2" t="s">
        <v>133</v>
      </c>
    </row>
    <row r="23" spans="1:19" ht="14.4">
      <c r="A23" s="2" t="s">
        <v>22</v>
      </c>
      <c r="B23" s="2" t="s">
        <v>23</v>
      </c>
      <c r="C23" s="2" t="s">
        <v>128</v>
      </c>
      <c r="D23" s="2" t="s">
        <v>124</v>
      </c>
      <c r="E23" s="2" t="s">
        <v>134</v>
      </c>
      <c r="F23" s="2" t="s">
        <v>38</v>
      </c>
      <c r="G23" s="2" t="s">
        <v>39</v>
      </c>
      <c r="H23" s="2">
        <v>15700</v>
      </c>
      <c r="J23" s="2" t="s">
        <v>35</v>
      </c>
      <c r="K23" s="2" t="b">
        <v>0</v>
      </c>
      <c r="L23" s="2" t="s">
        <v>141</v>
      </c>
      <c r="M23" s="14" t="s">
        <v>142</v>
      </c>
      <c r="N23" s="2">
        <v>2015</v>
      </c>
      <c r="O23" s="2" t="s">
        <v>143</v>
      </c>
      <c r="P23" s="2" t="s">
        <v>133</v>
      </c>
    </row>
    <row r="25" spans="1:19">
      <c r="A25" s="2" t="s">
        <v>22</v>
      </c>
      <c r="B25" s="2" t="s">
        <v>23</v>
      </c>
      <c r="C25" s="2" t="s">
        <v>24</v>
      </c>
      <c r="D25" s="2" t="s">
        <v>25</v>
      </c>
      <c r="E25" s="2" t="s">
        <v>144</v>
      </c>
      <c r="F25" s="2" t="s">
        <v>26</v>
      </c>
      <c r="G25" s="2" t="s">
        <v>28</v>
      </c>
      <c r="H25" s="2">
        <v>500</v>
      </c>
      <c r="J25" s="2" t="s">
        <v>27</v>
      </c>
      <c r="K25" s="2" t="b">
        <v>0</v>
      </c>
      <c r="L25" s="2" t="s">
        <v>32</v>
      </c>
      <c r="M25" s="2" t="s">
        <v>33</v>
      </c>
      <c r="N25" s="2">
        <v>2009</v>
      </c>
      <c r="O25" s="2" t="s">
        <v>34</v>
      </c>
      <c r="P25" s="2" t="s">
        <v>145</v>
      </c>
      <c r="Q25" s="2" t="s">
        <v>121</v>
      </c>
      <c r="R25" s="2" t="s">
        <v>122</v>
      </c>
      <c r="S25" s="2" t="s">
        <v>123</v>
      </c>
    </row>
    <row r="26" spans="1:19">
      <c r="A26" s="2" t="s">
        <v>22</v>
      </c>
      <c r="B26" s="2" t="s">
        <v>23</v>
      </c>
      <c r="C26" s="2" t="s">
        <v>24</v>
      </c>
      <c r="D26" s="2" t="s">
        <v>25</v>
      </c>
      <c r="E26" s="2" t="s">
        <v>144</v>
      </c>
      <c r="F26" s="2" t="s">
        <v>26</v>
      </c>
      <c r="G26" s="2" t="s">
        <v>42</v>
      </c>
      <c r="H26" s="2">
        <v>500</v>
      </c>
      <c r="J26" s="2" t="s">
        <v>27</v>
      </c>
      <c r="K26" s="2" t="b">
        <v>0</v>
      </c>
      <c r="L26" s="2" t="s">
        <v>32</v>
      </c>
      <c r="M26" s="2" t="s">
        <v>33</v>
      </c>
      <c r="N26" s="2">
        <v>2009</v>
      </c>
      <c r="O26" s="2" t="s">
        <v>34</v>
      </c>
      <c r="P26" s="2" t="s">
        <v>145</v>
      </c>
      <c r="Q26" s="2" t="s">
        <v>121</v>
      </c>
      <c r="R26" s="2" t="s">
        <v>122</v>
      </c>
      <c r="S26" s="2" t="s">
        <v>123</v>
      </c>
    </row>
    <row r="27" spans="1:19">
      <c r="A27" s="2" t="s">
        <v>22</v>
      </c>
      <c r="B27" s="2" t="s">
        <v>23</v>
      </c>
      <c r="C27" s="2" t="s">
        <v>24</v>
      </c>
      <c r="D27" s="2" t="s">
        <v>25</v>
      </c>
      <c r="E27" s="2" t="s">
        <v>144</v>
      </c>
      <c r="F27" s="2" t="s">
        <v>26</v>
      </c>
      <c r="G27" s="2" t="s">
        <v>116</v>
      </c>
      <c r="H27" s="2">
        <v>500</v>
      </c>
      <c r="J27" s="2" t="s">
        <v>27</v>
      </c>
      <c r="K27" s="2" t="b">
        <v>0</v>
      </c>
      <c r="L27" s="2" t="s">
        <v>117</v>
      </c>
      <c r="M27" s="2" t="s">
        <v>118</v>
      </c>
      <c r="N27" s="2">
        <v>2007</v>
      </c>
      <c r="O27" s="2" t="s">
        <v>119</v>
      </c>
      <c r="P27" s="2" t="s">
        <v>145</v>
      </c>
      <c r="Q27" s="2" t="s">
        <v>121</v>
      </c>
      <c r="R27" s="2" t="s">
        <v>122</v>
      </c>
      <c r="S27" s="2" t="s">
        <v>123</v>
      </c>
    </row>
    <row r="28" spans="1:19" ht="14.4">
      <c r="A28" s="2" t="s">
        <v>22</v>
      </c>
      <c r="B28" s="2" t="s">
        <v>23</v>
      </c>
      <c r="C28" s="2" t="s">
        <v>24</v>
      </c>
      <c r="D28" s="2" t="s">
        <v>25</v>
      </c>
      <c r="E28" s="2" t="s">
        <v>144</v>
      </c>
      <c r="F28" s="2" t="s">
        <v>26</v>
      </c>
      <c r="G28" s="2" t="s">
        <v>28</v>
      </c>
      <c r="H28" s="2">
        <v>500</v>
      </c>
      <c r="J28" s="2" t="s">
        <v>27</v>
      </c>
      <c r="K28" s="2" t="b">
        <v>0</v>
      </c>
      <c r="L28" s="2" t="s">
        <v>29</v>
      </c>
      <c r="M28" s="14" t="s">
        <v>30</v>
      </c>
      <c r="N28" s="2">
        <v>2007</v>
      </c>
      <c r="O28" s="2" t="s">
        <v>31</v>
      </c>
      <c r="P28" s="2" t="s">
        <v>145</v>
      </c>
      <c r="Q28" s="2" t="s">
        <v>121</v>
      </c>
      <c r="R28" s="2" t="s">
        <v>122</v>
      </c>
      <c r="S28" s="2" t="s">
        <v>123</v>
      </c>
    </row>
  </sheetData>
  <hyperlinks>
    <hyperlink ref="M7" r:id="rId1" xr:uid="{00000000-0004-0000-0800-000000000000}"/>
    <hyperlink ref="M23" r:id="rId2" xr:uid="{00000000-0004-0000-0A00-000000000000}"/>
    <hyperlink ref="M28" r:id="rId3" xr:uid="{00000000-0004-0000-0B00-000000000000}"/>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207A-B39D-48DC-8503-ADC23CAF2CC8}">
  <dimension ref="A1:O41"/>
  <sheetViews>
    <sheetView workbookViewId="0">
      <pane xSplit="4" ySplit="1" topLeftCell="E2" activePane="bottomRight" state="frozen"/>
      <selection pane="topRight" activeCell="E1" sqref="E1"/>
      <selection pane="bottomLeft" activeCell="A2" sqref="A2"/>
      <selection pane="bottomRight" activeCell="M13" sqref="M13"/>
    </sheetView>
  </sheetViews>
  <sheetFormatPr defaultRowHeight="14.4"/>
  <cols>
    <col min="1" max="1" width="2.33203125" customWidth="1"/>
    <col min="2" max="2" width="31.5546875" hidden="1" customWidth="1"/>
    <col min="3" max="3" width="18.21875" hidden="1" customWidth="1"/>
    <col min="4" max="4" width="23.33203125" customWidth="1"/>
    <col min="7" max="7" width="16.6640625" customWidth="1"/>
    <col min="8" max="8" width="22" style="18" customWidth="1"/>
    <col min="9" max="9" width="15.5546875" customWidth="1"/>
    <col min="10" max="10" width="16.21875" customWidth="1"/>
    <col min="11" max="11" width="14.44140625" customWidth="1"/>
    <col min="12" max="12" width="28.109375" customWidth="1"/>
    <col min="13" max="13" width="25.44140625" customWidth="1"/>
    <col min="14" max="14" width="95.109375" customWidth="1"/>
    <col min="15" max="15" width="39" customWidth="1"/>
  </cols>
  <sheetData>
    <row r="1" spans="1:15">
      <c r="A1" s="416"/>
      <c r="B1" s="416" t="s">
        <v>207</v>
      </c>
      <c r="C1" s="416" t="s">
        <v>546</v>
      </c>
      <c r="D1" s="416" t="s">
        <v>547</v>
      </c>
      <c r="E1" s="416" t="s">
        <v>548</v>
      </c>
      <c r="F1" s="417" t="s">
        <v>549</v>
      </c>
      <c r="G1" s="417" t="s">
        <v>550</v>
      </c>
      <c r="H1" s="417" t="s">
        <v>146</v>
      </c>
      <c r="I1" s="416" t="s">
        <v>551</v>
      </c>
      <c r="J1" s="417" t="s">
        <v>552</v>
      </c>
      <c r="K1" s="417" t="s">
        <v>553</v>
      </c>
      <c r="L1" s="416" t="s">
        <v>554</v>
      </c>
      <c r="M1" s="416" t="s">
        <v>555</v>
      </c>
      <c r="N1" s="416" t="s">
        <v>556</v>
      </c>
    </row>
    <row r="2" spans="1:15">
      <c r="B2" t="s">
        <v>204</v>
      </c>
      <c r="C2" t="s">
        <v>335</v>
      </c>
      <c r="D2" t="s">
        <v>120</v>
      </c>
      <c r="E2" t="s">
        <v>338</v>
      </c>
      <c r="F2" s="15">
        <f>Summary!T6</f>
        <v>1400</v>
      </c>
      <c r="G2" t="s">
        <v>562</v>
      </c>
      <c r="H2" s="18" t="s">
        <v>565</v>
      </c>
      <c r="I2" t="s">
        <v>619</v>
      </c>
      <c r="J2" s="18" t="s">
        <v>574</v>
      </c>
      <c r="K2" s="18" t="s">
        <v>567</v>
      </c>
      <c r="L2" t="s">
        <v>575</v>
      </c>
      <c r="M2" s="14" t="s">
        <v>576</v>
      </c>
    </row>
    <row r="3" spans="1:15">
      <c r="B3" t="s">
        <v>204</v>
      </c>
      <c r="C3" t="s">
        <v>335</v>
      </c>
      <c r="D3" t="s">
        <v>131</v>
      </c>
      <c r="E3" t="s">
        <v>338</v>
      </c>
      <c r="F3" s="15">
        <f>Summary!T7</f>
        <v>5950</v>
      </c>
      <c r="G3" t="s">
        <v>562</v>
      </c>
      <c r="H3" s="18" t="s">
        <v>565</v>
      </c>
      <c r="I3" t="s">
        <v>619</v>
      </c>
      <c r="J3" s="18" t="s">
        <v>574</v>
      </c>
      <c r="K3" s="18" t="s">
        <v>567</v>
      </c>
      <c r="L3" t="s">
        <v>575</v>
      </c>
      <c r="M3" s="14" t="s">
        <v>576</v>
      </c>
    </row>
    <row r="4" spans="1:15">
      <c r="B4" t="s">
        <v>204</v>
      </c>
      <c r="C4" t="s">
        <v>335</v>
      </c>
      <c r="D4" s="418" t="s">
        <v>145</v>
      </c>
      <c r="E4" t="s">
        <v>338</v>
      </c>
      <c r="F4" s="15">
        <f>Summary!T8</f>
        <v>240</v>
      </c>
      <c r="G4" t="s">
        <v>562</v>
      </c>
      <c r="H4" s="18" t="s">
        <v>565</v>
      </c>
      <c r="I4" t="s">
        <v>619</v>
      </c>
      <c r="J4" s="18" t="s">
        <v>641</v>
      </c>
      <c r="K4" s="18" t="s">
        <v>567</v>
      </c>
      <c r="L4" t="s">
        <v>585</v>
      </c>
      <c r="M4" s="14" t="s">
        <v>584</v>
      </c>
      <c r="N4" s="430" t="s">
        <v>328</v>
      </c>
    </row>
    <row r="5" spans="1:15">
      <c r="B5" t="s">
        <v>204</v>
      </c>
      <c r="C5" t="s">
        <v>335</v>
      </c>
      <c r="D5" t="s">
        <v>532</v>
      </c>
      <c r="E5" t="s">
        <v>338</v>
      </c>
      <c r="F5" s="15">
        <f>Summary!T9</f>
        <v>5149.9646329995367</v>
      </c>
      <c r="G5" t="s">
        <v>562</v>
      </c>
      <c r="H5" s="18" t="s">
        <v>565</v>
      </c>
      <c r="I5" t="s">
        <v>619</v>
      </c>
      <c r="J5" s="18" t="s">
        <v>574</v>
      </c>
      <c r="K5" s="18" t="s">
        <v>567</v>
      </c>
      <c r="L5" t="s">
        <v>594</v>
      </c>
      <c r="M5" s="14" t="s">
        <v>591</v>
      </c>
      <c r="N5" s="430" t="s">
        <v>559</v>
      </c>
    </row>
    <row r="6" spans="1:15">
      <c r="B6" t="s">
        <v>204</v>
      </c>
      <c r="C6" t="s">
        <v>335</v>
      </c>
      <c r="D6" t="s">
        <v>432</v>
      </c>
      <c r="E6" t="s">
        <v>338</v>
      </c>
      <c r="F6" s="15">
        <f>Summary!T10</f>
        <v>880</v>
      </c>
      <c r="G6" t="s">
        <v>562</v>
      </c>
      <c r="H6" s="18" t="s">
        <v>565</v>
      </c>
      <c r="I6" t="s">
        <v>619</v>
      </c>
      <c r="J6" s="18" t="s">
        <v>574</v>
      </c>
      <c r="K6" s="18" t="s">
        <v>567</v>
      </c>
      <c r="L6" t="s">
        <v>575</v>
      </c>
      <c r="M6" s="14" t="s">
        <v>576</v>
      </c>
      <c r="N6" s="430" t="s">
        <v>560</v>
      </c>
    </row>
    <row r="7" spans="1:15">
      <c r="B7" t="s">
        <v>204</v>
      </c>
      <c r="C7" t="s">
        <v>335</v>
      </c>
      <c r="D7" t="s">
        <v>433</v>
      </c>
      <c r="E7" t="s">
        <v>338</v>
      </c>
      <c r="F7" s="15">
        <f>Summary!T11</f>
        <v>3200</v>
      </c>
      <c r="G7" t="s">
        <v>562</v>
      </c>
      <c r="H7" s="18" t="s">
        <v>595</v>
      </c>
      <c r="I7" t="s">
        <v>590</v>
      </c>
      <c r="J7" s="18" t="s">
        <v>616</v>
      </c>
      <c r="K7" s="18" t="s">
        <v>567</v>
      </c>
      <c r="L7" t="s">
        <v>564</v>
      </c>
      <c r="N7" s="430" t="s">
        <v>465</v>
      </c>
    </row>
    <row r="8" spans="1:15">
      <c r="B8" t="s">
        <v>204</v>
      </c>
      <c r="C8" t="s">
        <v>335</v>
      </c>
      <c r="D8" t="s">
        <v>447</v>
      </c>
      <c r="E8" t="s">
        <v>338</v>
      </c>
      <c r="F8" s="15" t="e">
        <f>Summary!#REF!</f>
        <v>#REF!</v>
      </c>
      <c r="G8" t="s">
        <v>562</v>
      </c>
      <c r="H8" s="18" t="s">
        <v>565</v>
      </c>
      <c r="I8" t="s">
        <v>613</v>
      </c>
      <c r="J8" s="18" t="s">
        <v>615</v>
      </c>
      <c r="K8" s="18" t="s">
        <v>567</v>
      </c>
      <c r="L8" t="s">
        <v>610</v>
      </c>
      <c r="M8" s="14" t="s">
        <v>614</v>
      </c>
      <c r="N8" t="s">
        <v>611</v>
      </c>
    </row>
    <row r="9" spans="1:15" s="197" customFormat="1">
      <c r="B9" s="197" t="s">
        <v>204</v>
      </c>
      <c r="C9" s="197" t="s">
        <v>335</v>
      </c>
      <c r="D9" s="419" t="s">
        <v>542</v>
      </c>
      <c r="E9" s="197" t="s">
        <v>338</v>
      </c>
      <c r="F9" s="420">
        <f>Summary!T13</f>
        <v>0</v>
      </c>
      <c r="G9" s="197" t="s">
        <v>562</v>
      </c>
      <c r="H9" s="192"/>
      <c r="I9" s="197" t="s">
        <v>599</v>
      </c>
      <c r="J9" s="192" t="s">
        <v>600</v>
      </c>
      <c r="K9" s="192" t="s">
        <v>567</v>
      </c>
      <c r="L9" s="197" t="s">
        <v>564</v>
      </c>
    </row>
    <row r="10" spans="1:15">
      <c r="B10" t="s">
        <v>204</v>
      </c>
      <c r="C10" t="s">
        <v>335</v>
      </c>
      <c r="D10" t="s">
        <v>120</v>
      </c>
      <c r="E10" t="s">
        <v>151</v>
      </c>
      <c r="F10" s="15">
        <f>Summary!U6</f>
        <v>12000</v>
      </c>
      <c r="G10" t="s">
        <v>562</v>
      </c>
      <c r="I10" t="s">
        <v>601</v>
      </c>
      <c r="J10" s="18" t="s">
        <v>597</v>
      </c>
      <c r="K10" s="18" t="s">
        <v>567</v>
      </c>
      <c r="L10" t="s">
        <v>564</v>
      </c>
      <c r="N10" s="430" t="s">
        <v>561</v>
      </c>
    </row>
    <row r="11" spans="1:15">
      <c r="B11" t="s">
        <v>204</v>
      </c>
      <c r="C11" t="s">
        <v>335</v>
      </c>
      <c r="D11" t="s">
        <v>131</v>
      </c>
      <c r="E11" t="s">
        <v>151</v>
      </c>
      <c r="F11" s="15">
        <f>Summary!U7</f>
        <v>21000</v>
      </c>
      <c r="G11" t="s">
        <v>562</v>
      </c>
      <c r="I11" t="s">
        <v>601</v>
      </c>
      <c r="J11" s="18" t="s">
        <v>597</v>
      </c>
      <c r="K11" s="18" t="s">
        <v>567</v>
      </c>
      <c r="L11" t="s">
        <v>564</v>
      </c>
      <c r="N11" s="430" t="s">
        <v>561</v>
      </c>
      <c r="O11" t="s">
        <v>598</v>
      </c>
    </row>
    <row r="12" spans="1:15">
      <c r="B12" t="s">
        <v>204</v>
      </c>
      <c r="C12" t="s">
        <v>335</v>
      </c>
      <c r="D12" s="418" t="s">
        <v>145</v>
      </c>
      <c r="E12" t="s">
        <v>151</v>
      </c>
      <c r="F12" s="15">
        <f>Summary!U8</f>
        <v>0</v>
      </c>
      <c r="G12" t="s">
        <v>562</v>
      </c>
      <c r="J12" s="18" t="s">
        <v>597</v>
      </c>
      <c r="K12" s="18" t="s">
        <v>567</v>
      </c>
      <c r="L12" t="s">
        <v>564</v>
      </c>
      <c r="N12" t="s">
        <v>563</v>
      </c>
    </row>
    <row r="13" spans="1:15">
      <c r="B13" t="s">
        <v>204</v>
      </c>
      <c r="C13" t="s">
        <v>335</v>
      </c>
      <c r="D13" t="s">
        <v>532</v>
      </c>
      <c r="E13" t="s">
        <v>151</v>
      </c>
      <c r="F13" s="15">
        <f>Summary!U9</f>
        <v>44000</v>
      </c>
      <c r="G13" t="s">
        <v>562</v>
      </c>
      <c r="I13" t="s">
        <v>601</v>
      </c>
      <c r="J13" s="18" t="s">
        <v>597</v>
      </c>
      <c r="K13" s="18" t="s">
        <v>567</v>
      </c>
      <c r="L13" t="s">
        <v>564</v>
      </c>
      <c r="N13" s="430" t="s">
        <v>561</v>
      </c>
    </row>
    <row r="14" spans="1:15">
      <c r="B14" t="s">
        <v>204</v>
      </c>
      <c r="C14" t="s">
        <v>335</v>
      </c>
      <c r="D14" t="s">
        <v>432</v>
      </c>
      <c r="E14" t="s">
        <v>151</v>
      </c>
      <c r="F14" s="15">
        <f>Summary!U10</f>
        <v>0</v>
      </c>
      <c r="G14" t="s">
        <v>562</v>
      </c>
      <c r="J14" s="18" t="s">
        <v>597</v>
      </c>
      <c r="K14" s="18" t="s">
        <v>567</v>
      </c>
      <c r="L14" t="s">
        <v>564</v>
      </c>
      <c r="N14" t="s">
        <v>602</v>
      </c>
    </row>
    <row r="15" spans="1:15">
      <c r="B15" t="s">
        <v>204</v>
      </c>
      <c r="C15" t="s">
        <v>335</v>
      </c>
      <c r="D15" t="s">
        <v>433</v>
      </c>
      <c r="E15" t="s">
        <v>151</v>
      </c>
      <c r="F15" s="15">
        <f>Summary!U11</f>
        <v>0</v>
      </c>
      <c r="G15" t="s">
        <v>562</v>
      </c>
      <c r="J15" s="18" t="s">
        <v>597</v>
      </c>
      <c r="K15" s="18" t="s">
        <v>567</v>
      </c>
      <c r="L15" t="s">
        <v>564</v>
      </c>
    </row>
    <row r="16" spans="1:15">
      <c r="B16" t="s">
        <v>204</v>
      </c>
      <c r="C16" t="s">
        <v>335</v>
      </c>
      <c r="D16" t="s">
        <v>447</v>
      </c>
      <c r="E16" t="s">
        <v>151</v>
      </c>
      <c r="F16" s="15" t="e">
        <f>Summary!#REF!</f>
        <v>#REF!</v>
      </c>
      <c r="G16" t="s">
        <v>562</v>
      </c>
      <c r="I16" t="s">
        <v>618</v>
      </c>
      <c r="J16" s="18" t="s">
        <v>597</v>
      </c>
      <c r="K16" s="18" t="s">
        <v>567</v>
      </c>
      <c r="L16" t="s">
        <v>617</v>
      </c>
    </row>
    <row r="17" spans="2:14" s="197" customFormat="1">
      <c r="B17" s="197" t="s">
        <v>204</v>
      </c>
      <c r="C17" s="197" t="s">
        <v>335</v>
      </c>
      <c r="D17" s="419" t="s">
        <v>542</v>
      </c>
      <c r="E17" s="197" t="s">
        <v>151</v>
      </c>
      <c r="F17" s="420">
        <f>Summary!U13</f>
        <v>567000</v>
      </c>
      <c r="G17" s="197" t="s">
        <v>562</v>
      </c>
      <c r="H17" s="192"/>
      <c r="I17" s="197" t="s">
        <v>601</v>
      </c>
      <c r="J17" s="192" t="s">
        <v>597</v>
      </c>
      <c r="K17" s="192" t="s">
        <v>567</v>
      </c>
      <c r="L17" s="197" t="s">
        <v>564</v>
      </c>
      <c r="N17" s="444" t="s">
        <v>561</v>
      </c>
    </row>
    <row r="18" spans="2:14">
      <c r="B18" t="s">
        <v>204</v>
      </c>
      <c r="C18" t="s">
        <v>335</v>
      </c>
      <c r="D18" t="s">
        <v>120</v>
      </c>
      <c r="E18" t="s">
        <v>529</v>
      </c>
      <c r="F18" s="15">
        <f>Summary!V6</f>
        <v>1000</v>
      </c>
      <c r="G18" t="s">
        <v>562</v>
      </c>
      <c r="H18" s="18" t="s">
        <v>565</v>
      </c>
      <c r="I18" t="s">
        <v>566</v>
      </c>
      <c r="J18" t="s">
        <v>567</v>
      </c>
      <c r="K18" s="18" t="s">
        <v>568</v>
      </c>
      <c r="L18" t="s">
        <v>604</v>
      </c>
      <c r="M18" s="14" t="s">
        <v>603</v>
      </c>
      <c r="N18" t="s">
        <v>605</v>
      </c>
    </row>
    <row r="19" spans="2:14">
      <c r="B19" t="s">
        <v>204</v>
      </c>
      <c r="C19" t="s">
        <v>335</v>
      </c>
      <c r="D19" t="s">
        <v>131</v>
      </c>
      <c r="E19" t="s">
        <v>529</v>
      </c>
      <c r="F19" s="15">
        <f>Summary!V7</f>
        <v>1000</v>
      </c>
      <c r="G19" t="s">
        <v>562</v>
      </c>
      <c r="H19" s="18" t="s">
        <v>565</v>
      </c>
      <c r="I19" t="s">
        <v>566</v>
      </c>
      <c r="J19" t="s">
        <v>567</v>
      </c>
      <c r="K19" s="18" t="s">
        <v>568</v>
      </c>
      <c r="L19" t="s">
        <v>604</v>
      </c>
      <c r="M19" s="14" t="s">
        <v>603</v>
      </c>
      <c r="N19" t="s">
        <v>605</v>
      </c>
    </row>
    <row r="20" spans="2:14">
      <c r="B20" t="s">
        <v>204</v>
      </c>
      <c r="C20" t="s">
        <v>335</v>
      </c>
      <c r="D20" s="418" t="s">
        <v>145</v>
      </c>
      <c r="E20" t="s">
        <v>529</v>
      </c>
      <c r="F20" s="445" t="str">
        <f>Summary!V8</f>
        <v>--</v>
      </c>
      <c r="G20" t="s">
        <v>562</v>
      </c>
      <c r="J20" t="s">
        <v>567</v>
      </c>
      <c r="K20" s="18" t="s">
        <v>568</v>
      </c>
      <c r="L20" t="s">
        <v>564</v>
      </c>
      <c r="N20" s="430" t="s">
        <v>563</v>
      </c>
    </row>
    <row r="21" spans="2:14">
      <c r="B21" t="s">
        <v>204</v>
      </c>
      <c r="C21" t="s">
        <v>335</v>
      </c>
      <c r="D21" t="s">
        <v>532</v>
      </c>
      <c r="E21" t="s">
        <v>529</v>
      </c>
      <c r="F21" s="15">
        <f>Summary!V9</f>
        <v>2000</v>
      </c>
      <c r="G21" t="s">
        <v>562</v>
      </c>
      <c r="H21" s="18" t="s">
        <v>565</v>
      </c>
      <c r="I21" t="s">
        <v>566</v>
      </c>
      <c r="J21" t="s">
        <v>567</v>
      </c>
      <c r="K21" s="18" t="s">
        <v>568</v>
      </c>
      <c r="L21" t="s">
        <v>604</v>
      </c>
      <c r="M21" s="14" t="s">
        <v>603</v>
      </c>
      <c r="N21" t="s">
        <v>605</v>
      </c>
    </row>
    <row r="22" spans="2:14">
      <c r="B22" t="s">
        <v>204</v>
      </c>
      <c r="C22" t="s">
        <v>335</v>
      </c>
      <c r="D22" t="s">
        <v>432</v>
      </c>
      <c r="E22" t="s">
        <v>529</v>
      </c>
      <c r="F22" s="15">
        <f>Summary!V10</f>
        <v>500</v>
      </c>
      <c r="G22" t="s">
        <v>562</v>
      </c>
      <c r="H22" s="18" t="s">
        <v>565</v>
      </c>
      <c r="I22" t="s">
        <v>566</v>
      </c>
      <c r="J22" t="s">
        <v>567</v>
      </c>
      <c r="K22" s="18" t="s">
        <v>568</v>
      </c>
      <c r="L22" t="s">
        <v>564</v>
      </c>
      <c r="N22" t="s">
        <v>602</v>
      </c>
    </row>
    <row r="23" spans="2:14">
      <c r="B23" t="s">
        <v>204</v>
      </c>
      <c r="C23" t="s">
        <v>335</v>
      </c>
      <c r="D23" t="s">
        <v>433</v>
      </c>
      <c r="E23" t="s">
        <v>529</v>
      </c>
      <c r="F23" s="15">
        <f>Summary!V11</f>
        <v>500</v>
      </c>
      <c r="G23" t="s">
        <v>562</v>
      </c>
      <c r="H23" s="18" t="s">
        <v>595</v>
      </c>
      <c r="I23" t="s">
        <v>630</v>
      </c>
      <c r="J23" t="s">
        <v>567</v>
      </c>
      <c r="K23" s="18" t="s">
        <v>568</v>
      </c>
      <c r="L23" t="s">
        <v>564</v>
      </c>
      <c r="N23" t="s">
        <v>621</v>
      </c>
    </row>
    <row r="24" spans="2:14">
      <c r="B24" t="s">
        <v>204</v>
      </c>
      <c r="C24" t="s">
        <v>335</v>
      </c>
      <c r="D24" t="s">
        <v>447</v>
      </c>
      <c r="E24" t="s">
        <v>529</v>
      </c>
      <c r="F24" s="15" t="e">
        <f>Summary!#REF!</f>
        <v>#REF!</v>
      </c>
      <c r="G24" t="s">
        <v>562</v>
      </c>
      <c r="H24" s="18" t="s">
        <v>565</v>
      </c>
      <c r="I24" t="s">
        <v>566</v>
      </c>
      <c r="J24" t="s">
        <v>567</v>
      </c>
      <c r="K24" s="18" t="s">
        <v>568</v>
      </c>
      <c r="L24" t="s">
        <v>617</v>
      </c>
      <c r="N24" t="s">
        <v>624</v>
      </c>
    </row>
    <row r="25" spans="2:14" s="197" customFormat="1">
      <c r="B25" s="197" t="s">
        <v>204</v>
      </c>
      <c r="C25" s="197" t="s">
        <v>335</v>
      </c>
      <c r="D25" s="419" t="s">
        <v>542</v>
      </c>
      <c r="E25" s="197" t="s">
        <v>529</v>
      </c>
      <c r="F25" s="420">
        <f>Summary!V13</f>
        <v>3000</v>
      </c>
      <c r="G25" s="197" t="s">
        <v>562</v>
      </c>
      <c r="H25" s="192" t="s">
        <v>565</v>
      </c>
      <c r="I25" s="197" t="s">
        <v>566</v>
      </c>
      <c r="J25" s="197" t="s">
        <v>567</v>
      </c>
      <c r="K25" s="192" t="s">
        <v>568</v>
      </c>
      <c r="L25" s="197" t="s">
        <v>564</v>
      </c>
      <c r="N25" s="197" t="s">
        <v>569</v>
      </c>
    </row>
    <row r="26" spans="2:14">
      <c r="B26" t="s">
        <v>204</v>
      </c>
      <c r="C26" t="s">
        <v>335</v>
      </c>
      <c r="D26" t="s">
        <v>120</v>
      </c>
      <c r="E26" t="s">
        <v>530</v>
      </c>
      <c r="F26" s="15">
        <f>Summary!W6</f>
        <v>2900</v>
      </c>
      <c r="G26" t="s">
        <v>562</v>
      </c>
      <c r="H26" s="18" t="s">
        <v>565</v>
      </c>
      <c r="I26" t="s">
        <v>596</v>
      </c>
      <c r="J26" t="s">
        <v>567</v>
      </c>
      <c r="K26" s="18" t="s">
        <v>625</v>
      </c>
      <c r="L26" t="s">
        <v>575</v>
      </c>
      <c r="M26" s="14" t="s">
        <v>576</v>
      </c>
      <c r="N26" s="101" t="s">
        <v>626</v>
      </c>
    </row>
    <row r="27" spans="2:14">
      <c r="B27" t="s">
        <v>204</v>
      </c>
      <c r="C27" t="s">
        <v>335</v>
      </c>
      <c r="D27" t="s">
        <v>131</v>
      </c>
      <c r="E27" t="s">
        <v>530</v>
      </c>
      <c r="F27" s="15">
        <f>Summary!W7</f>
        <v>5700</v>
      </c>
      <c r="G27" t="s">
        <v>562</v>
      </c>
      <c r="H27" s="18" t="s">
        <v>565</v>
      </c>
      <c r="I27" t="s">
        <v>596</v>
      </c>
      <c r="J27" t="s">
        <v>567</v>
      </c>
      <c r="K27" s="18" t="s">
        <v>625</v>
      </c>
      <c r="L27" t="s">
        <v>575</v>
      </c>
      <c r="M27" s="14" t="s">
        <v>576</v>
      </c>
      <c r="N27" s="101" t="s">
        <v>626</v>
      </c>
    </row>
    <row r="28" spans="2:14">
      <c r="B28" t="s">
        <v>204</v>
      </c>
      <c r="C28" t="s">
        <v>335</v>
      </c>
      <c r="D28" s="418" t="s">
        <v>145</v>
      </c>
      <c r="E28" t="s">
        <v>530</v>
      </c>
      <c r="F28" s="15" t="str">
        <f>Summary!W8</f>
        <v>--</v>
      </c>
      <c r="G28" t="s">
        <v>562</v>
      </c>
      <c r="H28" s="18" t="s">
        <v>565</v>
      </c>
      <c r="J28" t="s">
        <v>567</v>
      </c>
      <c r="K28" s="18" t="s">
        <v>628</v>
      </c>
      <c r="L28" t="s">
        <v>564</v>
      </c>
      <c r="N28" t="s">
        <v>563</v>
      </c>
    </row>
    <row r="29" spans="2:14">
      <c r="B29" t="s">
        <v>204</v>
      </c>
      <c r="C29" t="s">
        <v>335</v>
      </c>
      <c r="D29" t="s">
        <v>532</v>
      </c>
      <c r="E29" t="s">
        <v>530</v>
      </c>
      <c r="F29" s="15">
        <f>Summary!W9</f>
        <v>6000</v>
      </c>
      <c r="G29" t="s">
        <v>562</v>
      </c>
      <c r="H29" s="18" t="s">
        <v>565</v>
      </c>
      <c r="I29" t="s">
        <v>572</v>
      </c>
      <c r="J29" t="s">
        <v>567</v>
      </c>
      <c r="K29" s="18" t="s">
        <v>573</v>
      </c>
      <c r="L29" t="s">
        <v>571</v>
      </c>
      <c r="M29" s="14" t="s">
        <v>627</v>
      </c>
      <c r="N29" s="430" t="s">
        <v>570</v>
      </c>
    </row>
    <row r="30" spans="2:14">
      <c r="B30" t="s">
        <v>204</v>
      </c>
      <c r="C30" t="s">
        <v>335</v>
      </c>
      <c r="D30" t="s">
        <v>432</v>
      </c>
      <c r="E30" t="s">
        <v>530</v>
      </c>
      <c r="F30" s="15">
        <f>Summary!W10</f>
        <v>1350</v>
      </c>
      <c r="G30" t="s">
        <v>562</v>
      </c>
      <c r="H30" s="18" t="s">
        <v>565</v>
      </c>
      <c r="J30" t="s">
        <v>567</v>
      </c>
      <c r="K30" s="18" t="s">
        <v>628</v>
      </c>
      <c r="L30" t="s">
        <v>564</v>
      </c>
      <c r="N30" t="s">
        <v>442</v>
      </c>
    </row>
    <row r="31" spans="2:14">
      <c r="B31" t="s">
        <v>204</v>
      </c>
      <c r="C31" t="s">
        <v>335</v>
      </c>
      <c r="D31" t="s">
        <v>433</v>
      </c>
      <c r="E31" t="s">
        <v>530</v>
      </c>
      <c r="F31" s="15">
        <f>Summary!W11</f>
        <v>1900</v>
      </c>
      <c r="G31" t="s">
        <v>562</v>
      </c>
      <c r="H31" s="18" t="s">
        <v>565</v>
      </c>
      <c r="I31" t="s">
        <v>630</v>
      </c>
      <c r="J31" t="s">
        <v>567</v>
      </c>
      <c r="K31" s="18" t="s">
        <v>628</v>
      </c>
      <c r="L31" t="s">
        <v>564</v>
      </c>
      <c r="N31" t="s">
        <v>629</v>
      </c>
    </row>
    <row r="32" spans="2:14">
      <c r="B32" t="s">
        <v>204</v>
      </c>
      <c r="C32" t="s">
        <v>335</v>
      </c>
      <c r="D32" t="s">
        <v>447</v>
      </c>
      <c r="E32" t="s">
        <v>530</v>
      </c>
      <c r="F32" s="15" t="e">
        <f>Summary!#REF!</f>
        <v>#REF!</v>
      </c>
      <c r="G32" t="s">
        <v>562</v>
      </c>
      <c r="H32" s="18" t="s">
        <v>565</v>
      </c>
      <c r="I32" t="s">
        <v>618</v>
      </c>
      <c r="J32" t="s">
        <v>567</v>
      </c>
      <c r="K32" s="18" t="s">
        <v>573</v>
      </c>
      <c r="L32" t="s">
        <v>610</v>
      </c>
      <c r="M32" s="14" t="s">
        <v>622</v>
      </c>
      <c r="N32" t="s">
        <v>620</v>
      </c>
    </row>
    <row r="33" spans="2:14" s="197" customFormat="1">
      <c r="B33" s="197" t="s">
        <v>204</v>
      </c>
      <c r="C33" s="197" t="s">
        <v>335</v>
      </c>
      <c r="D33" s="419" t="s">
        <v>542</v>
      </c>
      <c r="E33" s="197" t="s">
        <v>530</v>
      </c>
      <c r="F33" s="420">
        <f>Summary!W13</f>
        <v>57000</v>
      </c>
      <c r="G33" s="197" t="s">
        <v>562</v>
      </c>
      <c r="H33" s="192" t="s">
        <v>565</v>
      </c>
      <c r="I33" t="s">
        <v>618</v>
      </c>
      <c r="J33" s="197" t="s">
        <v>567</v>
      </c>
      <c r="L33" s="197" t="s">
        <v>564</v>
      </c>
      <c r="N33" s="197" t="s">
        <v>634</v>
      </c>
    </row>
    <row r="34" spans="2:14">
      <c r="B34" t="s">
        <v>204</v>
      </c>
      <c r="C34" t="s">
        <v>335</v>
      </c>
      <c r="D34" t="s">
        <v>120</v>
      </c>
      <c r="E34" t="s">
        <v>531</v>
      </c>
      <c r="F34" s="15">
        <f>Summary!X6</f>
        <v>4400</v>
      </c>
      <c r="G34" t="s">
        <v>562</v>
      </c>
      <c r="H34" s="18" t="s">
        <v>565</v>
      </c>
      <c r="I34" t="s">
        <v>631</v>
      </c>
      <c r="J34" t="s">
        <v>567</v>
      </c>
      <c r="K34" s="18" t="s">
        <v>632</v>
      </c>
      <c r="L34" t="s">
        <v>564</v>
      </c>
      <c r="N34" t="s">
        <v>440</v>
      </c>
    </row>
    <row r="35" spans="2:14">
      <c r="B35" t="s">
        <v>204</v>
      </c>
      <c r="C35" t="s">
        <v>335</v>
      </c>
      <c r="D35" t="s">
        <v>131</v>
      </c>
      <c r="E35" t="s">
        <v>531</v>
      </c>
      <c r="F35" s="15">
        <f>Summary!X7</f>
        <v>8600</v>
      </c>
      <c r="G35" t="s">
        <v>562</v>
      </c>
      <c r="H35" s="18" t="s">
        <v>565</v>
      </c>
      <c r="I35" t="s">
        <v>631</v>
      </c>
      <c r="J35" t="s">
        <v>567</v>
      </c>
      <c r="K35" s="18" t="s">
        <v>632</v>
      </c>
      <c r="L35" t="s">
        <v>564</v>
      </c>
      <c r="N35" t="s">
        <v>440</v>
      </c>
    </row>
    <row r="36" spans="2:14">
      <c r="B36" t="s">
        <v>204</v>
      </c>
      <c r="C36" t="s">
        <v>335</v>
      </c>
      <c r="D36" s="418" t="s">
        <v>145</v>
      </c>
      <c r="E36" t="s">
        <v>531</v>
      </c>
      <c r="F36" s="445" t="str">
        <f>Summary!X8</f>
        <v>--</v>
      </c>
      <c r="G36" t="s">
        <v>562</v>
      </c>
      <c r="H36" s="18" t="s">
        <v>565</v>
      </c>
      <c r="J36" t="s">
        <v>567</v>
      </c>
      <c r="K36" s="18" t="s">
        <v>632</v>
      </c>
      <c r="L36" t="s">
        <v>564</v>
      </c>
      <c r="N36" t="s">
        <v>563</v>
      </c>
    </row>
    <row r="37" spans="2:14">
      <c r="B37" t="s">
        <v>204</v>
      </c>
      <c r="C37" t="s">
        <v>335</v>
      </c>
      <c r="D37" t="s">
        <v>532</v>
      </c>
      <c r="E37" t="s">
        <v>531</v>
      </c>
      <c r="F37" s="15">
        <f>Summary!X9</f>
        <v>17400</v>
      </c>
      <c r="G37" t="s">
        <v>562</v>
      </c>
      <c r="H37" s="18" t="s">
        <v>565</v>
      </c>
      <c r="J37" t="s">
        <v>567</v>
      </c>
      <c r="K37" s="18" t="s">
        <v>632</v>
      </c>
      <c r="L37" t="s">
        <v>564</v>
      </c>
      <c r="N37" t="s">
        <v>633</v>
      </c>
    </row>
    <row r="38" spans="2:14">
      <c r="B38" t="s">
        <v>204</v>
      </c>
      <c r="C38" t="s">
        <v>335</v>
      </c>
      <c r="D38" t="s">
        <v>432</v>
      </c>
      <c r="E38" t="s">
        <v>531</v>
      </c>
      <c r="F38" s="15">
        <f>Summary!X10</f>
        <v>2000</v>
      </c>
      <c r="G38" t="s">
        <v>562</v>
      </c>
      <c r="H38" s="18" t="s">
        <v>565</v>
      </c>
      <c r="I38" t="s">
        <v>631</v>
      </c>
      <c r="J38" t="s">
        <v>567</v>
      </c>
      <c r="K38" s="18" t="s">
        <v>632</v>
      </c>
      <c r="L38" t="s">
        <v>564</v>
      </c>
      <c r="N38" t="s">
        <v>440</v>
      </c>
    </row>
    <row r="39" spans="2:14">
      <c r="B39" t="s">
        <v>204</v>
      </c>
      <c r="C39" t="s">
        <v>335</v>
      </c>
      <c r="D39" t="s">
        <v>433</v>
      </c>
      <c r="E39" t="s">
        <v>531</v>
      </c>
      <c r="F39" s="15">
        <f>Summary!X11</f>
        <v>3900</v>
      </c>
      <c r="G39" t="s">
        <v>562</v>
      </c>
      <c r="H39" s="18" t="s">
        <v>565</v>
      </c>
      <c r="I39" t="s">
        <v>630</v>
      </c>
      <c r="J39" t="s">
        <v>567</v>
      </c>
      <c r="K39" s="18" t="s">
        <v>632</v>
      </c>
      <c r="L39" t="s">
        <v>564</v>
      </c>
      <c r="N39" t="s">
        <v>629</v>
      </c>
    </row>
    <row r="40" spans="2:14">
      <c r="B40" t="s">
        <v>204</v>
      </c>
      <c r="C40" t="s">
        <v>335</v>
      </c>
      <c r="D40" t="s">
        <v>447</v>
      </c>
      <c r="E40" t="s">
        <v>531</v>
      </c>
      <c r="F40" s="15" t="e">
        <f>Summary!#REF!</f>
        <v>#REF!</v>
      </c>
      <c r="G40" t="s">
        <v>562</v>
      </c>
      <c r="H40" s="18" t="s">
        <v>565</v>
      </c>
      <c r="I40" t="s">
        <v>618</v>
      </c>
      <c r="J40" t="s">
        <v>567</v>
      </c>
      <c r="K40" s="18" t="s">
        <v>632</v>
      </c>
      <c r="L40" t="s">
        <v>610</v>
      </c>
      <c r="N40" t="s">
        <v>623</v>
      </c>
    </row>
    <row r="41" spans="2:14" s="197" customFormat="1">
      <c r="B41" s="197" t="s">
        <v>204</v>
      </c>
      <c r="C41" s="197" t="s">
        <v>335</v>
      </c>
      <c r="D41" s="419" t="s">
        <v>542</v>
      </c>
      <c r="E41" s="197" t="s">
        <v>531</v>
      </c>
      <c r="F41" s="420">
        <f>Summary!X13</f>
        <v>85000</v>
      </c>
      <c r="G41" s="197" t="s">
        <v>562</v>
      </c>
      <c r="H41" s="192" t="s">
        <v>565</v>
      </c>
      <c r="I41" s="197" t="s">
        <v>631</v>
      </c>
      <c r="J41" s="197" t="s">
        <v>567</v>
      </c>
      <c r="K41" s="192" t="s">
        <v>632</v>
      </c>
      <c r="L41" s="197" t="s">
        <v>564</v>
      </c>
      <c r="N41" s="197" t="s">
        <v>635</v>
      </c>
    </row>
  </sheetData>
  <hyperlinks>
    <hyperlink ref="M3" r:id="rId1" xr:uid="{5754E5E8-28A2-4616-B7A7-47B9CF15D944}"/>
    <hyperlink ref="M2" r:id="rId2" xr:uid="{7EA5400A-91AA-42D9-841C-58870E757DDE}"/>
    <hyperlink ref="M6" r:id="rId3" xr:uid="{BE2E0EDC-929F-410D-924F-A7D63909657F}"/>
    <hyperlink ref="M5" r:id="rId4" xr:uid="{A4E8BD02-140F-4B20-82E8-F7933CEFD070}"/>
    <hyperlink ref="M26" r:id="rId5" xr:uid="{BB779969-9E9C-400F-9352-E4D43E3D5A26}"/>
    <hyperlink ref="M8" r:id="rId6" xr:uid="{57CDEE46-3EF6-4D47-BAEC-111396109A00}"/>
    <hyperlink ref="M32" r:id="rId7" xr:uid="{E35A79DF-DC65-4B83-8745-D6DC219174CC}"/>
    <hyperlink ref="M27" r:id="rId8" xr:uid="{28CE2B33-00C0-47B7-8C49-9938C7F9B462}"/>
    <hyperlink ref="M29" r:id="rId9" xr:uid="{97C308D9-C1CA-4436-8BF9-1BE242D6D51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O59"/>
  <sheetViews>
    <sheetView zoomScale="80" zoomScaleNormal="80" workbookViewId="0">
      <pane xSplit="2" ySplit="4" topLeftCell="C5" activePane="bottomRight" state="frozen"/>
      <selection pane="topRight" activeCell="C1" sqref="C1"/>
      <selection pane="bottomLeft" activeCell="A5" sqref="A5"/>
      <selection pane="bottomRight" activeCell="R46" sqref="R46"/>
    </sheetView>
  </sheetViews>
  <sheetFormatPr defaultRowHeight="14.4"/>
  <cols>
    <col min="1" max="1" width="1.88671875" customWidth="1"/>
    <col min="19" max="19" width="8.88671875" style="49"/>
    <col min="24" max="24" width="2.88671875" customWidth="1"/>
    <col min="25" max="27" width="6.5546875" customWidth="1"/>
    <col min="28" max="28" width="1.77734375" customWidth="1"/>
    <col min="29" max="31" width="6.77734375" customWidth="1"/>
    <col min="32" max="32" width="1.88671875" customWidth="1"/>
    <col min="33" max="35" width="6.77734375" customWidth="1"/>
    <col min="36" max="36" width="1.88671875" customWidth="1"/>
    <col min="42" max="42" width="3.33203125" customWidth="1"/>
    <col min="45" max="45" width="8.88671875" style="92"/>
    <col min="46" max="46" width="2.109375" customWidth="1"/>
    <col min="48" max="49" width="8.88671875" style="92"/>
    <col min="50" max="50" width="7.88671875" customWidth="1"/>
    <col min="51" max="51" width="8.88671875" customWidth="1"/>
    <col min="54" max="54" width="8.88671875" style="92"/>
    <col min="55" max="55" width="2.77734375" customWidth="1"/>
    <col min="62" max="62" width="2.44140625" customWidth="1"/>
    <col min="64" max="64" width="8.88671875" style="92"/>
    <col min="66" max="66" width="3.88671875" customWidth="1"/>
    <col min="70" max="70" width="15.33203125" customWidth="1"/>
    <col min="73" max="73" width="20.33203125" bestFit="1" customWidth="1"/>
  </cols>
  <sheetData>
    <row r="1" spans="2:67">
      <c r="B1" s="53" t="s">
        <v>364</v>
      </c>
      <c r="C1" s="53"/>
      <c r="D1" s="53" t="s">
        <v>365</v>
      </c>
      <c r="E1" s="53"/>
      <c r="BF1" s="2" t="s">
        <v>586</v>
      </c>
    </row>
    <row r="2" spans="2:67" s="54" customFormat="1">
      <c r="C2" s="54" t="s">
        <v>713</v>
      </c>
      <c r="S2" s="495"/>
      <c r="Y2" s="54" t="s">
        <v>692</v>
      </c>
      <c r="AC2" s="54" t="s">
        <v>692</v>
      </c>
      <c r="AG2" s="54" t="s">
        <v>692</v>
      </c>
      <c r="AK2" s="54" t="s">
        <v>606</v>
      </c>
      <c r="AQ2" s="54" t="s">
        <v>577</v>
      </c>
      <c r="AS2" s="431"/>
      <c r="AV2" s="431"/>
      <c r="AW2" s="431"/>
      <c r="BB2" s="431"/>
      <c r="BG2" s="484" t="s">
        <v>583</v>
      </c>
      <c r="BH2" s="484"/>
      <c r="BI2" s="484"/>
      <c r="BJ2" s="484"/>
      <c r="BK2" s="484" t="s">
        <v>587</v>
      </c>
      <c r="BL2" s="431"/>
    </row>
    <row r="3" spans="2:67" s="54" customFormat="1">
      <c r="B3" s="54" t="s">
        <v>187</v>
      </c>
      <c r="C3" s="54" t="s">
        <v>378</v>
      </c>
      <c r="D3" s="54" t="s">
        <v>366</v>
      </c>
      <c r="F3" s="55" t="s">
        <v>367</v>
      </c>
      <c r="K3" s="54" t="s">
        <v>368</v>
      </c>
      <c r="L3" s="55" t="s">
        <v>369</v>
      </c>
      <c r="O3" s="55" t="s">
        <v>370</v>
      </c>
      <c r="Q3" s="54" t="s">
        <v>527</v>
      </c>
      <c r="R3" s="54" t="s">
        <v>527</v>
      </c>
      <c r="S3" s="495" t="s">
        <v>702</v>
      </c>
      <c r="T3" s="54" t="s">
        <v>357</v>
      </c>
      <c r="U3" s="55" t="s">
        <v>371</v>
      </c>
      <c r="W3" s="54" t="s">
        <v>162</v>
      </c>
      <c r="AC3" s="56" t="s">
        <v>644</v>
      </c>
      <c r="AG3" s="54" t="s">
        <v>693</v>
      </c>
      <c r="AH3" s="54" t="s">
        <v>695</v>
      </c>
      <c r="AI3" s="54" t="s">
        <v>697</v>
      </c>
      <c r="AL3" s="485" t="s">
        <v>607</v>
      </c>
      <c r="AM3" s="485"/>
      <c r="AN3" s="485"/>
      <c r="AO3" s="486">
        <v>0.1</v>
      </c>
      <c r="AQ3" s="54" t="s">
        <v>131</v>
      </c>
      <c r="AS3" s="431"/>
      <c r="AU3" s="54" t="s">
        <v>120</v>
      </c>
      <c r="AV3" s="431"/>
      <c r="AW3" s="431"/>
      <c r="AY3" s="54" t="s">
        <v>580</v>
      </c>
      <c r="BB3" s="431"/>
      <c r="BD3" s="54" t="s">
        <v>581</v>
      </c>
      <c r="BF3" s="484" t="s">
        <v>268</v>
      </c>
      <c r="BG3" s="484" t="s">
        <v>269</v>
      </c>
      <c r="BH3" s="484" t="s">
        <v>270</v>
      </c>
      <c r="BI3" s="484"/>
      <c r="BJ3" s="484"/>
      <c r="BK3" s="484" t="s">
        <v>588</v>
      </c>
      <c r="BL3" s="487" t="s">
        <v>579</v>
      </c>
      <c r="BM3" s="484" t="s">
        <v>589</v>
      </c>
      <c r="BO3" s="484" t="s">
        <v>639</v>
      </c>
    </row>
    <row r="4" spans="2:67" s="54" customFormat="1">
      <c r="B4" s="54" t="s">
        <v>372</v>
      </c>
      <c r="C4" s="54" t="s">
        <v>714</v>
      </c>
      <c r="D4" s="54" t="s">
        <v>373</v>
      </c>
      <c r="E4" s="54" t="s">
        <v>676</v>
      </c>
      <c r="F4" s="54" t="s">
        <v>374</v>
      </c>
      <c r="G4" s="54" t="s">
        <v>375</v>
      </c>
      <c r="H4" s="54" t="s">
        <v>376</v>
      </c>
      <c r="I4" s="54" t="s">
        <v>377</v>
      </c>
      <c r="J4" s="54" t="s">
        <v>378</v>
      </c>
      <c r="K4" s="54" t="s">
        <v>379</v>
      </c>
      <c r="L4" s="54" t="s">
        <v>380</v>
      </c>
      <c r="M4" s="54" t="s">
        <v>381</v>
      </c>
      <c r="N4" s="54" t="s">
        <v>382</v>
      </c>
      <c r="O4" s="56" t="s">
        <v>380</v>
      </c>
      <c r="P4" s="54" t="s">
        <v>383</v>
      </c>
      <c r="Q4" s="54" t="s">
        <v>528</v>
      </c>
      <c r="R4" s="54" t="s">
        <v>379</v>
      </c>
      <c r="S4" s="495" t="s">
        <v>703</v>
      </c>
      <c r="T4" s="54" t="s">
        <v>379</v>
      </c>
      <c r="U4" s="54" t="s">
        <v>380</v>
      </c>
      <c r="V4" s="54" t="s">
        <v>384</v>
      </c>
      <c r="W4" s="54" t="s">
        <v>505</v>
      </c>
      <c r="Y4" s="54" t="s">
        <v>380</v>
      </c>
      <c r="Z4" s="54" t="s">
        <v>701</v>
      </c>
      <c r="AA4" s="54" t="s">
        <v>384</v>
      </c>
      <c r="AC4" s="54" t="s">
        <v>378</v>
      </c>
      <c r="AD4" s="56" t="s">
        <v>645</v>
      </c>
      <c r="AE4" s="56" t="s">
        <v>646</v>
      </c>
      <c r="AG4" s="54" t="s">
        <v>694</v>
      </c>
      <c r="AH4" s="54" t="s">
        <v>696</v>
      </c>
      <c r="AI4" s="54" t="s">
        <v>698</v>
      </c>
      <c r="AK4" s="54" t="s">
        <v>378</v>
      </c>
      <c r="AL4" s="54" t="s">
        <v>608</v>
      </c>
      <c r="AM4" s="54" t="s">
        <v>609</v>
      </c>
      <c r="AN4" s="54" t="s">
        <v>378</v>
      </c>
      <c r="AO4" s="54" t="s">
        <v>612</v>
      </c>
      <c r="AQ4" s="54" t="s">
        <v>378</v>
      </c>
      <c r="AR4" s="54" t="s">
        <v>578</v>
      </c>
      <c r="AS4" s="431" t="s">
        <v>579</v>
      </c>
      <c r="AU4" s="54" t="s">
        <v>578</v>
      </c>
      <c r="AV4" s="431" t="s">
        <v>579</v>
      </c>
      <c r="AW4" s="431" t="s">
        <v>640</v>
      </c>
      <c r="AY4" s="54" t="s">
        <v>378</v>
      </c>
      <c r="AZ4" s="54" t="s">
        <v>578</v>
      </c>
      <c r="BA4" s="54" t="s">
        <v>592</v>
      </c>
      <c r="BB4" s="431" t="s">
        <v>579</v>
      </c>
      <c r="BD4" s="54" t="s">
        <v>582</v>
      </c>
      <c r="BF4" s="484"/>
      <c r="BG4" s="484"/>
      <c r="BH4" s="484"/>
      <c r="BI4" s="484"/>
      <c r="BJ4" s="484"/>
      <c r="BL4" s="431"/>
      <c r="BO4" s="54" t="s">
        <v>378</v>
      </c>
    </row>
    <row r="5" spans="2:67" s="221" customFormat="1">
      <c r="B5">
        <v>1980</v>
      </c>
      <c r="C5">
        <v>31.2</v>
      </c>
      <c r="D5" s="446">
        <f t="shared" ref="D5:D19" si="0">C5*E$46*1000</f>
        <v>19893.813018919085</v>
      </c>
      <c r="O5" s="450"/>
      <c r="S5" s="503"/>
      <c r="AD5" s="450"/>
      <c r="AE5" s="450"/>
      <c r="AS5" s="504"/>
      <c r="AV5" s="504"/>
      <c r="AW5" s="504"/>
      <c r="BB5" s="504"/>
      <c r="BF5" s="1"/>
      <c r="BG5" s="1"/>
      <c r="BH5" s="1"/>
      <c r="BI5" s="1"/>
      <c r="BJ5" s="1"/>
      <c r="BL5" s="504"/>
    </row>
    <row r="6" spans="2:67" s="221" customFormat="1">
      <c r="B6">
        <v>1981</v>
      </c>
      <c r="C6">
        <v>27.1</v>
      </c>
      <c r="D6" s="446">
        <f t="shared" si="0"/>
        <v>17279.561949125233</v>
      </c>
      <c r="O6" s="450"/>
      <c r="S6" s="503"/>
      <c r="AD6" s="450"/>
      <c r="AE6" s="450"/>
      <c r="AS6" s="504"/>
      <c r="AV6" s="504"/>
      <c r="AW6" s="504"/>
      <c r="BB6" s="504"/>
      <c r="BF6" s="1"/>
      <c r="BG6" s="1"/>
      <c r="BH6" s="1"/>
      <c r="BI6" s="1"/>
      <c r="BJ6" s="1"/>
      <c r="BL6" s="504"/>
    </row>
    <row r="7" spans="2:67" s="221" customFormat="1">
      <c r="B7">
        <v>1982</v>
      </c>
      <c r="C7">
        <v>26.7</v>
      </c>
      <c r="D7" s="446">
        <f t="shared" si="0"/>
        <v>17024.513064267292</v>
      </c>
      <c r="O7" s="450"/>
      <c r="S7" s="503"/>
      <c r="AD7" s="450"/>
      <c r="AE7" s="450"/>
      <c r="AS7" s="504"/>
      <c r="AV7" s="504"/>
      <c r="AW7" s="504"/>
      <c r="BB7" s="504"/>
      <c r="BF7" s="1"/>
      <c r="BG7" s="1"/>
      <c r="BH7" s="1"/>
      <c r="BI7" s="1"/>
      <c r="BJ7" s="1"/>
      <c r="BL7" s="504"/>
    </row>
    <row r="8" spans="2:67" s="221" customFormat="1">
      <c r="B8">
        <v>1983</v>
      </c>
      <c r="C8">
        <v>23.7</v>
      </c>
      <c r="D8" s="446">
        <f t="shared" si="0"/>
        <v>15111.646427832768</v>
      </c>
      <c r="O8" s="450"/>
      <c r="S8" s="503"/>
      <c r="AD8" s="450"/>
      <c r="AE8" s="450"/>
      <c r="AS8" s="504"/>
      <c r="AV8" s="504"/>
      <c r="AW8" s="504"/>
      <c r="BB8" s="504"/>
      <c r="BF8" s="1"/>
      <c r="BG8" s="1"/>
      <c r="BH8" s="1"/>
      <c r="BI8" s="1"/>
      <c r="BJ8" s="1"/>
      <c r="BL8" s="504"/>
    </row>
    <row r="9" spans="2:67" s="221" customFormat="1">
      <c r="B9">
        <v>1984</v>
      </c>
      <c r="C9">
        <v>28.7</v>
      </c>
      <c r="D9" s="446">
        <f t="shared" si="0"/>
        <v>18299.757488556977</v>
      </c>
      <c r="O9" s="450"/>
      <c r="S9" s="503"/>
      <c r="AD9" s="450"/>
      <c r="AE9" s="450"/>
      <c r="AS9" s="504"/>
      <c r="AV9" s="504"/>
      <c r="AW9" s="504"/>
      <c r="BB9" s="504"/>
      <c r="BF9" s="1"/>
      <c r="BG9" s="1"/>
      <c r="BH9" s="1"/>
      <c r="BI9" s="1"/>
      <c r="BJ9" s="1"/>
      <c r="BL9" s="504"/>
    </row>
    <row r="10" spans="2:67" s="221" customFormat="1">
      <c r="B10">
        <v>1985</v>
      </c>
      <c r="C10">
        <v>30.3</v>
      </c>
      <c r="D10" s="446">
        <f t="shared" si="0"/>
        <v>19319.953027988729</v>
      </c>
      <c r="O10" s="450"/>
      <c r="S10" s="503"/>
      <c r="AD10" s="450"/>
      <c r="AE10" s="450"/>
      <c r="AS10" s="504"/>
      <c r="AV10" s="504"/>
      <c r="AW10" s="504"/>
      <c r="BB10" s="504"/>
      <c r="BF10" s="1"/>
      <c r="BG10" s="1"/>
      <c r="BH10" s="1"/>
      <c r="BI10" s="1"/>
      <c r="BJ10" s="1"/>
      <c r="BL10" s="504"/>
    </row>
    <row r="11" spans="2:67" s="221" customFormat="1">
      <c r="B11">
        <v>1986</v>
      </c>
      <c r="C11">
        <v>31.4</v>
      </c>
      <c r="D11" s="446">
        <f t="shared" si="0"/>
        <v>20021.337461348056</v>
      </c>
      <c r="O11" s="450"/>
      <c r="S11" s="503"/>
      <c r="AD11" s="450"/>
      <c r="AE11" s="450"/>
      <c r="AS11" s="504"/>
      <c r="AV11" s="504"/>
      <c r="AW11" s="504"/>
      <c r="BB11" s="504"/>
      <c r="BF11" s="1"/>
      <c r="BG11" s="1"/>
      <c r="BH11" s="1"/>
      <c r="BI11" s="1"/>
      <c r="BJ11" s="1"/>
      <c r="BL11" s="504"/>
    </row>
    <row r="12" spans="2:67" s="221" customFormat="1">
      <c r="B12">
        <v>1987</v>
      </c>
      <c r="C12">
        <v>38.299999999999997</v>
      </c>
      <c r="D12" s="446">
        <f t="shared" si="0"/>
        <v>24420.930725147464</v>
      </c>
      <c r="O12" s="450"/>
      <c r="S12" s="503"/>
      <c r="AD12" s="450"/>
      <c r="AE12" s="450"/>
      <c r="AS12" s="504"/>
      <c r="AV12" s="504"/>
      <c r="AW12" s="504"/>
      <c r="BB12" s="504"/>
      <c r="BF12" s="1"/>
      <c r="BG12" s="1"/>
      <c r="BH12" s="1"/>
      <c r="BI12" s="1"/>
      <c r="BJ12" s="1"/>
      <c r="BL12" s="504"/>
    </row>
    <row r="13" spans="2:67" s="221" customFormat="1">
      <c r="B13">
        <v>1988</v>
      </c>
      <c r="C13">
        <v>36.700000000000003</v>
      </c>
      <c r="D13" s="446">
        <f t="shared" si="0"/>
        <v>23400.735185715723</v>
      </c>
      <c r="O13" s="450"/>
      <c r="S13" s="503"/>
      <c r="AD13" s="450"/>
      <c r="AE13" s="450"/>
      <c r="AS13" s="504"/>
      <c r="AV13" s="504"/>
      <c r="AW13" s="504"/>
      <c r="BB13" s="504"/>
      <c r="BF13" s="1"/>
      <c r="BG13" s="1"/>
      <c r="BH13" s="1"/>
      <c r="BI13" s="1"/>
      <c r="BJ13" s="1"/>
      <c r="BL13" s="504"/>
    </row>
    <row r="14" spans="2:67" s="221" customFormat="1">
      <c r="B14">
        <v>1989</v>
      </c>
      <c r="C14">
        <v>33.1</v>
      </c>
      <c r="D14" s="446">
        <f t="shared" si="0"/>
        <v>21105.295221994285</v>
      </c>
      <c r="O14" s="450"/>
      <c r="S14" s="503"/>
      <c r="AD14" s="450"/>
      <c r="AE14" s="450"/>
      <c r="AS14" s="504"/>
      <c r="AV14" s="504"/>
      <c r="AW14" s="504"/>
      <c r="BB14" s="504"/>
      <c r="BF14" s="1"/>
      <c r="BG14" s="1"/>
      <c r="BH14" s="1"/>
      <c r="BI14" s="1"/>
      <c r="BJ14" s="1"/>
      <c r="BL14" s="504"/>
    </row>
    <row r="15" spans="2:67" s="221" customFormat="1">
      <c r="B15">
        <v>1990</v>
      </c>
      <c r="C15">
        <v>28.1</v>
      </c>
      <c r="D15" s="446">
        <f t="shared" si="0"/>
        <v>17917.184161270074</v>
      </c>
      <c r="O15" s="450"/>
      <c r="S15" s="503"/>
      <c r="AD15" s="450"/>
      <c r="AE15" s="450"/>
      <c r="AS15" s="504"/>
      <c r="AV15" s="504"/>
      <c r="AW15" s="504"/>
      <c r="BB15" s="504"/>
      <c r="BF15" s="1"/>
      <c r="BG15" s="1"/>
      <c r="BH15" s="1"/>
      <c r="BI15" s="1"/>
      <c r="BJ15" s="1"/>
      <c r="BL15" s="504"/>
    </row>
    <row r="16" spans="2:67" s="221" customFormat="1">
      <c r="B16">
        <v>1991</v>
      </c>
      <c r="C16">
        <v>22.1</v>
      </c>
      <c r="D16" s="446">
        <f t="shared" si="0"/>
        <v>14091.450888401021</v>
      </c>
      <c r="O16" s="450"/>
      <c r="S16" s="503"/>
      <c r="AD16" s="450"/>
      <c r="AE16" s="450"/>
      <c r="AS16" s="504"/>
      <c r="AV16" s="504"/>
      <c r="AW16" s="504"/>
      <c r="BB16" s="504"/>
      <c r="BF16" s="1"/>
      <c r="BG16" s="1"/>
      <c r="BH16" s="1"/>
      <c r="BI16" s="1"/>
      <c r="BJ16" s="1"/>
      <c r="BL16" s="504"/>
    </row>
    <row r="17" spans="2:67" s="221" customFormat="1">
      <c r="B17">
        <v>1992</v>
      </c>
      <c r="C17">
        <v>19.2</v>
      </c>
      <c r="D17" s="446">
        <f t="shared" si="0"/>
        <v>12242.346473180974</v>
      </c>
      <c r="O17" s="450"/>
      <c r="S17" s="503"/>
      <c r="AD17" s="450"/>
      <c r="AE17" s="450"/>
      <c r="AS17" s="504"/>
      <c r="AV17" s="504"/>
      <c r="AW17" s="504"/>
      <c r="BB17" s="504"/>
      <c r="BF17" s="1"/>
      <c r="BG17" s="1"/>
      <c r="BH17" s="1"/>
      <c r="BI17" s="1"/>
      <c r="BJ17" s="1"/>
      <c r="BL17" s="504"/>
    </row>
    <row r="18" spans="2:67" s="221" customFormat="1">
      <c r="B18">
        <v>1993</v>
      </c>
      <c r="C18">
        <v>23.6</v>
      </c>
      <c r="D18" s="446">
        <f t="shared" si="0"/>
        <v>15047.884206618282</v>
      </c>
      <c r="O18" s="450"/>
      <c r="S18" s="503"/>
      <c r="AD18" s="450"/>
      <c r="AE18" s="450"/>
      <c r="AS18" s="504"/>
      <c r="AV18" s="504"/>
      <c r="AW18" s="504"/>
      <c r="BB18" s="504"/>
      <c r="BF18" s="1"/>
      <c r="BG18" s="1"/>
      <c r="BH18" s="1"/>
      <c r="BI18" s="1"/>
      <c r="BJ18" s="1"/>
      <c r="BL18" s="504"/>
    </row>
    <row r="19" spans="2:67" s="221" customFormat="1">
      <c r="B19">
        <v>1994</v>
      </c>
      <c r="C19">
        <v>19.5</v>
      </c>
      <c r="D19" s="446">
        <f t="shared" si="0"/>
        <v>12433.63313682443</v>
      </c>
      <c r="O19" s="450"/>
      <c r="S19" s="503"/>
      <c r="AD19" s="450"/>
      <c r="AE19" s="450"/>
      <c r="AS19" s="504"/>
      <c r="AV19" s="504"/>
      <c r="AW19" s="504"/>
      <c r="BB19" s="504"/>
      <c r="BF19" s="1"/>
      <c r="BG19" s="1"/>
      <c r="BH19" s="1"/>
      <c r="BI19" s="1"/>
      <c r="BJ19" s="1"/>
      <c r="BL19" s="504"/>
    </row>
    <row r="20" spans="2:67">
      <c r="B20" s="52">
        <v>1995</v>
      </c>
      <c r="C20" s="501">
        <v>17.100000000000001</v>
      </c>
      <c r="D20" s="284">
        <v>12455</v>
      </c>
      <c r="E20" s="505">
        <f>D20/(C20*1000)</f>
        <v>0.72836257309941521</v>
      </c>
      <c r="F20" s="286">
        <v>14</v>
      </c>
      <c r="G20" s="287" t="s">
        <v>363</v>
      </c>
      <c r="H20" s="286">
        <v>0</v>
      </c>
      <c r="I20" s="287" t="s">
        <v>363</v>
      </c>
      <c r="J20">
        <f t="shared" ref="J20:J44" si="1">SUM(F20:I20)</f>
        <v>14</v>
      </c>
      <c r="K20" s="284">
        <v>12441</v>
      </c>
      <c r="L20" s="286">
        <v>0</v>
      </c>
      <c r="M20" s="286">
        <v>417</v>
      </c>
      <c r="N20" s="284">
        <v>12024</v>
      </c>
      <c r="P20" s="286">
        <v>0</v>
      </c>
      <c r="Q20" s="284">
        <f t="shared" ref="Q20:Q24" si="2">N20-O20-P20-AK21</f>
        <v>12024</v>
      </c>
      <c r="R20" s="15">
        <v>12162</v>
      </c>
      <c r="S20" s="496">
        <f>R20/Q20</f>
        <v>1.0114770459081837</v>
      </c>
      <c r="T20" s="15">
        <v>2767</v>
      </c>
      <c r="U20" s="287" t="s">
        <v>363</v>
      </c>
      <c r="V20" s="287" t="s">
        <v>363</v>
      </c>
    </row>
    <row r="21" spans="2:67">
      <c r="B21" s="52">
        <v>1996</v>
      </c>
      <c r="C21" s="501">
        <v>18</v>
      </c>
      <c r="D21" s="284">
        <v>12080</v>
      </c>
      <c r="E21" s="506">
        <f t="shared" ref="E21:E41" si="3">D21/(C21*1000)</f>
        <v>0.6711111111111111</v>
      </c>
      <c r="F21" s="286">
        <v>34</v>
      </c>
      <c r="G21" s="287" t="s">
        <v>363</v>
      </c>
      <c r="H21" s="286">
        <v>15</v>
      </c>
      <c r="I21" s="287" t="s">
        <v>363</v>
      </c>
      <c r="J21">
        <f t="shared" si="1"/>
        <v>49</v>
      </c>
      <c r="K21" s="284">
        <v>12031</v>
      </c>
      <c r="L21" s="286">
        <v>0</v>
      </c>
      <c r="M21" s="286">
        <v>374</v>
      </c>
      <c r="N21" s="284">
        <v>11657</v>
      </c>
      <c r="P21" s="286">
        <v>0</v>
      </c>
      <c r="Q21" s="284">
        <f t="shared" si="2"/>
        <v>11657</v>
      </c>
      <c r="R21" s="15">
        <v>10950</v>
      </c>
      <c r="S21" s="496">
        <f t="shared" ref="S21:S42" si="4">R21/Q21</f>
        <v>0.93934974693317319</v>
      </c>
      <c r="T21" s="15">
        <v>2218</v>
      </c>
      <c r="U21" s="287" t="s">
        <v>363</v>
      </c>
      <c r="V21" s="287" t="s">
        <v>363</v>
      </c>
    </row>
    <row r="22" spans="2:67">
      <c r="B22" s="52">
        <v>1997</v>
      </c>
      <c r="C22" s="501">
        <v>29.9</v>
      </c>
      <c r="D22" s="284">
        <v>17709</v>
      </c>
      <c r="E22" s="506">
        <f t="shared" si="3"/>
        <v>0.59227424749163882</v>
      </c>
      <c r="F22" s="286">
        <v>16</v>
      </c>
      <c r="G22" s="287" t="s">
        <v>363</v>
      </c>
      <c r="H22" s="286">
        <v>6</v>
      </c>
      <c r="I22" s="287" t="s">
        <v>363</v>
      </c>
      <c r="J22">
        <f t="shared" si="1"/>
        <v>22</v>
      </c>
      <c r="K22" s="284">
        <v>17687</v>
      </c>
      <c r="L22" s="286">
        <v>0</v>
      </c>
      <c r="M22" s="286">
        <v>270</v>
      </c>
      <c r="N22" s="284">
        <v>17417</v>
      </c>
      <c r="P22" s="286">
        <v>0</v>
      </c>
      <c r="Q22" s="284">
        <f t="shared" si="2"/>
        <v>17417</v>
      </c>
      <c r="R22" s="15">
        <v>13394</v>
      </c>
      <c r="S22" s="496">
        <f t="shared" si="4"/>
        <v>0.76901877476029168</v>
      </c>
      <c r="T22" s="15">
        <v>2424</v>
      </c>
      <c r="U22" s="287" t="s">
        <v>363</v>
      </c>
      <c r="V22" s="287" t="s">
        <v>363</v>
      </c>
    </row>
    <row r="23" spans="2:67">
      <c r="B23" s="52">
        <v>1998</v>
      </c>
      <c r="C23" s="501">
        <v>24.1</v>
      </c>
      <c r="D23" s="284">
        <v>15536</v>
      </c>
      <c r="E23" s="506">
        <f t="shared" si="3"/>
        <v>0.64464730290456429</v>
      </c>
      <c r="F23" s="286">
        <v>27</v>
      </c>
      <c r="G23" s="287" t="s">
        <v>363</v>
      </c>
      <c r="H23" s="286">
        <v>1</v>
      </c>
      <c r="I23" s="287" t="s">
        <v>363</v>
      </c>
      <c r="J23">
        <f t="shared" si="1"/>
        <v>28</v>
      </c>
      <c r="K23" s="284">
        <v>15508</v>
      </c>
      <c r="L23" s="286">
        <v>0</v>
      </c>
      <c r="M23" s="286">
        <v>335</v>
      </c>
      <c r="N23" s="284">
        <v>15173</v>
      </c>
      <c r="P23" s="286">
        <v>0</v>
      </c>
      <c r="Q23" s="284">
        <f t="shared" si="2"/>
        <v>15173</v>
      </c>
      <c r="R23" s="15">
        <v>13387</v>
      </c>
      <c r="S23" s="496">
        <f t="shared" si="4"/>
        <v>0.88229091148751071</v>
      </c>
      <c r="T23" s="15">
        <v>3387</v>
      </c>
      <c r="U23" s="287" t="s">
        <v>363</v>
      </c>
      <c r="V23" s="287" t="s">
        <v>363</v>
      </c>
    </row>
    <row r="24" spans="2:67">
      <c r="B24" s="52">
        <v>1999</v>
      </c>
      <c r="C24" s="501">
        <v>30.3</v>
      </c>
      <c r="D24" s="284">
        <v>21867</v>
      </c>
      <c r="E24" s="506">
        <f t="shared" si="3"/>
        <v>0.72168316831683166</v>
      </c>
      <c r="F24" s="286">
        <v>51</v>
      </c>
      <c r="G24" s="287" t="s">
        <v>363</v>
      </c>
      <c r="H24" s="286">
        <v>1</v>
      </c>
      <c r="I24" s="287" t="s">
        <v>363</v>
      </c>
      <c r="J24">
        <f t="shared" si="1"/>
        <v>52</v>
      </c>
      <c r="K24" s="284">
        <v>21815</v>
      </c>
      <c r="L24" s="286">
        <v>0</v>
      </c>
      <c r="M24" s="286">
        <v>395</v>
      </c>
      <c r="N24" s="284">
        <v>21420</v>
      </c>
      <c r="P24" s="286">
        <v>0</v>
      </c>
      <c r="Q24" s="284">
        <f t="shared" si="2"/>
        <v>21420</v>
      </c>
      <c r="R24" s="15">
        <v>18725</v>
      </c>
      <c r="S24" s="496">
        <f t="shared" si="4"/>
        <v>0.87418300653594772</v>
      </c>
      <c r="T24" s="15">
        <v>7351</v>
      </c>
      <c r="U24" s="287" t="s">
        <v>363</v>
      </c>
      <c r="V24" s="287" t="s">
        <v>363</v>
      </c>
    </row>
    <row r="25" spans="2:67">
      <c r="B25" s="52">
        <v>2000</v>
      </c>
      <c r="C25" s="501">
        <v>44.4</v>
      </c>
      <c r="D25" s="284">
        <v>22595</v>
      </c>
      <c r="E25" s="506">
        <f t="shared" si="3"/>
        <v>0.50889639639639639</v>
      </c>
      <c r="F25" s="286">
        <v>17</v>
      </c>
      <c r="G25" s="288"/>
      <c r="H25" s="286">
        <v>0</v>
      </c>
      <c r="I25" s="287"/>
      <c r="J25">
        <f t="shared" si="1"/>
        <v>17</v>
      </c>
      <c r="K25" s="284">
        <v>22578</v>
      </c>
      <c r="L25" s="286">
        <v>0</v>
      </c>
      <c r="M25" s="286">
        <v>209</v>
      </c>
      <c r="N25" s="284">
        <v>22369</v>
      </c>
      <c r="P25" s="286">
        <v>39</v>
      </c>
      <c r="Q25" s="284">
        <f t="shared" ref="Q25:Q44" si="5">N25-O25-P25-AK26</f>
        <v>22330</v>
      </c>
      <c r="R25" s="15">
        <v>19360</v>
      </c>
      <c r="S25" s="496">
        <f t="shared" si="4"/>
        <v>0.86699507389162567</v>
      </c>
      <c r="T25" s="15">
        <v>6376</v>
      </c>
      <c r="U25" s="284">
        <v>1092</v>
      </c>
      <c r="V25" s="286">
        <v>442</v>
      </c>
      <c r="W25" s="15">
        <f t="shared" ref="W25:W43" si="6">F25+G25+H25+I25+L25+M25+O25+P25+U25+V25</f>
        <v>1799</v>
      </c>
      <c r="X25" s="15"/>
      <c r="Y25" s="93">
        <f t="shared" ref="Y25:Y43" si="7">(F25+L25+O25+U25)/D25</f>
        <v>4.9081655233458726E-2</v>
      </c>
      <c r="Z25" s="93">
        <f t="shared" ref="Z25:Z44" si="8">(H25+G25)/D25</f>
        <v>0</v>
      </c>
      <c r="AA25" s="93">
        <f t="shared" ref="AA25:AA44" si="9">V25/D25</f>
        <v>1.9561849966806814E-2</v>
      </c>
      <c r="AB25" s="15"/>
      <c r="AC25" s="93">
        <f t="shared" ref="AC25:AC43" si="10">(F25+G25+L25+O25)/D25</f>
        <v>7.5237884487718519E-4</v>
      </c>
      <c r="AD25" s="93">
        <f t="shared" ref="AD25:AD43" si="11">(I25+M25+P25)/D25</f>
        <v>1.097587961938482E-2</v>
      </c>
      <c r="AE25" s="93">
        <f t="shared" ref="AE25:AE43" si="12">(U25+V25)/D25</f>
        <v>6.7891126355388354E-2</v>
      </c>
      <c r="AF25" s="15"/>
      <c r="AG25" s="93">
        <f t="shared" ref="AG25:AG43" si="13">J25/D25</f>
        <v>7.5237884487718519E-4</v>
      </c>
      <c r="AH25" s="93">
        <f t="shared" ref="AH25:AH43" si="14">(L25+M25+O25+P25)/K25</f>
        <v>1.0984143856851803E-2</v>
      </c>
      <c r="AI25" s="93">
        <f t="shared" ref="AI25:AI43" si="15">(U25+V25)/Q25</f>
        <v>6.8696820420958357E-2</v>
      </c>
      <c r="AJ25" s="15"/>
      <c r="AL25" s="15"/>
      <c r="AM25" s="15"/>
      <c r="AN25" s="15"/>
      <c r="AO25" s="15"/>
      <c r="AP25" s="15"/>
      <c r="AQ25" s="15"/>
      <c r="AR25" s="15"/>
      <c r="AT25" s="15"/>
      <c r="AU25" s="15"/>
      <c r="AX25" s="15"/>
      <c r="AY25" s="15"/>
      <c r="AZ25" s="15"/>
      <c r="BA25" s="15"/>
      <c r="BC25" s="15"/>
      <c r="BD25" s="15"/>
      <c r="BE25" s="15"/>
      <c r="BM25" s="15"/>
      <c r="BN25" s="15"/>
      <c r="BO25" s="15"/>
    </row>
    <row r="26" spans="2:67">
      <c r="B26" s="52">
        <v>2001</v>
      </c>
      <c r="C26" s="501">
        <v>91.3</v>
      </c>
      <c r="D26" s="284">
        <v>52960</v>
      </c>
      <c r="E26" s="506">
        <f t="shared" si="3"/>
        <v>0.58006571741511503</v>
      </c>
      <c r="F26" s="286">
        <v>64</v>
      </c>
      <c r="G26" s="288"/>
      <c r="H26" s="286">
        <v>1</v>
      </c>
      <c r="I26" s="287"/>
      <c r="J26">
        <f t="shared" si="1"/>
        <v>65</v>
      </c>
      <c r="K26" s="284">
        <v>52895</v>
      </c>
      <c r="L26" s="286">
        <v>0</v>
      </c>
      <c r="M26" s="286">
        <v>692</v>
      </c>
      <c r="N26" s="284">
        <v>52203</v>
      </c>
      <c r="P26" s="286">
        <v>82</v>
      </c>
      <c r="Q26" s="284">
        <f t="shared" si="5"/>
        <v>52121</v>
      </c>
      <c r="R26" s="15">
        <v>51722</v>
      </c>
      <c r="S26" s="496">
        <f t="shared" si="4"/>
        <v>0.99234473628671749</v>
      </c>
      <c r="T26" s="15">
        <v>33244</v>
      </c>
      <c r="U26" s="284">
        <v>4380</v>
      </c>
      <c r="V26" s="284">
        <v>2346</v>
      </c>
      <c r="W26" s="15">
        <f t="shared" si="6"/>
        <v>7565</v>
      </c>
      <c r="X26" s="15"/>
      <c r="Y26" s="93">
        <f t="shared" si="7"/>
        <v>8.3912386706948644E-2</v>
      </c>
      <c r="Z26" s="93">
        <f t="shared" si="8"/>
        <v>1.8882175226586103E-5</v>
      </c>
      <c r="AA26" s="93">
        <f t="shared" si="9"/>
        <v>4.4297583081570995E-2</v>
      </c>
      <c r="AB26" s="15"/>
      <c r="AC26" s="93">
        <f t="shared" si="10"/>
        <v>1.2084592145015106E-3</v>
      </c>
      <c r="AD26" s="93">
        <f t="shared" si="11"/>
        <v>1.4614803625377643E-2</v>
      </c>
      <c r="AE26" s="93">
        <f t="shared" si="12"/>
        <v>0.12700151057401812</v>
      </c>
      <c r="AF26" s="15"/>
      <c r="AG26" s="93">
        <f t="shared" si="13"/>
        <v>1.2273413897280966E-3</v>
      </c>
      <c r="AH26" s="93">
        <f t="shared" si="14"/>
        <v>1.4632763021079498E-2</v>
      </c>
      <c r="AI26" s="93">
        <f t="shared" si="15"/>
        <v>0.12904587402390591</v>
      </c>
      <c r="AJ26" s="15"/>
      <c r="AL26" s="15"/>
      <c r="AM26" s="15"/>
      <c r="AN26" s="15"/>
      <c r="AO26" s="15"/>
      <c r="AP26" s="15"/>
      <c r="AQ26" s="15"/>
      <c r="AR26" s="15"/>
      <c r="AT26" s="15"/>
      <c r="AU26" s="15"/>
      <c r="AX26" s="15"/>
      <c r="AY26" s="15"/>
      <c r="AZ26" s="15"/>
      <c r="BA26" s="15"/>
      <c r="BC26" s="15"/>
      <c r="BD26" s="15"/>
      <c r="BE26" s="15"/>
      <c r="BM26" s="15"/>
      <c r="BN26" s="15"/>
      <c r="BO26" s="15"/>
    </row>
    <row r="27" spans="2:67">
      <c r="B27" s="52">
        <v>2002</v>
      </c>
      <c r="C27" s="502">
        <v>136.9</v>
      </c>
      <c r="D27" s="284">
        <v>89524</v>
      </c>
      <c r="E27" s="507">
        <f t="shared" si="3"/>
        <v>0.65393718042366689</v>
      </c>
      <c r="F27" s="284">
        <v>1447</v>
      </c>
      <c r="G27" s="288"/>
      <c r="H27" s="286">
        <v>8</v>
      </c>
      <c r="I27" s="287"/>
      <c r="J27">
        <f t="shared" si="1"/>
        <v>1455</v>
      </c>
      <c r="K27" s="284">
        <v>88069</v>
      </c>
      <c r="L27" s="286">
        <v>113</v>
      </c>
      <c r="M27" s="284">
        <v>2093</v>
      </c>
      <c r="N27" s="284">
        <v>85863</v>
      </c>
      <c r="O27" s="286">
        <v>36</v>
      </c>
      <c r="P27" s="286">
        <v>197</v>
      </c>
      <c r="Q27" s="284">
        <f t="shared" si="5"/>
        <v>85630</v>
      </c>
      <c r="R27" s="15">
        <v>96329</v>
      </c>
      <c r="S27" s="496">
        <f t="shared" si="4"/>
        <v>1.1249445287866402</v>
      </c>
      <c r="T27" s="15">
        <v>62595</v>
      </c>
      <c r="U27" s="284">
        <v>4535</v>
      </c>
      <c r="V27" s="284">
        <v>2720</v>
      </c>
      <c r="W27" s="15">
        <f t="shared" si="6"/>
        <v>11149</v>
      </c>
      <c r="X27" s="15"/>
      <c r="Y27" s="93">
        <f t="shared" si="7"/>
        <v>6.8484428756534557E-2</v>
      </c>
      <c r="Z27" s="93">
        <f t="shared" si="8"/>
        <v>8.9361511996782983E-5</v>
      </c>
      <c r="AA27" s="93">
        <f t="shared" si="9"/>
        <v>3.0382914078906215E-2</v>
      </c>
      <c r="AB27" s="15"/>
      <c r="AC27" s="93">
        <f t="shared" si="10"/>
        <v>1.7827621643358205E-2</v>
      </c>
      <c r="AD27" s="93">
        <f t="shared" si="11"/>
        <v>2.5579732809079131E-2</v>
      </c>
      <c r="AE27" s="93">
        <f t="shared" si="12"/>
        <v>8.1039721192082567E-2</v>
      </c>
      <c r="AF27" s="15"/>
      <c r="AG27" s="93">
        <f t="shared" si="13"/>
        <v>1.6252624994414905E-2</v>
      </c>
      <c r="AH27" s="93">
        <f t="shared" si="14"/>
        <v>2.7694194324904338E-2</v>
      </c>
      <c r="AI27" s="93">
        <f t="shared" si="15"/>
        <v>8.4724979563237185E-2</v>
      </c>
      <c r="AJ27" s="15"/>
      <c r="AL27" s="15"/>
      <c r="AM27" s="15"/>
      <c r="AN27" s="15"/>
      <c r="AO27" s="15"/>
      <c r="AP27" s="15"/>
      <c r="AQ27" s="15"/>
      <c r="AR27" s="15"/>
      <c r="AT27" s="15"/>
      <c r="AU27" s="15"/>
      <c r="AX27" s="15"/>
      <c r="AY27" s="15"/>
      <c r="AZ27" s="15"/>
      <c r="BA27" s="15"/>
      <c r="BC27" s="15"/>
      <c r="BD27" s="15"/>
      <c r="BE27" s="15"/>
      <c r="BM27" s="15"/>
      <c r="BN27" s="15"/>
      <c r="BO27" s="15"/>
    </row>
    <row r="28" spans="2:67">
      <c r="B28" s="52">
        <v>2003</v>
      </c>
      <c r="C28" s="52">
        <v>83.058000000000007</v>
      </c>
      <c r="D28" s="284">
        <v>83058</v>
      </c>
      <c r="E28" s="494">
        <f t="shared" si="3"/>
        <v>1</v>
      </c>
      <c r="F28" s="284">
        <v>1945</v>
      </c>
      <c r="G28" s="288"/>
      <c r="H28" s="286">
        <v>36</v>
      </c>
      <c r="I28" s="287"/>
      <c r="J28">
        <f t="shared" si="1"/>
        <v>1981</v>
      </c>
      <c r="K28" s="284">
        <v>81077</v>
      </c>
      <c r="L28" s="286">
        <v>415</v>
      </c>
      <c r="M28" s="284">
        <v>4297</v>
      </c>
      <c r="N28" s="284">
        <v>76365</v>
      </c>
      <c r="O28" s="286">
        <v>40</v>
      </c>
      <c r="P28" s="286">
        <v>223</v>
      </c>
      <c r="Q28" s="284">
        <f t="shared" si="5"/>
        <v>76102</v>
      </c>
      <c r="R28" s="15">
        <v>82904</v>
      </c>
      <c r="S28" s="496">
        <f t="shared" si="4"/>
        <v>1.0893800425744395</v>
      </c>
      <c r="T28" s="15">
        <v>44503</v>
      </c>
      <c r="U28" s="284">
        <v>5187</v>
      </c>
      <c r="V28" s="284">
        <v>2178</v>
      </c>
      <c r="W28" s="15">
        <f t="shared" si="6"/>
        <v>14321</v>
      </c>
      <c r="X28" s="15"/>
      <c r="Y28" s="93">
        <f t="shared" si="7"/>
        <v>9.1345806544824104E-2</v>
      </c>
      <c r="Z28" s="93">
        <f t="shared" si="8"/>
        <v>4.3343205952466952E-4</v>
      </c>
      <c r="AA28" s="93">
        <f t="shared" si="9"/>
        <v>2.6222639601242506E-2</v>
      </c>
      <c r="AB28" s="15"/>
      <c r="AC28" s="93">
        <f t="shared" si="10"/>
        <v>2.8895470634977966E-2</v>
      </c>
      <c r="AD28" s="93">
        <f t="shared" si="11"/>
        <v>5.4419803029208506E-2</v>
      </c>
      <c r="AE28" s="93">
        <f t="shared" si="12"/>
        <v>8.8672975511088631E-2</v>
      </c>
      <c r="AF28" s="15"/>
      <c r="AG28" s="93">
        <f t="shared" si="13"/>
        <v>2.3850803053288065E-2</v>
      </c>
      <c r="AH28" s="93">
        <f t="shared" si="14"/>
        <v>6.1361421858233532E-2</v>
      </c>
      <c r="AI28" s="93">
        <f t="shared" si="15"/>
        <v>9.6778008462326884E-2</v>
      </c>
      <c r="AJ28" s="15"/>
      <c r="AL28" s="15"/>
      <c r="AM28" s="15"/>
      <c r="AN28" s="15"/>
      <c r="AO28" s="15"/>
      <c r="AP28" s="15"/>
      <c r="AQ28" s="15"/>
      <c r="AR28" s="15"/>
      <c r="AT28" s="15"/>
      <c r="AU28" s="15"/>
      <c r="AX28" s="15"/>
      <c r="AY28" s="15"/>
      <c r="AZ28" s="15"/>
      <c r="BA28" s="15"/>
      <c r="BC28" s="15"/>
      <c r="BD28" s="15"/>
      <c r="BE28" s="15"/>
      <c r="BM28" s="15"/>
      <c r="BN28" s="15"/>
      <c r="BO28" s="15"/>
    </row>
    <row r="29" spans="2:67">
      <c r="B29" s="52">
        <v>2004</v>
      </c>
      <c r="C29" s="52">
        <v>65.623000000000005</v>
      </c>
      <c r="D29" s="284">
        <v>65623</v>
      </c>
      <c r="E29" s="494">
        <f t="shared" si="3"/>
        <v>1</v>
      </c>
      <c r="F29" s="284">
        <v>1246</v>
      </c>
      <c r="G29" s="285">
        <v>219</v>
      </c>
      <c r="H29" s="286">
        <v>3</v>
      </c>
      <c r="I29" s="287"/>
      <c r="J29">
        <f t="shared" si="1"/>
        <v>1468</v>
      </c>
      <c r="K29" s="284">
        <v>64155</v>
      </c>
      <c r="L29" s="286">
        <v>260</v>
      </c>
      <c r="M29" s="284">
        <v>8394</v>
      </c>
      <c r="N29" s="284">
        <v>55501</v>
      </c>
      <c r="O29" s="286">
        <v>36</v>
      </c>
      <c r="P29" s="286">
        <v>157</v>
      </c>
      <c r="Q29" s="284">
        <f t="shared" si="5"/>
        <v>55308</v>
      </c>
      <c r="R29" s="15">
        <v>67060</v>
      </c>
      <c r="S29" s="496">
        <f t="shared" si="4"/>
        <v>1.2124828234613438</v>
      </c>
      <c r="T29" s="15">
        <v>31474</v>
      </c>
      <c r="U29" s="284">
        <v>5849</v>
      </c>
      <c r="V29" s="284">
        <v>1874</v>
      </c>
      <c r="W29" s="15">
        <f t="shared" si="6"/>
        <v>18038</v>
      </c>
      <c r="X29" s="15"/>
      <c r="Y29" s="93">
        <f t="shared" si="7"/>
        <v>0.11262819438306691</v>
      </c>
      <c r="Z29" s="93">
        <f t="shared" si="8"/>
        <v>3.3829602425978697E-3</v>
      </c>
      <c r="AA29" s="93">
        <f t="shared" si="9"/>
        <v>2.8557060786614449E-2</v>
      </c>
      <c r="AB29" s="15"/>
      <c r="AC29" s="93">
        <f t="shared" si="10"/>
        <v>2.6835103546012831E-2</v>
      </c>
      <c r="AD29" s="93">
        <f t="shared" si="11"/>
        <v>0.13030492357862336</v>
      </c>
      <c r="AE29" s="93">
        <f t="shared" si="12"/>
        <v>0.11768739618731237</v>
      </c>
      <c r="AF29" s="15"/>
      <c r="AG29" s="93">
        <f t="shared" si="13"/>
        <v>2.2370205568169696E-2</v>
      </c>
      <c r="AH29" s="93">
        <f t="shared" si="14"/>
        <v>0.13790039747486557</v>
      </c>
      <c r="AI29" s="93">
        <f t="shared" si="15"/>
        <v>0.13963621899182757</v>
      </c>
      <c r="AJ29" s="15"/>
      <c r="AL29" s="15"/>
      <c r="AM29" s="15"/>
      <c r="AN29" s="15"/>
      <c r="AO29" s="15"/>
      <c r="AP29" s="15"/>
      <c r="AQ29" s="15"/>
      <c r="AR29" s="15"/>
      <c r="AT29" s="15"/>
      <c r="AU29" s="15"/>
      <c r="AX29" s="15"/>
      <c r="AY29" s="15"/>
      <c r="AZ29" s="15"/>
      <c r="BA29" s="15"/>
      <c r="BC29" s="15"/>
      <c r="BD29" s="15"/>
      <c r="BE29" s="15"/>
      <c r="BG29" s="49" t="s">
        <v>593</v>
      </c>
      <c r="BM29" s="15"/>
      <c r="BN29" s="15"/>
      <c r="BO29" s="15"/>
    </row>
    <row r="30" spans="2:67">
      <c r="B30" s="52">
        <v>2005</v>
      </c>
      <c r="C30" s="52">
        <v>60.271999999999998</v>
      </c>
      <c r="D30" s="284">
        <v>60272</v>
      </c>
      <c r="E30" s="494">
        <f t="shared" si="3"/>
        <v>1</v>
      </c>
      <c r="F30" s="284">
        <v>1621</v>
      </c>
      <c r="G30" s="285">
        <v>2787</v>
      </c>
      <c r="H30" s="286">
        <v>0</v>
      </c>
      <c r="I30" s="287"/>
      <c r="J30">
        <f t="shared" si="1"/>
        <v>4408</v>
      </c>
      <c r="K30" s="284">
        <v>55864</v>
      </c>
      <c r="L30" s="286">
        <v>423</v>
      </c>
      <c r="M30" s="284">
        <v>7642</v>
      </c>
      <c r="N30" s="284">
        <v>47799</v>
      </c>
      <c r="O30" s="286">
        <v>2</v>
      </c>
      <c r="P30" s="286">
        <v>338</v>
      </c>
      <c r="Q30" s="284">
        <f t="shared" si="5"/>
        <v>47459</v>
      </c>
      <c r="R30" s="15">
        <v>61227</v>
      </c>
      <c r="S30" s="496">
        <f t="shared" si="4"/>
        <v>1.2901030363050212</v>
      </c>
      <c r="T30" s="15">
        <v>31066</v>
      </c>
      <c r="U30" s="284">
        <v>2192</v>
      </c>
      <c r="V30" s="286">
        <v>894</v>
      </c>
      <c r="W30" s="15">
        <f t="shared" si="6"/>
        <v>15899</v>
      </c>
      <c r="X30" s="15"/>
      <c r="Y30" s="93">
        <f t="shared" si="7"/>
        <v>7.0314573931510485E-2</v>
      </c>
      <c r="Z30" s="93">
        <f t="shared" si="8"/>
        <v>4.6240376957791346E-2</v>
      </c>
      <c r="AA30" s="93">
        <f t="shared" si="9"/>
        <v>1.4832758162994425E-2</v>
      </c>
      <c r="AB30" s="15"/>
      <c r="AC30" s="93">
        <f t="shared" si="10"/>
        <v>8.0186487921422883E-2</v>
      </c>
      <c r="AD30" s="93">
        <f t="shared" si="11"/>
        <v>0.13239978762941332</v>
      </c>
      <c r="AE30" s="93">
        <f t="shared" si="12"/>
        <v>5.1201221130873373E-2</v>
      </c>
      <c r="AF30" s="15"/>
      <c r="AG30" s="93">
        <f t="shared" si="13"/>
        <v>7.3135120785771168E-2</v>
      </c>
      <c r="AH30" s="93">
        <f t="shared" si="14"/>
        <v>0.15045467564084206</v>
      </c>
      <c r="AI30" s="93">
        <f t="shared" si="15"/>
        <v>6.5024547504161492E-2</v>
      </c>
      <c r="AJ30" s="15"/>
      <c r="AL30" s="15"/>
      <c r="AM30" s="15"/>
      <c r="AN30" s="15"/>
      <c r="AO30" s="15"/>
      <c r="AP30" s="15"/>
      <c r="AQ30" s="15"/>
      <c r="AR30" s="15"/>
      <c r="AT30" s="15"/>
      <c r="AU30" s="15"/>
      <c r="AX30" s="15"/>
      <c r="AY30" s="15"/>
      <c r="AZ30" s="15"/>
      <c r="BA30" s="15"/>
      <c r="BC30" s="15"/>
      <c r="BD30" s="15"/>
      <c r="BE30" s="15"/>
      <c r="BG30" s="436"/>
      <c r="BH30" s="437"/>
      <c r="BI30" s="438">
        <v>0.65</v>
      </c>
      <c r="BM30" s="15"/>
      <c r="BN30" s="15"/>
      <c r="BO30" s="15"/>
    </row>
    <row r="31" spans="2:67">
      <c r="B31" s="52">
        <v>2006</v>
      </c>
      <c r="C31" s="52">
        <v>77.572999999999993</v>
      </c>
      <c r="D31" s="284">
        <v>77573</v>
      </c>
      <c r="E31" s="494">
        <f t="shared" si="3"/>
        <v>1</v>
      </c>
      <c r="F31" s="284">
        <v>4926</v>
      </c>
      <c r="G31" s="285">
        <v>4819</v>
      </c>
      <c r="H31" s="286">
        <v>9</v>
      </c>
      <c r="I31" s="287"/>
      <c r="J31">
        <f t="shared" si="1"/>
        <v>9754</v>
      </c>
      <c r="K31" s="284">
        <v>67819</v>
      </c>
      <c r="L31" s="286">
        <v>276</v>
      </c>
      <c r="M31" s="284">
        <v>16319</v>
      </c>
      <c r="N31" s="284">
        <v>51224</v>
      </c>
      <c r="O31" s="286">
        <v>19</v>
      </c>
      <c r="P31" s="286">
        <v>216</v>
      </c>
      <c r="Q31" s="284">
        <f t="shared" si="5"/>
        <v>50989</v>
      </c>
      <c r="R31" s="15">
        <v>57236</v>
      </c>
      <c r="S31" s="496">
        <f t="shared" si="4"/>
        <v>1.1225166212320303</v>
      </c>
      <c r="T31" s="15">
        <v>25671</v>
      </c>
      <c r="U31" s="284">
        <v>3864</v>
      </c>
      <c r="V31" s="284">
        <v>1340</v>
      </c>
      <c r="W31" s="15">
        <f t="shared" si="6"/>
        <v>31788</v>
      </c>
      <c r="X31" s="15"/>
      <c r="Y31" s="93">
        <f t="shared" si="7"/>
        <v>0.11711549121472678</v>
      </c>
      <c r="Z31" s="93">
        <f t="shared" si="8"/>
        <v>6.2238149871733719E-2</v>
      </c>
      <c r="AA31" s="93">
        <f t="shared" si="9"/>
        <v>1.7274051538550786E-2</v>
      </c>
      <c r="AB31" s="15"/>
      <c r="AC31" s="93">
        <f t="shared" si="10"/>
        <v>0.12942647570675364</v>
      </c>
      <c r="AD31" s="93">
        <f t="shared" si="11"/>
        <v>0.21315406133577405</v>
      </c>
      <c r="AE31" s="93">
        <f t="shared" si="12"/>
        <v>6.7085197169118121E-2</v>
      </c>
      <c r="AF31" s="15"/>
      <c r="AG31" s="93">
        <f t="shared" si="13"/>
        <v>0.12573962590076443</v>
      </c>
      <c r="AH31" s="93">
        <f t="shared" si="14"/>
        <v>0.24816054498002035</v>
      </c>
      <c r="AI31" s="93">
        <f t="shared" si="15"/>
        <v>0.10206122889250623</v>
      </c>
      <c r="AJ31" s="15"/>
      <c r="AL31" s="15"/>
      <c r="AM31" s="15"/>
      <c r="AN31" s="15"/>
      <c r="AO31" s="15"/>
      <c r="AP31" s="15"/>
      <c r="AQ31" s="15"/>
      <c r="AR31" s="15"/>
      <c r="AT31" s="15"/>
      <c r="AU31" s="15"/>
      <c r="AX31" s="15"/>
      <c r="AY31" s="15"/>
      <c r="AZ31" s="15"/>
      <c r="BA31" s="15"/>
      <c r="BC31" s="15"/>
      <c r="BD31" s="15"/>
      <c r="BE31" s="15"/>
      <c r="BF31" s="2">
        <v>2006</v>
      </c>
      <c r="BG31" s="439">
        <v>547</v>
      </c>
      <c r="BH31" s="435">
        <f t="shared" ref="BH31:BH40" si="16">BG31*$BI$30</f>
        <v>355.55</v>
      </c>
      <c r="BI31" s="440" t="s">
        <v>435</v>
      </c>
      <c r="BJ31" s="2" t="s">
        <v>363</v>
      </c>
      <c r="BK31">
        <v>400</v>
      </c>
      <c r="BL31" s="253">
        <v>0.245</v>
      </c>
      <c r="BM31" s="15">
        <f t="shared" ref="BM31:BM42" si="17">BK31*(1-BL31)</f>
        <v>302</v>
      </c>
      <c r="BN31" s="15"/>
      <c r="BO31" s="15">
        <f t="shared" ref="BO31:BO41" si="18">AO31+AR31+AU31+AZ31+BM31</f>
        <v>302</v>
      </c>
    </row>
    <row r="32" spans="2:67">
      <c r="B32" s="52">
        <v>2007</v>
      </c>
      <c r="C32" s="52">
        <v>37.034999999999997</v>
      </c>
      <c r="D32" s="284">
        <v>37035</v>
      </c>
      <c r="E32" s="494">
        <f t="shared" si="3"/>
        <v>1</v>
      </c>
      <c r="F32" s="284">
        <v>2214</v>
      </c>
      <c r="G32" s="285">
        <v>1122</v>
      </c>
      <c r="H32" s="286">
        <v>0</v>
      </c>
      <c r="I32" s="287"/>
      <c r="J32">
        <f t="shared" si="1"/>
        <v>3336</v>
      </c>
      <c r="K32" s="284">
        <v>33699</v>
      </c>
      <c r="L32" s="286">
        <v>136</v>
      </c>
      <c r="M32" s="284">
        <v>5375</v>
      </c>
      <c r="N32" s="284">
        <v>28188</v>
      </c>
      <c r="O32" s="286">
        <v>12</v>
      </c>
      <c r="P32" s="286">
        <v>294</v>
      </c>
      <c r="Q32" s="284">
        <f t="shared" si="5"/>
        <v>27882</v>
      </c>
      <c r="R32" s="15">
        <v>30644</v>
      </c>
      <c r="S32" s="496">
        <f t="shared" si="4"/>
        <v>1.0990603256581306</v>
      </c>
      <c r="T32" s="15">
        <v>13244</v>
      </c>
      <c r="U32" s="284">
        <v>3900</v>
      </c>
      <c r="V32" s="284">
        <v>1070</v>
      </c>
      <c r="W32" s="15">
        <f t="shared" si="6"/>
        <v>14123</v>
      </c>
      <c r="X32" s="15"/>
      <c r="Y32" s="93">
        <f t="shared" si="7"/>
        <v>0.16908329958147697</v>
      </c>
      <c r="Z32" s="93">
        <f t="shared" si="8"/>
        <v>3.0295666261644389E-2</v>
      </c>
      <c r="AA32" s="93">
        <f t="shared" si="9"/>
        <v>2.8891589037397056E-2</v>
      </c>
      <c r="AB32" s="15"/>
      <c r="AC32" s="93">
        <f t="shared" si="10"/>
        <v>9.4073174024571354E-2</v>
      </c>
      <c r="AD32" s="93">
        <f t="shared" si="11"/>
        <v>0.15307141892804105</v>
      </c>
      <c r="AE32" s="93">
        <f t="shared" si="12"/>
        <v>0.13419738085594707</v>
      </c>
      <c r="AF32" s="15"/>
      <c r="AG32" s="93">
        <f t="shared" si="13"/>
        <v>9.0076954232482784E-2</v>
      </c>
      <c r="AH32" s="93">
        <f t="shared" si="14"/>
        <v>0.17261639811270363</v>
      </c>
      <c r="AI32" s="93">
        <f t="shared" si="15"/>
        <v>0.17825120149200202</v>
      </c>
      <c r="AJ32" s="15"/>
      <c r="AL32" s="15"/>
      <c r="AM32" s="15"/>
      <c r="AN32" s="15"/>
      <c r="AO32" s="15"/>
      <c r="AP32" s="15"/>
      <c r="AQ32" s="15">
        <v>4590</v>
      </c>
      <c r="AR32" s="15">
        <v>3173</v>
      </c>
      <c r="AS32" s="92">
        <v>0.31</v>
      </c>
      <c r="AT32" s="15"/>
      <c r="AU32" s="15">
        <v>660</v>
      </c>
      <c r="AV32" s="92">
        <v>0.52</v>
      </c>
      <c r="AW32" s="92">
        <f>AU32/T32</f>
        <v>4.9833887043189369E-2</v>
      </c>
      <c r="AX32" s="15"/>
      <c r="AY32" s="15">
        <v>4417</v>
      </c>
      <c r="AZ32" s="15">
        <v>2983</v>
      </c>
      <c r="BA32" s="15">
        <f t="shared" ref="BA32:BA37" si="19">AY32-AZ32</f>
        <v>1434</v>
      </c>
      <c r="BB32" s="92">
        <f t="shared" ref="BB32:BB42" si="20">BA32/AY32</f>
        <v>0.32465474303826125</v>
      </c>
      <c r="BC32" s="15"/>
      <c r="BD32" s="15">
        <v>189</v>
      </c>
      <c r="BE32" s="15"/>
      <c r="BF32" s="2">
        <v>2007</v>
      </c>
      <c r="BG32" s="439">
        <v>242</v>
      </c>
      <c r="BH32" s="435">
        <f t="shared" si="16"/>
        <v>157.30000000000001</v>
      </c>
      <c r="BI32" s="440" t="s">
        <v>435</v>
      </c>
      <c r="BJ32" s="2" t="s">
        <v>363</v>
      </c>
      <c r="BK32">
        <v>142</v>
      </c>
      <c r="BL32" s="253">
        <v>0.59</v>
      </c>
      <c r="BM32" s="15">
        <f t="shared" si="17"/>
        <v>58.220000000000006</v>
      </c>
      <c r="BN32" s="15"/>
      <c r="BO32" s="15">
        <f t="shared" si="18"/>
        <v>6874.22</v>
      </c>
    </row>
    <row r="33" spans="2:67">
      <c r="B33" s="52">
        <v>2008</v>
      </c>
      <c r="C33" s="52">
        <v>55.531999999999996</v>
      </c>
      <c r="D33" s="284">
        <v>55532</v>
      </c>
      <c r="E33" s="494">
        <f t="shared" si="3"/>
        <v>1</v>
      </c>
      <c r="F33" s="284">
        <v>2140</v>
      </c>
      <c r="G33" s="285">
        <v>1370</v>
      </c>
      <c r="H33" s="286">
        <v>59</v>
      </c>
      <c r="I33" s="287"/>
      <c r="J33">
        <f t="shared" si="1"/>
        <v>3569</v>
      </c>
      <c r="K33" s="284">
        <v>51963</v>
      </c>
      <c r="L33" s="286">
        <v>942</v>
      </c>
      <c r="M33" s="284">
        <v>9029</v>
      </c>
      <c r="N33" s="284">
        <v>41992</v>
      </c>
      <c r="O33" s="286">
        <v>55</v>
      </c>
      <c r="P33" s="286">
        <v>188</v>
      </c>
      <c r="Q33" s="284">
        <f t="shared" si="5"/>
        <v>41749</v>
      </c>
      <c r="R33" s="15">
        <v>39310</v>
      </c>
      <c r="S33" s="496">
        <f t="shared" si="4"/>
        <v>0.94157943902847974</v>
      </c>
      <c r="T33" s="15">
        <v>21060</v>
      </c>
      <c r="U33" s="284">
        <v>2597</v>
      </c>
      <c r="V33" s="284">
        <v>1861</v>
      </c>
      <c r="W33" s="15">
        <f t="shared" si="6"/>
        <v>18241</v>
      </c>
      <c r="X33" s="15"/>
      <c r="Y33" s="93">
        <f t="shared" si="7"/>
        <v>0.10325578045091119</v>
      </c>
      <c r="Z33" s="93">
        <f t="shared" si="8"/>
        <v>2.5732910754159764E-2</v>
      </c>
      <c r="AA33" s="93">
        <f t="shared" si="9"/>
        <v>3.351220917669092E-2</v>
      </c>
      <c r="AB33" s="15"/>
      <c r="AC33" s="93">
        <f t="shared" si="10"/>
        <v>8.1160412014694233E-2</v>
      </c>
      <c r="AD33" s="93">
        <f t="shared" si="11"/>
        <v>0.16597637398256862</v>
      </c>
      <c r="AE33" s="93">
        <f t="shared" si="12"/>
        <v>8.0278037888064535E-2</v>
      </c>
      <c r="AF33" s="15"/>
      <c r="AG33" s="93">
        <f t="shared" si="13"/>
        <v>6.426925016206872E-2</v>
      </c>
      <c r="AH33" s="93">
        <f t="shared" si="14"/>
        <v>0.19656293901429864</v>
      </c>
      <c r="AI33" s="93">
        <f t="shared" si="15"/>
        <v>0.10678100074253276</v>
      </c>
      <c r="AJ33" s="15"/>
      <c r="AL33" s="15"/>
      <c r="AM33" s="15"/>
      <c r="AN33" s="15"/>
      <c r="AO33" s="15"/>
      <c r="AP33" s="15"/>
      <c r="AQ33" s="15">
        <v>6496</v>
      </c>
      <c r="AR33" s="15">
        <v>4452</v>
      </c>
      <c r="AS33" s="92">
        <v>0.31</v>
      </c>
      <c r="AT33" s="15"/>
      <c r="AU33" s="15">
        <v>1194</v>
      </c>
      <c r="AV33" s="92">
        <v>0.39</v>
      </c>
      <c r="AW33" s="92">
        <f t="shared" ref="AW33:AW41" si="21">AU33/T33</f>
        <v>5.6695156695156693E-2</v>
      </c>
      <c r="AX33" s="15"/>
      <c r="AY33" s="15">
        <v>6975</v>
      </c>
      <c r="AZ33" s="15">
        <v>2998</v>
      </c>
      <c r="BA33" s="15">
        <f t="shared" si="19"/>
        <v>3977</v>
      </c>
      <c r="BB33" s="92">
        <f t="shared" si="20"/>
        <v>0.5701792114695341</v>
      </c>
      <c r="BC33" s="15"/>
      <c r="BD33" s="15">
        <v>497</v>
      </c>
      <c r="BE33" s="15"/>
      <c r="BF33" s="2">
        <v>2008</v>
      </c>
      <c r="BG33" s="439">
        <v>319</v>
      </c>
      <c r="BH33" s="435">
        <f t="shared" si="16"/>
        <v>207.35</v>
      </c>
      <c r="BI33" s="440" t="s">
        <v>435</v>
      </c>
      <c r="BJ33" s="2" t="s">
        <v>363</v>
      </c>
      <c r="BK33">
        <v>215</v>
      </c>
      <c r="BL33" s="253">
        <v>0.35</v>
      </c>
      <c r="BM33" s="15">
        <f t="shared" si="17"/>
        <v>139.75</v>
      </c>
      <c r="BN33" s="15"/>
      <c r="BO33" s="15">
        <f t="shared" si="18"/>
        <v>8783.75</v>
      </c>
    </row>
    <row r="34" spans="2:67">
      <c r="B34" s="52">
        <v>2009</v>
      </c>
      <c r="C34" s="52">
        <v>53.881</v>
      </c>
      <c r="D34" s="284">
        <v>53881</v>
      </c>
      <c r="E34" s="494">
        <f t="shared" si="3"/>
        <v>1</v>
      </c>
      <c r="F34" s="284">
        <v>2341</v>
      </c>
      <c r="G34" s="285">
        <v>2524</v>
      </c>
      <c r="H34" s="286">
        <v>22</v>
      </c>
      <c r="I34" s="286">
        <v>0</v>
      </c>
      <c r="J34">
        <f t="shared" si="1"/>
        <v>4887</v>
      </c>
      <c r="K34" s="284">
        <v>48994</v>
      </c>
      <c r="L34" s="286">
        <v>175</v>
      </c>
      <c r="M34" s="284">
        <v>11650</v>
      </c>
      <c r="N34" s="284">
        <v>37169</v>
      </c>
      <c r="O34" s="286">
        <v>90</v>
      </c>
      <c r="P34" s="286">
        <v>185</v>
      </c>
      <c r="Q34" s="284">
        <f t="shared" si="5"/>
        <v>36894</v>
      </c>
      <c r="R34" s="15">
        <v>49417</v>
      </c>
      <c r="S34" s="496">
        <f t="shared" si="4"/>
        <v>1.3394318859435139</v>
      </c>
      <c r="T34" s="15">
        <v>25725</v>
      </c>
      <c r="U34" s="284">
        <v>2458</v>
      </c>
      <c r="V34" s="284">
        <v>1190</v>
      </c>
      <c r="W34" s="15">
        <f t="shared" si="6"/>
        <v>20635</v>
      </c>
      <c r="X34" s="15"/>
      <c r="Y34" s="93">
        <f t="shared" si="7"/>
        <v>9.3984892633767012E-2</v>
      </c>
      <c r="Z34" s="93">
        <f t="shared" si="8"/>
        <v>4.7252278168556636E-2</v>
      </c>
      <c r="AA34" s="93">
        <f t="shared" si="9"/>
        <v>2.2085707392216179E-2</v>
      </c>
      <c r="AB34" s="15"/>
      <c r="AC34" s="93">
        <f t="shared" si="10"/>
        <v>9.5209814220226049E-2</v>
      </c>
      <c r="AD34" s="93">
        <f t="shared" si="11"/>
        <v>0.2196507117536794</v>
      </c>
      <c r="AE34" s="93">
        <f t="shared" si="12"/>
        <v>6.770475677882741E-2</v>
      </c>
      <c r="AF34" s="15"/>
      <c r="AG34" s="93">
        <f t="shared" si="13"/>
        <v>9.0699875651899561E-2</v>
      </c>
      <c r="AH34" s="93">
        <f t="shared" si="14"/>
        <v>0.24696901661427931</v>
      </c>
      <c r="AI34" s="93">
        <f t="shared" si="15"/>
        <v>9.8877866319726782E-2</v>
      </c>
      <c r="AJ34" s="15"/>
      <c r="AL34" s="15"/>
      <c r="AM34" s="15"/>
      <c r="AN34" s="15"/>
      <c r="AO34" s="15"/>
      <c r="AP34" s="15"/>
      <c r="AQ34" s="15">
        <v>8327</v>
      </c>
      <c r="AR34" s="15">
        <v>7098</v>
      </c>
      <c r="AS34" s="92">
        <v>0.15</v>
      </c>
      <c r="AT34" s="15"/>
      <c r="AU34" s="15">
        <v>1042</v>
      </c>
      <c r="AV34" s="92">
        <v>0.41</v>
      </c>
      <c r="AW34" s="92">
        <f t="shared" si="21"/>
        <v>4.0505344995140913E-2</v>
      </c>
      <c r="AX34" s="15"/>
      <c r="AY34" s="15">
        <v>7544</v>
      </c>
      <c r="AZ34" s="15">
        <v>4204</v>
      </c>
      <c r="BA34" s="15">
        <f t="shared" si="19"/>
        <v>3340</v>
      </c>
      <c r="BB34" s="92">
        <f t="shared" si="20"/>
        <v>0.44273594909862141</v>
      </c>
      <c r="BC34" s="15"/>
      <c r="BD34" s="15">
        <v>625</v>
      </c>
      <c r="BE34" s="15"/>
      <c r="BF34" s="2">
        <v>2009</v>
      </c>
      <c r="BG34" s="439">
        <v>252</v>
      </c>
      <c r="BH34" s="435">
        <f t="shared" si="16"/>
        <v>163.80000000000001</v>
      </c>
      <c r="BI34" s="440" t="s">
        <v>435</v>
      </c>
      <c r="BJ34" s="2" t="s">
        <v>363</v>
      </c>
      <c r="BK34">
        <v>182</v>
      </c>
      <c r="BL34" s="253">
        <v>0.28999999999999998</v>
      </c>
      <c r="BM34" s="15">
        <f t="shared" si="17"/>
        <v>129.22</v>
      </c>
      <c r="BN34" s="15"/>
      <c r="BO34" s="15">
        <f t="shared" si="18"/>
        <v>12473.22</v>
      </c>
    </row>
    <row r="35" spans="2:67">
      <c r="B35" s="52">
        <v>2010</v>
      </c>
      <c r="C35" s="52">
        <v>72.346000000000004</v>
      </c>
      <c r="D35" s="284">
        <v>72346</v>
      </c>
      <c r="E35" s="494">
        <f t="shared" si="3"/>
        <v>1</v>
      </c>
      <c r="F35" s="284">
        <v>2738</v>
      </c>
      <c r="G35" s="285">
        <v>4720</v>
      </c>
      <c r="H35" s="286">
        <v>20</v>
      </c>
      <c r="I35" s="286">
        <v>230</v>
      </c>
      <c r="J35">
        <f t="shared" si="1"/>
        <v>7708</v>
      </c>
      <c r="K35" s="284">
        <v>64638</v>
      </c>
      <c r="L35" s="286">
        <v>435</v>
      </c>
      <c r="M35" s="284">
        <v>15569</v>
      </c>
      <c r="N35" s="284">
        <v>48634</v>
      </c>
      <c r="O35" s="286">
        <v>451</v>
      </c>
      <c r="P35" s="286">
        <v>48</v>
      </c>
      <c r="Q35" s="284">
        <f t="shared" si="5"/>
        <v>48135</v>
      </c>
      <c r="R35" s="15">
        <v>49265</v>
      </c>
      <c r="S35" s="496">
        <f t="shared" si="4"/>
        <v>1.0234756414251585</v>
      </c>
      <c r="T35" s="15">
        <v>27052</v>
      </c>
      <c r="U35" s="284">
        <v>2481</v>
      </c>
      <c r="V35" s="284">
        <v>3524</v>
      </c>
      <c r="W35" s="15">
        <f t="shared" si="6"/>
        <v>30216</v>
      </c>
      <c r="X35" s="15"/>
      <c r="Y35" s="93">
        <f t="shared" si="7"/>
        <v>8.4386144361816823E-2</v>
      </c>
      <c r="Z35" s="93">
        <f t="shared" si="8"/>
        <v>6.5518480634727566E-2</v>
      </c>
      <c r="AA35" s="93">
        <f t="shared" si="9"/>
        <v>4.8710364083708844E-2</v>
      </c>
      <c r="AB35" s="15"/>
      <c r="AC35" s="93">
        <f t="shared" si="10"/>
        <v>0.11533464185995079</v>
      </c>
      <c r="AD35" s="93">
        <f t="shared" si="11"/>
        <v>0.21904459126973158</v>
      </c>
      <c r="AE35" s="93">
        <f t="shared" si="12"/>
        <v>8.300389793492384E-2</v>
      </c>
      <c r="AF35" s="15"/>
      <c r="AG35" s="93">
        <f t="shared" si="13"/>
        <v>0.1065435545849114</v>
      </c>
      <c r="AH35" s="93">
        <f t="shared" si="14"/>
        <v>0.25531421145456235</v>
      </c>
      <c r="AI35" s="93">
        <f t="shared" si="15"/>
        <v>0.12475329801599667</v>
      </c>
      <c r="AJ35" s="15"/>
      <c r="AL35" s="15"/>
      <c r="AM35" s="15"/>
      <c r="AN35" s="15"/>
      <c r="AO35" s="15"/>
      <c r="AP35" s="15"/>
      <c r="AQ35" s="15">
        <v>7468</v>
      </c>
      <c r="AR35" s="15">
        <v>5886</v>
      </c>
      <c r="AS35" s="92">
        <v>0.21</v>
      </c>
      <c r="AT35" s="15"/>
      <c r="AU35" s="15">
        <v>1326</v>
      </c>
      <c r="AV35" s="92">
        <v>0.47</v>
      </c>
      <c r="AW35" s="92">
        <f t="shared" si="21"/>
        <v>4.9016708561289368E-2</v>
      </c>
      <c r="AX35" s="15"/>
      <c r="AY35" s="15">
        <v>5952</v>
      </c>
      <c r="AZ35" s="15">
        <v>3189</v>
      </c>
      <c r="BA35" s="15">
        <f t="shared" si="19"/>
        <v>2763</v>
      </c>
      <c r="BB35" s="92">
        <f t="shared" si="20"/>
        <v>0.46421370967741937</v>
      </c>
      <c r="BC35" s="15"/>
      <c r="BD35" s="15">
        <v>1118</v>
      </c>
      <c r="BE35" s="15"/>
      <c r="BF35" s="2">
        <v>2010</v>
      </c>
      <c r="BG35" s="439">
        <v>434</v>
      </c>
      <c r="BH35" s="435">
        <f t="shared" si="16"/>
        <v>282.10000000000002</v>
      </c>
      <c r="BI35" s="440" t="s">
        <v>435</v>
      </c>
      <c r="BJ35" s="2" t="s">
        <v>363</v>
      </c>
      <c r="BK35">
        <v>262</v>
      </c>
      <c r="BL35" s="253">
        <v>0.23200000000000001</v>
      </c>
      <c r="BM35" s="15">
        <f t="shared" si="17"/>
        <v>201.21600000000001</v>
      </c>
      <c r="BN35" s="15"/>
      <c r="BO35" s="15">
        <f t="shared" si="18"/>
        <v>10602.216</v>
      </c>
    </row>
    <row r="36" spans="2:67">
      <c r="B36" s="52">
        <v>2011</v>
      </c>
      <c r="C36" s="52">
        <v>80.573999999999998</v>
      </c>
      <c r="D36" s="284">
        <v>80574</v>
      </c>
      <c r="E36" s="494">
        <f t="shared" si="3"/>
        <v>1</v>
      </c>
      <c r="F36" s="284">
        <v>5576</v>
      </c>
      <c r="G36" s="285">
        <v>5004</v>
      </c>
      <c r="H36" s="286">
        <v>0</v>
      </c>
      <c r="I36" s="286">
        <v>0</v>
      </c>
      <c r="J36">
        <f t="shared" si="1"/>
        <v>10580</v>
      </c>
      <c r="K36" s="284">
        <v>69994</v>
      </c>
      <c r="L36" s="286">
        <v>303</v>
      </c>
      <c r="M36" s="284">
        <v>20645</v>
      </c>
      <c r="N36" s="284">
        <v>49046</v>
      </c>
      <c r="O36" s="286">
        <v>86</v>
      </c>
      <c r="P36" s="286">
        <v>55</v>
      </c>
      <c r="Q36" s="284">
        <f t="shared" si="5"/>
        <v>48675</v>
      </c>
      <c r="R36" s="15">
        <v>50865</v>
      </c>
      <c r="S36" s="496">
        <f t="shared" si="4"/>
        <v>1.0449922958397535</v>
      </c>
      <c r="T36" s="15">
        <v>29821</v>
      </c>
      <c r="U36" s="284">
        <v>5546</v>
      </c>
      <c r="V36" s="284">
        <v>1208</v>
      </c>
      <c r="W36" s="15">
        <f t="shared" si="6"/>
        <v>38423</v>
      </c>
      <c r="X36" s="15"/>
      <c r="Y36" s="93">
        <f t="shared" si="7"/>
        <v>0.14286246183632437</v>
      </c>
      <c r="Z36" s="93">
        <f t="shared" si="8"/>
        <v>6.2104400923374783E-2</v>
      </c>
      <c r="AA36" s="93">
        <f t="shared" si="9"/>
        <v>1.4992429319631642E-2</v>
      </c>
      <c r="AB36" s="15"/>
      <c r="AC36" s="93">
        <f t="shared" si="10"/>
        <v>0.1361357261647678</v>
      </c>
      <c r="AD36" s="93">
        <f t="shared" si="11"/>
        <v>0.25690669446719788</v>
      </c>
      <c r="AE36" s="93">
        <f t="shared" si="12"/>
        <v>8.3823565914563011E-2</v>
      </c>
      <c r="AF36" s="15"/>
      <c r="AG36" s="93">
        <f t="shared" si="13"/>
        <v>0.13130786606101225</v>
      </c>
      <c r="AH36" s="93">
        <f t="shared" si="14"/>
        <v>0.30129725405034719</v>
      </c>
      <c r="AI36" s="93">
        <f t="shared" si="15"/>
        <v>0.13875706214689265</v>
      </c>
      <c r="AJ36" s="15"/>
      <c r="AL36" s="15"/>
      <c r="AM36" s="15"/>
      <c r="AN36" s="15"/>
      <c r="AO36" s="15"/>
      <c r="AP36" s="15"/>
      <c r="AQ36" s="15">
        <v>9850</v>
      </c>
      <c r="AR36" s="15">
        <v>8150</v>
      </c>
      <c r="AS36" s="92">
        <v>0.17</v>
      </c>
      <c r="AT36" s="15"/>
      <c r="AU36" s="15">
        <v>1503</v>
      </c>
      <c r="AV36" s="92">
        <v>0.48</v>
      </c>
      <c r="AW36" s="92">
        <f t="shared" si="21"/>
        <v>5.0400724321786661E-2</v>
      </c>
      <c r="AX36" s="15"/>
      <c r="AY36" s="15">
        <v>9681</v>
      </c>
      <c r="AZ36" s="15">
        <v>4642</v>
      </c>
      <c r="BA36" s="15">
        <f t="shared" si="19"/>
        <v>5039</v>
      </c>
      <c r="BB36" s="92">
        <f t="shared" si="20"/>
        <v>0.52050408015700855</v>
      </c>
      <c r="BC36" s="15"/>
      <c r="BD36" s="15">
        <v>1280</v>
      </c>
      <c r="BE36" s="15"/>
      <c r="BF36" s="2">
        <v>2011</v>
      </c>
      <c r="BG36" s="439">
        <v>470</v>
      </c>
      <c r="BH36" s="435">
        <f t="shared" si="16"/>
        <v>305.5</v>
      </c>
      <c r="BI36" s="440" t="s">
        <v>435</v>
      </c>
      <c r="BJ36" s="2" t="s">
        <v>363</v>
      </c>
      <c r="BK36">
        <v>295</v>
      </c>
      <c r="BL36" s="253">
        <v>0.08</v>
      </c>
      <c r="BM36" s="15">
        <f t="shared" si="17"/>
        <v>271.40000000000003</v>
      </c>
      <c r="BN36" s="15"/>
      <c r="BO36" s="15">
        <f t="shared" si="18"/>
        <v>14566.4</v>
      </c>
    </row>
    <row r="37" spans="2:67">
      <c r="B37" s="52">
        <v>2012</v>
      </c>
      <c r="C37" s="52">
        <v>58.3</v>
      </c>
      <c r="D37" s="284">
        <v>58300</v>
      </c>
      <c r="E37" s="494">
        <f t="shared" si="3"/>
        <v>1</v>
      </c>
      <c r="F37" s="284">
        <v>3281</v>
      </c>
      <c r="G37" s="285">
        <v>1692</v>
      </c>
      <c r="H37" s="286">
        <v>23</v>
      </c>
      <c r="I37" s="286">
        <v>0</v>
      </c>
      <c r="J37">
        <f t="shared" si="1"/>
        <v>4996</v>
      </c>
      <c r="K37" s="284">
        <v>53304</v>
      </c>
      <c r="L37" s="286">
        <v>231</v>
      </c>
      <c r="M37" s="284">
        <v>7824</v>
      </c>
      <c r="N37" s="284">
        <v>45249</v>
      </c>
      <c r="O37" s="286">
        <v>65</v>
      </c>
      <c r="P37" s="286">
        <v>23</v>
      </c>
      <c r="Q37" s="284">
        <f t="shared" si="5"/>
        <v>43241</v>
      </c>
      <c r="R37" s="15">
        <v>50667</v>
      </c>
      <c r="S37" s="496">
        <f t="shared" si="4"/>
        <v>1.1717351587613607</v>
      </c>
      <c r="T37" s="15">
        <v>38588</v>
      </c>
      <c r="U37" s="284">
        <v>3980</v>
      </c>
      <c r="V37" s="284">
        <v>3400</v>
      </c>
      <c r="W37" s="15">
        <f t="shared" si="6"/>
        <v>20519</v>
      </c>
      <c r="X37" s="15"/>
      <c r="Y37" s="93">
        <f t="shared" si="7"/>
        <v>0.12962264150943395</v>
      </c>
      <c r="Z37" s="93">
        <f t="shared" si="8"/>
        <v>2.9416809605488852E-2</v>
      </c>
      <c r="AA37" s="93">
        <f t="shared" si="9"/>
        <v>5.8319039451114926E-2</v>
      </c>
      <c r="AB37" s="15"/>
      <c r="AC37" s="93">
        <f t="shared" si="10"/>
        <v>9.0377358490566037E-2</v>
      </c>
      <c r="AD37" s="93">
        <f t="shared" si="11"/>
        <v>0.13459691252144082</v>
      </c>
      <c r="AE37" s="93">
        <f t="shared" si="12"/>
        <v>0.12658662092624356</v>
      </c>
      <c r="AF37" s="15"/>
      <c r="AG37" s="93">
        <f t="shared" si="13"/>
        <v>8.5694682675814746E-2</v>
      </c>
      <c r="AH37" s="93">
        <f t="shared" si="14"/>
        <v>0.15276527089899444</v>
      </c>
      <c r="AI37" s="93">
        <f t="shared" si="15"/>
        <v>0.17067135357646679</v>
      </c>
      <c r="AJ37" s="15"/>
      <c r="AK37" s="446">
        <v>230</v>
      </c>
      <c r="AL37" s="15">
        <v>117</v>
      </c>
      <c r="AM37" s="15">
        <v>120</v>
      </c>
      <c r="AN37" s="15">
        <f t="shared" ref="AN37:AN43" si="22">AM37+AL37</f>
        <v>237</v>
      </c>
      <c r="AO37" s="15"/>
      <c r="AP37" s="15"/>
      <c r="AQ37" s="15">
        <v>8539</v>
      </c>
      <c r="AR37" s="15">
        <v>7327</v>
      </c>
      <c r="AS37" s="92">
        <v>0.14000000000000001</v>
      </c>
      <c r="AT37" s="15"/>
      <c r="AU37" s="15">
        <v>1593</v>
      </c>
      <c r="AV37" s="92">
        <v>0.46</v>
      </c>
      <c r="AW37" s="92">
        <f t="shared" si="21"/>
        <v>4.1282263916243393E-2</v>
      </c>
      <c r="AX37" s="15"/>
      <c r="AY37" s="15">
        <v>8225</v>
      </c>
      <c r="AZ37" s="15">
        <v>4494</v>
      </c>
      <c r="BA37" s="15">
        <f t="shared" si="19"/>
        <v>3731</v>
      </c>
      <c r="BB37" s="92">
        <f t="shared" si="20"/>
        <v>0.45361702127659576</v>
      </c>
      <c r="BC37" s="15"/>
      <c r="BD37" s="15">
        <v>1308</v>
      </c>
      <c r="BE37" s="15"/>
      <c r="BF37" s="2">
        <v>2012</v>
      </c>
      <c r="BG37" s="439">
        <v>898</v>
      </c>
      <c r="BH37" s="435">
        <f t="shared" si="16"/>
        <v>583.70000000000005</v>
      </c>
      <c r="BI37" s="440" t="s">
        <v>435</v>
      </c>
      <c r="BJ37" s="2" t="s">
        <v>363</v>
      </c>
      <c r="BK37">
        <v>645</v>
      </c>
      <c r="BL37" s="253">
        <f>1-0.87</f>
        <v>0.13</v>
      </c>
      <c r="BM37" s="15">
        <f t="shared" si="17"/>
        <v>561.15</v>
      </c>
      <c r="BN37" s="15"/>
      <c r="BO37" s="15">
        <f t="shared" si="18"/>
        <v>13975.15</v>
      </c>
    </row>
    <row r="38" spans="2:67">
      <c r="B38" s="52">
        <v>2013</v>
      </c>
      <c r="C38" s="52">
        <v>67.602999999999994</v>
      </c>
      <c r="D38" s="284">
        <v>67603</v>
      </c>
      <c r="E38" s="494">
        <f t="shared" si="3"/>
        <v>1</v>
      </c>
      <c r="F38" s="284">
        <v>2058</v>
      </c>
      <c r="G38" s="285">
        <v>1954</v>
      </c>
      <c r="H38" s="286">
        <v>33</v>
      </c>
      <c r="I38" s="286">
        <v>50</v>
      </c>
      <c r="J38">
        <f t="shared" si="1"/>
        <v>4095</v>
      </c>
      <c r="K38" s="284">
        <v>63508</v>
      </c>
      <c r="L38" s="286">
        <v>173</v>
      </c>
      <c r="M38" s="284">
        <v>13347</v>
      </c>
      <c r="N38" s="284">
        <v>49988</v>
      </c>
      <c r="O38" s="286">
        <v>148</v>
      </c>
      <c r="P38" s="286">
        <v>240</v>
      </c>
      <c r="Q38" s="284">
        <f t="shared" si="5"/>
        <v>48100</v>
      </c>
      <c r="R38" s="15">
        <v>71083</v>
      </c>
      <c r="S38" s="496">
        <f t="shared" si="4"/>
        <v>1.4778170478170478</v>
      </c>
      <c r="T38" s="15">
        <v>49451</v>
      </c>
      <c r="U38" s="284">
        <v>2899</v>
      </c>
      <c r="V38" s="284">
        <v>3452</v>
      </c>
      <c r="W38" s="15">
        <f t="shared" si="6"/>
        <v>24354</v>
      </c>
      <c r="X38" s="15"/>
      <c r="Y38" s="93">
        <f t="shared" si="7"/>
        <v>7.8073458278478766E-2</v>
      </c>
      <c r="Z38" s="93">
        <f t="shared" si="8"/>
        <v>2.9392186737274974E-2</v>
      </c>
      <c r="AA38" s="93">
        <f t="shared" si="9"/>
        <v>5.1062822655799298E-2</v>
      </c>
      <c r="AB38" s="15"/>
      <c r="AC38" s="93">
        <f t="shared" si="10"/>
        <v>6.409478869280949E-2</v>
      </c>
      <c r="AD38" s="93">
        <f t="shared" si="11"/>
        <v>0.20172181707912371</v>
      </c>
      <c r="AE38" s="93">
        <f t="shared" si="12"/>
        <v>9.3945534961466209E-2</v>
      </c>
      <c r="AF38" s="15"/>
      <c r="AG38" s="93">
        <f t="shared" si="13"/>
        <v>6.0574234871233527E-2</v>
      </c>
      <c r="AH38" s="93">
        <f t="shared" si="14"/>
        <v>0.21899603199596901</v>
      </c>
      <c r="AI38" s="93">
        <f t="shared" si="15"/>
        <v>0.13203742203742203</v>
      </c>
      <c r="AJ38" s="15"/>
      <c r="AK38" s="446">
        <v>1920</v>
      </c>
      <c r="AL38" s="15">
        <v>1528</v>
      </c>
      <c r="AM38" s="15">
        <v>292</v>
      </c>
      <c r="AN38" s="15">
        <f t="shared" si="22"/>
        <v>1820</v>
      </c>
      <c r="AO38" s="15"/>
      <c r="AP38" s="15"/>
      <c r="AQ38" s="15">
        <v>10209</v>
      </c>
      <c r="AR38" s="15">
        <v>7431</v>
      </c>
      <c r="AS38" s="92">
        <v>0.27</v>
      </c>
      <c r="AT38" s="15"/>
      <c r="AU38" s="15">
        <v>1693</v>
      </c>
      <c r="AV38" s="92">
        <v>0.53</v>
      </c>
      <c r="AW38" s="92">
        <f t="shared" si="21"/>
        <v>3.4235910295039536E-2</v>
      </c>
      <c r="AX38" s="15"/>
      <c r="AY38" s="15">
        <v>8194</v>
      </c>
      <c r="AZ38" s="15">
        <v>5627</v>
      </c>
      <c r="BA38" s="15">
        <v>2567</v>
      </c>
      <c r="BB38" s="92">
        <f t="shared" si="20"/>
        <v>0.31327800829875518</v>
      </c>
      <c r="BC38" s="15"/>
      <c r="BD38" s="15">
        <v>1684</v>
      </c>
      <c r="BE38" s="15"/>
      <c r="BF38" s="2">
        <v>2013</v>
      </c>
      <c r="BG38" s="439">
        <v>758</v>
      </c>
      <c r="BH38" s="435">
        <f t="shared" si="16"/>
        <v>492.7</v>
      </c>
      <c r="BI38" s="440" t="s">
        <v>435</v>
      </c>
      <c r="BJ38" s="2" t="s">
        <v>363</v>
      </c>
      <c r="BK38">
        <v>472</v>
      </c>
      <c r="BL38" s="253">
        <f>1-0.84</f>
        <v>0.16000000000000003</v>
      </c>
      <c r="BM38" s="15">
        <f t="shared" si="17"/>
        <v>396.47999999999996</v>
      </c>
      <c r="BN38" s="15"/>
      <c r="BO38" s="15">
        <f t="shared" si="18"/>
        <v>15147.48</v>
      </c>
    </row>
    <row r="39" spans="2:67">
      <c r="B39" s="52">
        <v>2014</v>
      </c>
      <c r="C39" s="52">
        <v>78.254000000000005</v>
      </c>
      <c r="D39" s="284">
        <v>78254</v>
      </c>
      <c r="E39" s="494">
        <f t="shared" si="3"/>
        <v>1</v>
      </c>
      <c r="F39" s="284">
        <v>2385</v>
      </c>
      <c r="G39" s="285">
        <v>2743</v>
      </c>
      <c r="H39" s="286">
        <v>45</v>
      </c>
      <c r="I39" s="286">
        <v>210</v>
      </c>
      <c r="J39">
        <f t="shared" si="1"/>
        <v>5383</v>
      </c>
      <c r="K39" s="284">
        <v>72871</v>
      </c>
      <c r="L39" s="286">
        <v>308</v>
      </c>
      <c r="M39" s="284">
        <v>19179</v>
      </c>
      <c r="N39" s="284">
        <v>53384</v>
      </c>
      <c r="O39" s="286">
        <v>146</v>
      </c>
      <c r="P39" s="286">
        <v>150</v>
      </c>
      <c r="Q39" s="284">
        <f t="shared" si="5"/>
        <v>51164</v>
      </c>
      <c r="R39" s="15">
        <v>78434</v>
      </c>
      <c r="S39" s="496">
        <f t="shared" si="4"/>
        <v>1.53299194746306</v>
      </c>
      <c r="T39" s="15">
        <v>49255</v>
      </c>
      <c r="U39" s="284">
        <v>2875</v>
      </c>
      <c r="V39" s="284">
        <v>3574</v>
      </c>
      <c r="W39" s="15">
        <f t="shared" si="6"/>
        <v>31615</v>
      </c>
      <c r="X39" s="15"/>
      <c r="Y39" s="93">
        <f t="shared" si="7"/>
        <v>7.3018631635443559E-2</v>
      </c>
      <c r="Z39" s="93">
        <f t="shared" si="8"/>
        <v>3.562757175352059E-2</v>
      </c>
      <c r="AA39" s="93">
        <f t="shared" si="9"/>
        <v>4.5671786745725459E-2</v>
      </c>
      <c r="AB39" s="15"/>
      <c r="AC39" s="93">
        <f t="shared" si="10"/>
        <v>7.133181690392823E-2</v>
      </c>
      <c r="AD39" s="93">
        <f t="shared" si="11"/>
        <v>0.24968691696271117</v>
      </c>
      <c r="AE39" s="93">
        <f t="shared" si="12"/>
        <v>8.2411122754108418E-2</v>
      </c>
      <c r="AF39" s="15"/>
      <c r="AG39" s="93">
        <f t="shared" si="13"/>
        <v>6.8788815907174075E-2</v>
      </c>
      <c r="AH39" s="93">
        <f t="shared" si="14"/>
        <v>0.27147973816744658</v>
      </c>
      <c r="AI39" s="93">
        <f t="shared" si="15"/>
        <v>0.12604565710265031</v>
      </c>
      <c r="AJ39" s="15"/>
      <c r="AK39" s="15">
        <v>1500</v>
      </c>
      <c r="AL39" s="15">
        <v>1164</v>
      </c>
      <c r="AM39" s="15">
        <v>336</v>
      </c>
      <c r="AN39" s="15">
        <f t="shared" si="22"/>
        <v>1500</v>
      </c>
      <c r="AO39" s="15"/>
      <c r="AP39" s="15"/>
      <c r="AQ39" s="15">
        <v>10443</v>
      </c>
      <c r="AR39" s="15">
        <v>9676</v>
      </c>
      <c r="AS39" s="92">
        <v>7.0000000000000007E-2</v>
      </c>
      <c r="AT39" s="15"/>
      <c r="AU39" s="15">
        <v>1451</v>
      </c>
      <c r="AV39" s="92">
        <v>0.11</v>
      </c>
      <c r="AW39" s="92">
        <f t="shared" si="21"/>
        <v>2.945893817886509E-2</v>
      </c>
      <c r="AX39" s="15"/>
      <c r="AY39" s="15">
        <v>12164</v>
      </c>
      <c r="AZ39" s="15">
        <v>10402</v>
      </c>
      <c r="BA39" s="15">
        <v>1762</v>
      </c>
      <c r="BB39" s="92">
        <f t="shared" si="20"/>
        <v>0.14485366655705359</v>
      </c>
      <c r="BC39" s="15"/>
      <c r="BD39" s="15">
        <v>1100</v>
      </c>
      <c r="BE39" s="15"/>
      <c r="BF39" s="2">
        <v>2014</v>
      </c>
      <c r="BG39" s="439">
        <v>557</v>
      </c>
      <c r="BH39" s="435">
        <f t="shared" si="16"/>
        <v>362.05</v>
      </c>
      <c r="BI39" s="440" t="s">
        <v>435</v>
      </c>
      <c r="BJ39" s="2" t="s">
        <v>363</v>
      </c>
      <c r="BK39">
        <v>592</v>
      </c>
      <c r="BL39" s="253">
        <f>1-0.75</f>
        <v>0.25</v>
      </c>
      <c r="BM39" s="15">
        <f t="shared" si="17"/>
        <v>444</v>
      </c>
      <c r="BN39" s="15"/>
      <c r="BO39" s="15">
        <f t="shared" si="18"/>
        <v>21973</v>
      </c>
    </row>
    <row r="40" spans="2:67">
      <c r="B40" s="52">
        <v>2015</v>
      </c>
      <c r="C40" s="52">
        <v>126.88200000000001</v>
      </c>
      <c r="D40" s="284">
        <v>126777</v>
      </c>
      <c r="E40" s="494">
        <f t="shared" si="3"/>
        <v>0.99917245945051303</v>
      </c>
      <c r="F40" s="284">
        <v>6152</v>
      </c>
      <c r="G40" s="285">
        <v>3938</v>
      </c>
      <c r="H40" s="286">
        <v>105</v>
      </c>
      <c r="I40" s="286">
        <v>30</v>
      </c>
      <c r="J40">
        <f t="shared" si="1"/>
        <v>10225</v>
      </c>
      <c r="K40" s="284">
        <v>116657</v>
      </c>
      <c r="L40" s="286">
        <v>609</v>
      </c>
      <c r="M40" s="284">
        <v>37733</v>
      </c>
      <c r="N40" s="284">
        <f>K40-L40-M40</f>
        <v>78315</v>
      </c>
      <c r="O40" s="286">
        <v>177</v>
      </c>
      <c r="P40" s="286">
        <v>284</v>
      </c>
      <c r="Q40" s="284">
        <f t="shared" si="5"/>
        <v>76936</v>
      </c>
      <c r="R40" s="15">
        <v>78139</v>
      </c>
      <c r="S40" s="496">
        <f t="shared" si="4"/>
        <v>1.015636373089321</v>
      </c>
      <c r="T40" s="15">
        <v>62129</v>
      </c>
      <c r="U40" s="284">
        <v>4823</v>
      </c>
      <c r="V40" s="284">
        <v>10410</v>
      </c>
      <c r="W40" s="15">
        <f t="shared" si="6"/>
        <v>64261</v>
      </c>
      <c r="X40" s="15"/>
      <c r="Y40" s="93">
        <f t="shared" si="7"/>
        <v>9.2769193150177079E-2</v>
      </c>
      <c r="Z40" s="93">
        <f t="shared" si="8"/>
        <v>3.1890642624450807E-2</v>
      </c>
      <c r="AA40" s="93">
        <f t="shared" si="9"/>
        <v>8.2112686055041531E-2</v>
      </c>
      <c r="AB40" s="15"/>
      <c r="AC40" s="93">
        <f t="shared" si="10"/>
        <v>8.578843165558421E-2</v>
      </c>
      <c r="AD40" s="93">
        <f t="shared" si="11"/>
        <v>0.30010964133872864</v>
      </c>
      <c r="AE40" s="93">
        <f t="shared" si="12"/>
        <v>0.12015586423404877</v>
      </c>
      <c r="AF40" s="15"/>
      <c r="AG40" s="93">
        <f t="shared" si="13"/>
        <v>8.0653430827358277E-2</v>
      </c>
      <c r="AH40" s="93">
        <f t="shared" si="14"/>
        <v>0.33262470318969284</v>
      </c>
      <c r="AI40" s="93">
        <f t="shared" si="15"/>
        <v>0.19799573671623166</v>
      </c>
      <c r="AJ40" s="15"/>
      <c r="AK40" s="446">
        <v>1924</v>
      </c>
      <c r="AL40" s="15">
        <v>1574</v>
      </c>
      <c r="AM40" s="15">
        <v>250</v>
      </c>
      <c r="AN40" s="15">
        <f t="shared" si="22"/>
        <v>1824</v>
      </c>
      <c r="AO40" s="15"/>
      <c r="AP40" s="15"/>
      <c r="AQ40" s="15">
        <v>4330</v>
      </c>
      <c r="AR40" s="15">
        <v>4076</v>
      </c>
      <c r="AS40" s="92">
        <v>0.06</v>
      </c>
      <c r="AT40" s="15"/>
      <c r="AU40" s="15">
        <v>3138</v>
      </c>
      <c r="AV40" s="92">
        <v>0.21</v>
      </c>
      <c r="AW40" s="92">
        <f t="shared" si="21"/>
        <v>5.0507814386196462E-2</v>
      </c>
      <c r="AX40" s="15"/>
      <c r="AY40" s="15">
        <v>13726</v>
      </c>
      <c r="AZ40" s="15">
        <v>10350</v>
      </c>
      <c r="BA40" s="15">
        <v>3398</v>
      </c>
      <c r="BB40" s="92">
        <f t="shared" si="20"/>
        <v>0.24755937636602068</v>
      </c>
      <c r="BC40" s="15"/>
      <c r="BD40" s="15">
        <v>1438</v>
      </c>
      <c r="BE40" s="15"/>
      <c r="BF40" s="2">
        <v>2015</v>
      </c>
      <c r="BG40" s="441">
        <v>413</v>
      </c>
      <c r="BH40" s="443">
        <f t="shared" si="16"/>
        <v>268.45</v>
      </c>
      <c r="BI40" s="442" t="s">
        <v>435</v>
      </c>
      <c r="BJ40" s="2" t="s">
        <v>363</v>
      </c>
      <c r="BK40" s="2">
        <v>382</v>
      </c>
      <c r="BL40" s="92">
        <f>1-0.72</f>
        <v>0.28000000000000003</v>
      </c>
      <c r="BM40" s="15">
        <f t="shared" si="17"/>
        <v>275.03999999999996</v>
      </c>
      <c r="BN40" s="15"/>
      <c r="BO40" s="15">
        <f t="shared" si="18"/>
        <v>17839.04</v>
      </c>
    </row>
    <row r="41" spans="2:67">
      <c r="B41" s="52">
        <v>2016</v>
      </c>
      <c r="C41" s="52">
        <v>91.048000000000002</v>
      </c>
      <c r="D41" s="284">
        <v>91048</v>
      </c>
      <c r="E41" s="494">
        <f t="shared" si="3"/>
        <v>1</v>
      </c>
      <c r="F41" s="284">
        <v>3706</v>
      </c>
      <c r="G41" s="285">
        <v>2990</v>
      </c>
      <c r="H41" s="286">
        <v>60</v>
      </c>
      <c r="I41" s="286">
        <v>100</v>
      </c>
      <c r="J41">
        <f t="shared" si="1"/>
        <v>6856</v>
      </c>
      <c r="K41" s="284">
        <v>84192</v>
      </c>
      <c r="L41" s="286">
        <v>361</v>
      </c>
      <c r="M41" s="284">
        <v>20415</v>
      </c>
      <c r="N41" s="284">
        <f>K41-L41-M41</f>
        <v>63416</v>
      </c>
      <c r="O41" s="286">
        <v>205</v>
      </c>
      <c r="P41" s="286">
        <v>218</v>
      </c>
      <c r="Q41" s="284">
        <f t="shared" si="5"/>
        <v>62469</v>
      </c>
      <c r="R41" s="15">
        <v>80288</v>
      </c>
      <c r="S41" s="496">
        <f t="shared" si="4"/>
        <v>1.2852454817589525</v>
      </c>
      <c r="T41" s="15">
        <v>44646</v>
      </c>
      <c r="U41" s="284">
        <v>4214</v>
      </c>
      <c r="V41" s="284">
        <v>3541</v>
      </c>
      <c r="W41" s="15">
        <f t="shared" si="6"/>
        <v>35810</v>
      </c>
      <c r="X41" s="15"/>
      <c r="Y41" s="93">
        <f t="shared" si="7"/>
        <v>9.3203584922238819E-2</v>
      </c>
      <c r="Z41" s="93">
        <f t="shared" si="8"/>
        <v>3.3498813812494511E-2</v>
      </c>
      <c r="AA41" s="93">
        <f t="shared" si="9"/>
        <v>3.8891573675423952E-2</v>
      </c>
      <c r="AB41" s="15"/>
      <c r="AC41" s="93">
        <f t="shared" si="10"/>
        <v>7.9760126526667252E-2</v>
      </c>
      <c r="AD41" s="93">
        <f t="shared" si="11"/>
        <v>0.22771505140145856</v>
      </c>
      <c r="AE41" s="93">
        <f t="shared" si="12"/>
        <v>8.5174852824883573E-2</v>
      </c>
      <c r="AF41" s="15"/>
      <c r="AG41" s="93">
        <f t="shared" si="13"/>
        <v>7.530094016343028E-2</v>
      </c>
      <c r="AH41" s="93">
        <f t="shared" si="14"/>
        <v>0.25179351957430635</v>
      </c>
      <c r="AI41" s="93">
        <f t="shared" si="15"/>
        <v>0.12414157422081352</v>
      </c>
      <c r="AJ41" s="15"/>
      <c r="AK41" s="15">
        <v>918</v>
      </c>
      <c r="AL41" s="15">
        <v>742</v>
      </c>
      <c r="AM41" s="15">
        <v>176</v>
      </c>
      <c r="AN41" s="15">
        <f t="shared" si="22"/>
        <v>918</v>
      </c>
      <c r="AO41" s="15">
        <f>AL41*AO$3</f>
        <v>74.2</v>
      </c>
      <c r="AP41" s="15"/>
      <c r="AQ41" s="15">
        <v>5902</v>
      </c>
      <c r="AR41" s="15">
        <v>5416</v>
      </c>
      <c r="AS41" s="92">
        <v>0.08</v>
      </c>
      <c r="AT41" s="15"/>
      <c r="AU41" s="15">
        <v>1464</v>
      </c>
      <c r="AV41" s="92">
        <v>0.35</v>
      </c>
      <c r="AW41" s="92">
        <f t="shared" si="21"/>
        <v>3.279129149307889E-2</v>
      </c>
      <c r="AX41" s="15"/>
      <c r="AY41" s="15">
        <v>10605</v>
      </c>
      <c r="AZ41" s="15">
        <v>8661</v>
      </c>
      <c r="BA41" s="15">
        <v>1944</v>
      </c>
      <c r="BB41" s="92">
        <f t="shared" si="20"/>
        <v>0.18330975954738332</v>
      </c>
      <c r="BC41" s="15"/>
      <c r="BD41" s="15">
        <v>900</v>
      </c>
      <c r="BE41" s="15"/>
      <c r="BF41" s="2">
        <v>2016</v>
      </c>
      <c r="BG41" s="433"/>
      <c r="BH41" s="2"/>
      <c r="BI41" s="2"/>
      <c r="BJ41" s="2" t="s">
        <v>363</v>
      </c>
      <c r="BK41">
        <v>567</v>
      </c>
      <c r="BL41" s="92">
        <f>1-0.81</f>
        <v>0.18999999999999995</v>
      </c>
      <c r="BM41" s="15">
        <f t="shared" si="17"/>
        <v>459.27000000000004</v>
      </c>
      <c r="BN41" s="15"/>
      <c r="BO41" s="15">
        <f t="shared" si="18"/>
        <v>16074.470000000001</v>
      </c>
    </row>
    <row r="42" spans="2:67">
      <c r="B42" s="52">
        <v>2017</v>
      </c>
      <c r="C42" s="617">
        <v>91631</v>
      </c>
      <c r="D42" s="625">
        <v>68204</v>
      </c>
      <c r="E42" s="494"/>
      <c r="F42" s="284">
        <v>3853</v>
      </c>
      <c r="G42" s="285">
        <v>0</v>
      </c>
      <c r="H42" s="286">
        <v>47</v>
      </c>
      <c r="I42" s="286">
        <v>160</v>
      </c>
      <c r="J42">
        <f t="shared" si="1"/>
        <v>4060</v>
      </c>
      <c r="K42" s="457">
        <v>64144</v>
      </c>
      <c r="L42" s="286">
        <v>136</v>
      </c>
      <c r="M42" s="284">
        <v>16168</v>
      </c>
      <c r="N42" s="284">
        <f>K42-L42-M42</f>
        <v>47840</v>
      </c>
      <c r="O42" s="286">
        <v>126</v>
      </c>
      <c r="P42" s="286">
        <v>158</v>
      </c>
      <c r="Q42" s="284">
        <f t="shared" si="5"/>
        <v>47112</v>
      </c>
      <c r="R42" s="15">
        <v>52981</v>
      </c>
      <c r="S42" s="496">
        <f t="shared" si="4"/>
        <v>1.1245754797079301</v>
      </c>
      <c r="T42" s="15">
        <v>30101</v>
      </c>
      <c r="U42" s="284">
        <v>4325</v>
      </c>
      <c r="V42" s="15">
        <v>1578</v>
      </c>
      <c r="W42" s="15">
        <f t="shared" si="6"/>
        <v>26551</v>
      </c>
      <c r="X42" s="15"/>
      <c r="Y42" s="93">
        <f t="shared" si="7"/>
        <v>0.12374640783531758</v>
      </c>
      <c r="Z42" s="93">
        <f t="shared" si="8"/>
        <v>6.8910914315875897E-4</v>
      </c>
      <c r="AA42" s="93">
        <f t="shared" si="9"/>
        <v>2.3136472934138761E-2</v>
      </c>
      <c r="AB42" s="15"/>
      <c r="AC42" s="93">
        <f t="shared" si="10"/>
        <v>6.0333704768048793E-2</v>
      </c>
      <c r="AD42" s="93">
        <f t="shared" si="11"/>
        <v>0.24171602838543194</v>
      </c>
      <c r="AE42" s="93">
        <f t="shared" si="12"/>
        <v>8.6549176001407546E-2</v>
      </c>
      <c r="AF42" s="15"/>
      <c r="AG42" s="93">
        <f t="shared" si="13"/>
        <v>5.9527300451586419E-2</v>
      </c>
      <c r="AH42" s="93">
        <f t="shared" si="14"/>
        <v>0.25860563731603892</v>
      </c>
      <c r="AI42" s="93">
        <f t="shared" si="15"/>
        <v>0.12529716420444897</v>
      </c>
      <c r="AJ42" s="15"/>
      <c r="AK42" s="446">
        <v>524</v>
      </c>
      <c r="AL42" s="15">
        <v>519</v>
      </c>
      <c r="AM42" s="15">
        <v>75</v>
      </c>
      <c r="AN42" s="15">
        <f t="shared" si="22"/>
        <v>594</v>
      </c>
      <c r="AO42" s="15">
        <f>AL42*AO$3</f>
        <v>51.900000000000006</v>
      </c>
      <c r="AP42" s="15"/>
      <c r="AQ42" s="15">
        <v>7425</v>
      </c>
      <c r="AR42" s="446">
        <f>AQ42*(1-AS46)</f>
        <v>6905.2499999999991</v>
      </c>
      <c r="AT42" s="15"/>
      <c r="AU42" s="446">
        <f>T42*AW46</f>
        <v>1308.5748728608075</v>
      </c>
      <c r="AX42" s="15"/>
      <c r="AY42" s="15">
        <v>6568</v>
      </c>
      <c r="AZ42" s="15">
        <v>5283</v>
      </c>
      <c r="BA42" s="15">
        <v>1285</v>
      </c>
      <c r="BB42" s="92">
        <f t="shared" si="20"/>
        <v>0.19564555420219246</v>
      </c>
      <c r="BC42" s="15"/>
      <c r="BD42" s="15">
        <v>859</v>
      </c>
      <c r="BE42" s="15"/>
      <c r="BF42" s="2">
        <v>2017</v>
      </c>
      <c r="BG42" s="433"/>
      <c r="BH42" s="111"/>
      <c r="BI42" s="2"/>
      <c r="BJ42" s="434"/>
      <c r="BK42" s="2">
        <v>591</v>
      </c>
      <c r="BL42" s="92">
        <v>0.41</v>
      </c>
      <c r="BM42" s="15">
        <f t="shared" si="17"/>
        <v>348.69000000000005</v>
      </c>
      <c r="BN42" s="15"/>
      <c r="BO42" s="15">
        <f>AO42+AR42+AU42+AZ42+BM42</f>
        <v>13897.414872860807</v>
      </c>
    </row>
    <row r="43" spans="2:67">
      <c r="B43" s="52">
        <v>2018</v>
      </c>
      <c r="C43" s="52">
        <v>42.12</v>
      </c>
      <c r="D43">
        <v>42120</v>
      </c>
      <c r="E43" s="494"/>
      <c r="F43" s="284">
        <v>1140</v>
      </c>
      <c r="G43" s="285">
        <v>0</v>
      </c>
      <c r="H43" s="286">
        <v>24</v>
      </c>
      <c r="I43" s="286">
        <v>50</v>
      </c>
      <c r="J43">
        <f t="shared" si="1"/>
        <v>1214</v>
      </c>
      <c r="K43" s="284">
        <v>40906</v>
      </c>
      <c r="L43" s="286">
        <v>12</v>
      </c>
      <c r="M43" s="284">
        <v>9448</v>
      </c>
      <c r="N43" s="284">
        <f>K43-L43-M43</f>
        <v>31446</v>
      </c>
      <c r="O43" s="286">
        <v>122</v>
      </c>
      <c r="P43" s="286">
        <v>68</v>
      </c>
      <c r="Q43" s="284">
        <f t="shared" si="5"/>
        <v>31256</v>
      </c>
      <c r="U43" s="284">
        <v>3385</v>
      </c>
      <c r="V43" s="284">
        <v>1268</v>
      </c>
      <c r="W43" s="15">
        <f t="shared" si="6"/>
        <v>15517</v>
      </c>
      <c r="Y43" s="93">
        <f t="shared" si="7"/>
        <v>0.11061253561253562</v>
      </c>
      <c r="Z43" s="93">
        <f t="shared" si="8"/>
        <v>5.6980056980056976E-4</v>
      </c>
      <c r="AA43" s="93">
        <f t="shared" si="9"/>
        <v>3.0104463437796773E-2</v>
      </c>
      <c r="AC43" s="93">
        <f t="shared" si="10"/>
        <v>3.0246913580246913E-2</v>
      </c>
      <c r="AD43" s="93">
        <f t="shared" si="11"/>
        <v>0.22711301044634377</v>
      </c>
      <c r="AE43" s="93">
        <f t="shared" si="12"/>
        <v>0.11047008547008547</v>
      </c>
      <c r="AG43" s="93">
        <f t="shared" si="13"/>
        <v>2.8822412155745488E-2</v>
      </c>
      <c r="AH43" s="93">
        <f t="shared" si="14"/>
        <v>0.23590671295164523</v>
      </c>
      <c r="AI43" s="93">
        <f t="shared" si="15"/>
        <v>0.14886741745584847</v>
      </c>
      <c r="AK43" s="15">
        <v>444</v>
      </c>
      <c r="AL43">
        <v>421</v>
      </c>
      <c r="AM43">
        <v>23</v>
      </c>
      <c r="AN43" s="15">
        <f t="shared" si="22"/>
        <v>444</v>
      </c>
      <c r="AO43" s="15">
        <f>AL43*AO$3</f>
        <v>42.1</v>
      </c>
      <c r="BF43" s="2"/>
      <c r="BG43" s="433"/>
      <c r="BH43" s="2"/>
      <c r="BI43" s="2"/>
      <c r="BJ43" s="434"/>
      <c r="BK43" s="2"/>
    </row>
    <row r="44" spans="2:67">
      <c r="B44" s="52">
        <v>2019</v>
      </c>
      <c r="C44" s="52"/>
      <c r="D44" s="284">
        <v>34619</v>
      </c>
      <c r="E44" s="494"/>
      <c r="F44" s="284">
        <v>74</v>
      </c>
      <c r="G44" s="285">
        <v>0</v>
      </c>
      <c r="H44" s="286">
        <v>23</v>
      </c>
      <c r="I44" s="286">
        <v>50</v>
      </c>
      <c r="J44">
        <f t="shared" si="1"/>
        <v>147</v>
      </c>
      <c r="K44" s="284">
        <v>34472</v>
      </c>
      <c r="L44" s="286">
        <v>6</v>
      </c>
      <c r="M44" s="284">
        <v>5587</v>
      </c>
      <c r="N44" s="284">
        <f>K44-L44-M44</f>
        <v>28879</v>
      </c>
      <c r="O44" s="286">
        <v>0</v>
      </c>
      <c r="P44" s="286">
        <v>27</v>
      </c>
      <c r="Q44" s="284">
        <f t="shared" si="5"/>
        <v>28852</v>
      </c>
      <c r="U44" s="284">
        <v>6025</v>
      </c>
      <c r="V44" s="284">
        <v>1404</v>
      </c>
      <c r="Z44" s="93">
        <f t="shared" si="8"/>
        <v>6.643750541610098E-4</v>
      </c>
      <c r="AA44" s="93">
        <f t="shared" si="9"/>
        <v>4.0555764175741645E-2</v>
      </c>
      <c r="AK44" s="15"/>
      <c r="AN44" s="15"/>
      <c r="AO44" s="15"/>
      <c r="BF44" s="2"/>
      <c r="BG44" s="433"/>
      <c r="BH44" s="2"/>
      <c r="BI44" s="2"/>
      <c r="BJ44" s="434"/>
      <c r="BK44" s="2"/>
    </row>
    <row r="45" spans="2:67">
      <c r="BI45" s="2"/>
      <c r="BJ45" s="2"/>
      <c r="BK45" s="2"/>
    </row>
    <row r="46" spans="2:67">
      <c r="B46" s="458" t="s">
        <v>271</v>
      </c>
      <c r="C46" s="458"/>
      <c r="D46" s="628">
        <f t="shared" ref="D46:S46" si="23">AVERAGE(D33:D42)</f>
        <v>75251.899999999994</v>
      </c>
      <c r="E46" s="508">
        <f>AVERAGE(E20:E27)</f>
        <v>0.63762221214484249</v>
      </c>
      <c r="F46" s="15">
        <f t="shared" si="23"/>
        <v>3423</v>
      </c>
      <c r="G46" s="15">
        <f t="shared" si="23"/>
        <v>2693.5</v>
      </c>
      <c r="H46" s="15">
        <f t="shared" si="23"/>
        <v>41.4</v>
      </c>
      <c r="I46" s="15">
        <f t="shared" si="23"/>
        <v>86.666666666666671</v>
      </c>
      <c r="J46" s="15">
        <f t="shared" si="23"/>
        <v>6235.9</v>
      </c>
      <c r="K46" s="628">
        <f t="shared" si="23"/>
        <v>69026.5</v>
      </c>
      <c r="L46" s="15">
        <f t="shared" si="23"/>
        <v>367.3</v>
      </c>
      <c r="M46" s="15">
        <f t="shared" si="23"/>
        <v>17155.900000000001</v>
      </c>
      <c r="N46" s="15">
        <f t="shared" si="23"/>
        <v>51503.3</v>
      </c>
      <c r="O46" s="15">
        <f t="shared" si="23"/>
        <v>154.9</v>
      </c>
      <c r="P46" s="15">
        <f t="shared" si="23"/>
        <v>154.9</v>
      </c>
      <c r="Q46" s="628">
        <f t="shared" si="23"/>
        <v>50447.5</v>
      </c>
      <c r="R46" s="15">
        <f t="shared" si="23"/>
        <v>60044.9</v>
      </c>
      <c r="S46" s="497">
        <f t="shared" si="23"/>
        <v>1.1957480750834579</v>
      </c>
      <c r="T46" s="15"/>
      <c r="U46" s="15">
        <f>AVERAGE(U33:U42)</f>
        <v>3619.8</v>
      </c>
      <c r="V46" s="15">
        <f>AVERAGE(V33:V42)</f>
        <v>3373.8</v>
      </c>
      <c r="W46" s="15">
        <f>AVERAGE(W33:W42)</f>
        <v>31062.5</v>
      </c>
      <c r="X46" s="15"/>
      <c r="Y46" s="93">
        <f t="shared" ref="Y46:AA46" si="24">AVERAGE(Y33:Y42)</f>
        <v>0.1014923196613909</v>
      </c>
      <c r="Z46" s="93">
        <f t="shared" si="24"/>
        <v>3.6112320415720725E-2</v>
      </c>
      <c r="AA46" s="93">
        <f t="shared" si="24"/>
        <v>4.1849509148949152E-2</v>
      </c>
      <c r="AB46" s="15"/>
      <c r="AC46" s="93">
        <f>AVERAGE(AC33:AC42)</f>
        <v>8.7952682129724291E-2</v>
      </c>
      <c r="AD46" s="93">
        <f t="shared" ref="AD46:AI46" si="25">AVERAGE(AD33:AD42)</f>
        <v>0.22171247391620724</v>
      </c>
      <c r="AE46" s="93">
        <f t="shared" si="25"/>
        <v>9.0963343021853688E-2</v>
      </c>
      <c r="AF46" s="15"/>
      <c r="AG46" s="93">
        <f t="shared" si="25"/>
        <v>8.2335995135648918E-2</v>
      </c>
      <c r="AH46" s="93">
        <f t="shared" si="25"/>
        <v>0.24864083222759353</v>
      </c>
      <c r="AI46" s="93">
        <f t="shared" si="25"/>
        <v>0.13453581350831822</v>
      </c>
      <c r="AJ46" s="15"/>
      <c r="AK46" s="15"/>
      <c r="AL46" s="15"/>
      <c r="AM46" s="15"/>
      <c r="AN46" s="15"/>
      <c r="AO46" s="15">
        <f>AVERAGE(AO40:AO43)</f>
        <v>56.06666666666667</v>
      </c>
      <c r="AP46" s="15"/>
      <c r="AQ46" s="15">
        <f>AVERAGE(AQ33:AQ42)</f>
        <v>7898.9</v>
      </c>
      <c r="AR46" s="15">
        <f>AVERAGE(AR33:AR42)</f>
        <v>6641.7250000000004</v>
      </c>
      <c r="AS46" s="92">
        <f>AVERAGE(AS39:AS41)</f>
        <v>7.0000000000000007E-2</v>
      </c>
      <c r="AT46" s="15"/>
      <c r="AU46" s="15">
        <f>AVERAGE(AU33:AU42)</f>
        <v>1571.2574872860807</v>
      </c>
      <c r="AV46" s="15">
        <f>AVERAGE(AV33:AV42)</f>
        <v>0.37888888888888889</v>
      </c>
      <c r="AW46" s="92">
        <f>AVERAGE(AW32:AW41)</f>
        <v>4.3472803988598638E-2</v>
      </c>
      <c r="AX46" s="15"/>
      <c r="AY46" s="15">
        <f>AVERAGE(AY33:AY42)</f>
        <v>8963.4</v>
      </c>
      <c r="AZ46" s="15">
        <f>AVERAGE(AZ33:AZ42)</f>
        <v>5985</v>
      </c>
      <c r="BA46" s="15"/>
      <c r="BB46" s="92">
        <f>AVERAGE(BB32:BB41)</f>
        <v>0.3664905525486653</v>
      </c>
      <c r="BC46" s="15"/>
      <c r="BD46" s="15">
        <f>AVERAGE(BD33:BD42)</f>
        <v>1080.9000000000001</v>
      </c>
      <c r="BE46" s="15"/>
      <c r="BF46" s="2" t="s">
        <v>271</v>
      </c>
      <c r="BG46" s="19">
        <f>AVERAGE(BG31:BG40)</f>
        <v>489</v>
      </c>
      <c r="BH46" s="111">
        <f>AVERAGE(BH31:BH40)</f>
        <v>317.85000000000002</v>
      </c>
      <c r="BI46" s="2"/>
      <c r="BJ46" s="2"/>
      <c r="BK46" s="15">
        <f>AVERAGE(BK33:BK42)</f>
        <v>420.3</v>
      </c>
      <c r="BL46" s="92">
        <f>AVERAGE(BL33:BL42)</f>
        <v>0.23719999999999999</v>
      </c>
      <c r="BM46" s="15">
        <f>AVERAGE(BM33:BM42)</f>
        <v>322.6216</v>
      </c>
      <c r="BN46" s="15"/>
      <c r="BO46" s="15">
        <f>AVERAGE(BO33:BO42)</f>
        <v>14533.21408728608</v>
      </c>
    </row>
    <row r="47" spans="2:67">
      <c r="B47" s="458" t="s">
        <v>565</v>
      </c>
      <c r="C47" s="458"/>
      <c r="S47" s="498" t="s">
        <v>704</v>
      </c>
      <c r="AO47" s="15">
        <f>GEOMEAN(AO41:AO43)</f>
        <v>54.527776206877242</v>
      </c>
      <c r="AQ47" s="15">
        <f>GEOMEAN(AQ33:AQ42)</f>
        <v>7650.9861810157963</v>
      </c>
      <c r="AR47" s="15">
        <f>GEOMEAN(AR33:AR42)</f>
        <v>6434.9185875629992</v>
      </c>
      <c r="AU47" s="15">
        <f>GEOMEAN(AU33:AU42)</f>
        <v>1501.7261002762102</v>
      </c>
      <c r="AV47" s="15">
        <f>GEOMEAN(AV33:AV42)</f>
        <v>0.34601915620251428</v>
      </c>
      <c r="AW47" s="15"/>
      <c r="AY47" s="15">
        <f>GEOMEAN(AY33:AY42)</f>
        <v>8661.4880862736009</v>
      </c>
      <c r="AZ47" s="15">
        <f>GEOMEAN(AZ33:AZ42)</f>
        <v>5452.8930818652725</v>
      </c>
      <c r="BA47" s="15"/>
      <c r="BD47" s="15">
        <f>GEOMEAN(BD33:BD42)</f>
        <v>1018.1752255582618</v>
      </c>
      <c r="BF47" s="2" t="s">
        <v>565</v>
      </c>
      <c r="BG47" s="19">
        <f>GEOMEAN(BG31:BG40)</f>
        <v>449.91785580741231</v>
      </c>
      <c r="BH47" s="432">
        <f>GEOMEAN(BH31:BH40)</f>
        <v>292.44660627481807</v>
      </c>
      <c r="BK47" s="15">
        <f>GEOMEAN(BK33:BK42)</f>
        <v>384.03344464741394</v>
      </c>
      <c r="BM47" s="15">
        <f>GEOMEAN(BM33:BM42)</f>
        <v>290.57219625246177</v>
      </c>
      <c r="BO47" s="15">
        <f>GEOMEAN(BO33:BO42)</f>
        <v>14113.78773099984</v>
      </c>
    </row>
    <row r="48" spans="2:67">
      <c r="K48" s="15"/>
      <c r="AQ48" s="15"/>
      <c r="AR48" s="15"/>
      <c r="AU48" s="15"/>
      <c r="AV48" s="15"/>
      <c r="AW48" s="15"/>
      <c r="AY48" s="15"/>
      <c r="AZ48" s="15"/>
      <c r="BA48" s="15"/>
      <c r="BD48" s="15"/>
      <c r="BK48" s="15"/>
      <c r="BM48" s="15"/>
    </row>
    <row r="49" spans="2:65">
      <c r="P49" s="15">
        <f>P46+O46+M46+L46+J46</f>
        <v>24068.9</v>
      </c>
      <c r="S49" t="s">
        <v>705</v>
      </c>
      <c r="AQ49" s="15">
        <f>AVERAGE(AQ32:AQ41)</f>
        <v>7615.4</v>
      </c>
      <c r="AR49" s="15">
        <f>AVERAGE(AR32:AR41)</f>
        <v>6268.5</v>
      </c>
      <c r="AU49" s="15">
        <f>AVERAGE(AU32:AU41)</f>
        <v>1506.4</v>
      </c>
      <c r="AV49" s="15">
        <f>AVERAGE(AV32:AV41)</f>
        <v>0.39299999999999996</v>
      </c>
      <c r="AW49" s="15"/>
      <c r="AY49" s="15">
        <f>AVERAGE(AY32:AY41)</f>
        <v>8748.2999999999993</v>
      </c>
      <c r="AZ49" s="15">
        <f>AVERAGE(AZ32:AZ41)</f>
        <v>5755</v>
      </c>
      <c r="BA49" s="15"/>
      <c r="BD49" s="15">
        <f>AVERAGE(BD32:BD41)</f>
        <v>1013.9</v>
      </c>
      <c r="BK49" s="15">
        <f>AVERAGE(BK32:BK41)</f>
        <v>375.4</v>
      </c>
      <c r="BM49" s="15">
        <f>AVERAGE(BM32:BM41)</f>
        <v>293.57460000000003</v>
      </c>
    </row>
    <row r="50" spans="2:65">
      <c r="AQ50" s="15">
        <f>GEOMEAN(AQ32:AQ41)</f>
        <v>7291.704163749273</v>
      </c>
      <c r="AR50" s="15">
        <f>GEOMEAN(AR32:AR41)</f>
        <v>5953.4967828980598</v>
      </c>
      <c r="AU50" s="15">
        <f>GEOMEAN(AU32:AU41)</f>
        <v>1402.3785642633604</v>
      </c>
      <c r="AV50" s="15">
        <f>GEOMEAN(AV32:AV41)</f>
        <v>0.36040471401541446</v>
      </c>
      <c r="AW50" s="15"/>
      <c r="AY50" s="15">
        <f>GEOMEAN(AY32:AY41)</f>
        <v>8324.5724592509832</v>
      </c>
      <c r="AZ50" s="15">
        <f>GEOMEAN(AZ32:AZ41)</f>
        <v>5149.9646329995367</v>
      </c>
      <c r="BA50" s="15"/>
      <c r="BD50" s="15">
        <f>GEOMEAN(BD32:BD41)</f>
        <v>875.12358717824509</v>
      </c>
      <c r="BK50" s="15">
        <f>GEOMEAN(BK32:BK41)</f>
        <v>332.99609002692682</v>
      </c>
      <c r="BM50" s="15">
        <f>GEOMEAN(BM32:BM41)</f>
        <v>242.95023686841841</v>
      </c>
    </row>
    <row r="51" spans="2:65">
      <c r="AQ51" s="15"/>
      <c r="AR51" s="15"/>
      <c r="AU51" s="15"/>
      <c r="AV51" s="15"/>
      <c r="AW51" s="15"/>
      <c r="AY51" s="15"/>
      <c r="AZ51" s="15"/>
      <c r="BA51" s="15"/>
      <c r="BD51" s="15"/>
    </row>
    <row r="52" spans="2:65">
      <c r="AQ52" s="15"/>
      <c r="AR52" s="15"/>
      <c r="AU52" s="15"/>
      <c r="AV52" s="15"/>
      <c r="AW52" s="15"/>
      <c r="AY52" s="15"/>
      <c r="AZ52" s="15"/>
      <c r="BA52" s="15"/>
      <c r="BD52" s="15">
        <f>AVERAGE(BD36:BD40)</f>
        <v>1362</v>
      </c>
    </row>
    <row r="53" spans="2:65">
      <c r="B53" t="s">
        <v>420</v>
      </c>
    </row>
    <row r="54" spans="2:65">
      <c r="B54" s="94" t="s">
        <v>421</v>
      </c>
      <c r="C54" s="94"/>
    </row>
    <row r="55" spans="2:65">
      <c r="B55" s="94" t="s">
        <v>422</v>
      </c>
      <c r="C55" s="94"/>
    </row>
    <row r="56" spans="2:65">
      <c r="B56" s="95" t="s">
        <v>423</v>
      </c>
      <c r="C56" s="95"/>
    </row>
    <row r="57" spans="2:65">
      <c r="B57" s="95" t="s">
        <v>424</v>
      </c>
      <c r="C57" s="95"/>
    </row>
    <row r="58" spans="2:65">
      <c r="B58" s="94" t="s">
        <v>425</v>
      </c>
      <c r="C58" s="94"/>
    </row>
    <row r="59" spans="2:65">
      <c r="B59" t="s">
        <v>426</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949F0-02EE-418A-B84C-8FC98582EEFA}">
  <dimension ref="A1:AA57"/>
  <sheetViews>
    <sheetView workbookViewId="0">
      <pane xSplit="2" ySplit="4" topLeftCell="C5" activePane="bottomRight" state="frozen"/>
      <selection pane="topRight" activeCell="C1" sqref="C1"/>
      <selection pane="bottomLeft" activeCell="A5" sqref="A5"/>
      <selection pane="bottomRight" activeCell="P5" sqref="P5"/>
    </sheetView>
  </sheetViews>
  <sheetFormatPr defaultRowHeight="14.4"/>
  <cols>
    <col min="1" max="1" width="8.88671875" customWidth="1"/>
    <col min="2" max="2" width="32.6640625" customWidth="1"/>
    <col min="3" max="3" width="13.44140625" style="49" customWidth="1"/>
    <col min="4" max="4" width="8.88671875" style="466"/>
    <col min="7" max="7" width="2.6640625" customWidth="1"/>
    <col min="8" max="8" width="9.33203125" customWidth="1"/>
    <col min="9" max="9" width="9.6640625" customWidth="1"/>
    <col min="10" max="10" width="3.44140625" customWidth="1"/>
    <col min="11" max="11" width="7.5546875" customWidth="1"/>
    <col min="14" max="14" width="2.33203125" customWidth="1"/>
    <col min="15" max="15" width="5.5546875" bestFit="1" customWidth="1"/>
    <col min="18" max="18" width="3.33203125" customWidth="1"/>
    <col min="19" max="19" width="5.5546875" bestFit="1" customWidth="1"/>
    <col min="22" max="22" width="2.88671875" customWidth="1"/>
    <col min="23" max="23" width="5.5546875" bestFit="1" customWidth="1"/>
    <col min="24" max="24" width="9.88671875" bestFit="1" customWidth="1"/>
  </cols>
  <sheetData>
    <row r="1" spans="1:25">
      <c r="H1" t="s">
        <v>706</v>
      </c>
      <c r="L1" t="s">
        <v>707</v>
      </c>
    </row>
    <row r="2" spans="1:25">
      <c r="B2" s="458" t="s">
        <v>690</v>
      </c>
      <c r="C2" s="483">
        <f>Summary!T45</f>
        <v>0.6</v>
      </c>
      <c r="D2" s="467"/>
      <c r="H2" t="s">
        <v>649</v>
      </c>
      <c r="L2" t="s">
        <v>649</v>
      </c>
      <c r="P2" t="s">
        <v>216</v>
      </c>
      <c r="T2" t="s">
        <v>657</v>
      </c>
      <c r="X2" t="s">
        <v>217</v>
      </c>
    </row>
    <row r="3" spans="1:25">
      <c r="H3" s="18"/>
    </row>
    <row r="4" spans="1:25">
      <c r="C4" t="s">
        <v>658</v>
      </c>
      <c r="D4" s="468" t="s">
        <v>659</v>
      </c>
      <c r="E4" s="18" t="s">
        <v>660</v>
      </c>
      <c r="F4" s="18" t="s">
        <v>661</v>
      </c>
      <c r="H4" s="18" t="s">
        <v>43</v>
      </c>
      <c r="I4" s="18" t="s">
        <v>662</v>
      </c>
      <c r="L4" s="127" t="s">
        <v>43</v>
      </c>
      <c r="M4" t="s">
        <v>662</v>
      </c>
      <c r="P4" s="127" t="s">
        <v>43</v>
      </c>
      <c r="Q4" t="s">
        <v>662</v>
      </c>
      <c r="T4" s="127" t="s">
        <v>43</v>
      </c>
      <c r="U4" t="s">
        <v>662</v>
      </c>
      <c r="X4" s="127" t="s">
        <v>43</v>
      </c>
      <c r="Y4" t="s">
        <v>662</v>
      </c>
    </row>
    <row r="5" spans="1:25">
      <c r="B5" t="s">
        <v>663</v>
      </c>
      <c r="C5" s="15">
        <f>Summary!T55</f>
        <v>14500</v>
      </c>
      <c r="D5" s="468"/>
      <c r="E5" s="18"/>
      <c r="F5">
        <f>C5/C14</f>
        <v>0.48171541183677757</v>
      </c>
      <c r="H5" s="469">
        <f t="shared" ref="H5" si="0">E6*H6</f>
        <v>13842.856891352054</v>
      </c>
      <c r="I5" s="18"/>
      <c r="L5" s="469">
        <f>H5</f>
        <v>13842.856891352054</v>
      </c>
      <c r="P5" s="469">
        <f>H5*Summary!V14/Summary!T14</f>
        <v>7363.2371417127588</v>
      </c>
      <c r="T5" s="469">
        <f>H5*Summary!W14/Summary!T14</f>
        <v>64101.070005910522</v>
      </c>
      <c r="X5" s="469">
        <f>H5*Summary!X14/Summary!T14</f>
        <v>107421.44852298725</v>
      </c>
    </row>
    <row r="6" spans="1:25">
      <c r="A6" t="s">
        <v>664</v>
      </c>
      <c r="B6" t="s">
        <v>665</v>
      </c>
      <c r="C6"/>
      <c r="D6" s="466">
        <v>0.21051873014815475</v>
      </c>
      <c r="E6" s="470">
        <f t="shared" ref="E6:E13" si="1">1-D6</f>
        <v>0.78948126985184519</v>
      </c>
      <c r="F6" s="470">
        <f t="shared" ref="F6:F12" si="2">E6*F7</f>
        <v>0.45988396609760213</v>
      </c>
      <c r="H6" s="15">
        <f>E7*H8</f>
        <v>17534.116919518328</v>
      </c>
      <c r="I6" s="15">
        <f t="shared" ref="I6" si="3">H6-H5</f>
        <v>3691.2600281662744</v>
      </c>
      <c r="J6" s="15"/>
      <c r="K6" s="466">
        <f>D6</f>
        <v>0.21051873014815475</v>
      </c>
      <c r="L6" s="15">
        <f>L5/(1-K6)</f>
        <v>17534.116919518328</v>
      </c>
      <c r="M6" s="15">
        <f>L6-L5</f>
        <v>3691.2600281662744</v>
      </c>
      <c r="O6" s="466">
        <f>$D6</f>
        <v>0.21051873014815475</v>
      </c>
      <c r="P6" s="15">
        <f>P5/(1-O6)</f>
        <v>9326.6774309852226</v>
      </c>
      <c r="Q6" s="15">
        <f>P6-P5</f>
        <v>1963.4402892724638</v>
      </c>
      <c r="S6" s="466">
        <f>$D6</f>
        <v>0.21051873014815475</v>
      </c>
      <c r="T6" s="15">
        <f>T5/(1-S6)</f>
        <v>81193.908524188024</v>
      </c>
      <c r="U6" s="15">
        <f>T6-T5</f>
        <v>17092.838518277502</v>
      </c>
      <c r="W6" s="466">
        <f>$D6</f>
        <v>0.21051873014815475</v>
      </c>
      <c r="X6" s="15">
        <f>X5/(1-W6)</f>
        <v>136065.86074315108</v>
      </c>
      <c r="Y6" s="15">
        <f>X6-X5</f>
        <v>28644.412220163824</v>
      </c>
    </row>
    <row r="7" spans="1:25">
      <c r="B7" t="s">
        <v>666</v>
      </c>
      <c r="C7" s="15">
        <f>(run!$U$46+run!$V$46)*(1-$C$2)</f>
        <v>2797.4400000000005</v>
      </c>
      <c r="D7" s="471">
        <f>run!AI46</f>
        <v>0.13453581350831822</v>
      </c>
      <c r="E7" s="470">
        <f t="shared" si="1"/>
        <v>0.86546418649168178</v>
      </c>
      <c r="F7" s="470">
        <f>E7*F9</f>
        <v>0.5825140933158609</v>
      </c>
      <c r="I7" s="15">
        <f>H8-H6</f>
        <v>2725.6664351183281</v>
      </c>
      <c r="J7" s="15"/>
      <c r="K7" s="466">
        <f>D7</f>
        <v>0.13453581350831822</v>
      </c>
      <c r="M7" s="15">
        <f>L8-L6</f>
        <v>2725.6664351183281</v>
      </c>
      <c r="O7" s="466">
        <f>$D7</f>
        <v>0.13453581350831822</v>
      </c>
      <c r="Q7" s="15">
        <f>P8-P6</f>
        <v>1449.8256023668855</v>
      </c>
      <c r="S7" s="472">
        <f>$D7*$T$24</f>
        <v>0.13453581350831822</v>
      </c>
      <c r="U7" s="15">
        <f>T8-T6</f>
        <v>12621.537327271712</v>
      </c>
      <c r="W7" s="472">
        <f>$D7*$X$24</f>
        <v>0.13453581350831822</v>
      </c>
      <c r="Y7" s="15">
        <f>X8-X6</f>
        <v>21151.344621196884</v>
      </c>
    </row>
    <row r="8" spans="1:25">
      <c r="B8" s="473" t="s">
        <v>667</v>
      </c>
      <c r="C8" s="474">
        <f>Summary!T51</f>
        <v>20160</v>
      </c>
      <c r="D8" s="475"/>
      <c r="E8" s="470"/>
      <c r="F8" s="470"/>
      <c r="H8" s="469">
        <f>E9*H9</f>
        <v>20259.783354636656</v>
      </c>
      <c r="I8" s="15"/>
      <c r="J8" s="15"/>
      <c r="K8" s="466"/>
      <c r="L8" s="469">
        <f>L6/(1-K7)</f>
        <v>20259.783354636656</v>
      </c>
      <c r="M8" s="15"/>
      <c r="O8" s="466"/>
      <c r="P8" s="469">
        <f>P6/(1-O7)</f>
        <v>10776.503033352108</v>
      </c>
      <c r="Q8" s="15"/>
      <c r="S8" s="466"/>
      <c r="T8" s="469">
        <f>T6/(1-S7)</f>
        <v>93815.445851459735</v>
      </c>
      <c r="U8" s="15"/>
      <c r="W8" s="466"/>
      <c r="X8" s="469">
        <f>X6/(1-W7)</f>
        <v>157217.20536434796</v>
      </c>
      <c r="Y8" s="15"/>
    </row>
    <row r="9" spans="1:25">
      <c r="B9" t="s">
        <v>668</v>
      </c>
      <c r="C9"/>
      <c r="D9" s="466">
        <v>1.2659045924107389E-2</v>
      </c>
      <c r="E9" s="470">
        <f t="shared" si="1"/>
        <v>0.98734095407589262</v>
      </c>
      <c r="F9" s="470">
        <f t="shared" si="2"/>
        <v>0.67306550913121999</v>
      </c>
      <c r="H9" s="15">
        <f>E10*H11</f>
        <v>20519.541168631982</v>
      </c>
      <c r="I9" s="15">
        <f>H9-H8</f>
        <v>259.75781399532571</v>
      </c>
      <c r="J9" s="15"/>
      <c r="K9" s="466">
        <f>D9</f>
        <v>1.2659045924107389E-2</v>
      </c>
      <c r="L9" s="15">
        <f>L8/(1-K9)</f>
        <v>20519.541168631982</v>
      </c>
      <c r="M9" s="15">
        <f>L9-L8</f>
        <v>259.75781399532571</v>
      </c>
      <c r="O9" s="466">
        <f>$D9</f>
        <v>1.2659045924107389E-2</v>
      </c>
      <c r="P9" s="15">
        <f>P8/(1-O9)</f>
        <v>10914.67237215784</v>
      </c>
      <c r="Q9" s="15">
        <f>P9-P8</f>
        <v>138.16933880573197</v>
      </c>
      <c r="S9" s="466">
        <f>$D9</f>
        <v>1.2659045924107389E-2</v>
      </c>
      <c r="T9" s="15">
        <f>T8/(1-S9)</f>
        <v>95018.28670650741</v>
      </c>
      <c r="U9" s="15">
        <f>T9-T8</f>
        <v>1202.8408550476743</v>
      </c>
      <c r="W9" s="466">
        <f>$D9</f>
        <v>1.2659045924107389E-2</v>
      </c>
      <c r="X9" s="15">
        <f>X8/(1-W9)</f>
        <v>159232.94249603603</v>
      </c>
      <c r="Y9" s="15">
        <f>X9-X8</f>
        <v>2015.7371316880744</v>
      </c>
    </row>
    <row r="10" spans="1:25">
      <c r="B10" t="s">
        <v>669</v>
      </c>
      <c r="C10" s="15">
        <f>(run!$L$46+run!$M$46+run!$O$46+run!$P$46)*(1-$C$2)</f>
        <v>7133.2000000000016</v>
      </c>
      <c r="D10" s="471">
        <f>run!AH46+0.0085</f>
        <v>0.25714083222759354</v>
      </c>
      <c r="E10" s="470">
        <f t="shared" si="1"/>
        <v>0.74285916777240646</v>
      </c>
      <c r="F10" s="470">
        <f>E10*F12</f>
        <v>0.68169511894822543</v>
      </c>
      <c r="H10" s="49"/>
      <c r="I10" s="15">
        <f>H11-H9</f>
        <v>7102.8428024286804</v>
      </c>
      <c r="J10" s="15"/>
      <c r="K10" s="466">
        <f>D10</f>
        <v>0.25714083222759354</v>
      </c>
      <c r="M10" s="15">
        <f>L11-L9</f>
        <v>7102.8428024286768</v>
      </c>
      <c r="O10" s="466">
        <f>$D10</f>
        <v>0.25714083222759354</v>
      </c>
      <c r="Q10" s="15">
        <f>P11-P9</f>
        <v>3778.1157708321698</v>
      </c>
      <c r="S10" s="472">
        <f>$D10*$T$24</f>
        <v>0.25714083222759354</v>
      </c>
      <c r="U10" s="15">
        <f>T11-T9</f>
        <v>32890.596738300053</v>
      </c>
      <c r="W10" s="472">
        <f>$D10*$X$24</f>
        <v>0.25714083222759354</v>
      </c>
      <c r="Y10" s="15">
        <f>X11-X9</f>
        <v>55118.511190029327</v>
      </c>
    </row>
    <row r="11" spans="1:25">
      <c r="B11" s="473" t="s">
        <v>670</v>
      </c>
      <c r="C11" s="474">
        <f>run!K46*(1-C2)</f>
        <v>27610.600000000002</v>
      </c>
      <c r="D11" s="475"/>
      <c r="E11" s="470"/>
      <c r="F11" s="470"/>
      <c r="H11" s="469">
        <f>E12*H12</f>
        <v>27622.383971060663</v>
      </c>
      <c r="I11" s="15"/>
      <c r="J11" s="15"/>
      <c r="K11" s="466"/>
      <c r="L11" s="469">
        <f>L9/(1-K10)</f>
        <v>27622.383971060659</v>
      </c>
      <c r="M11" s="15"/>
      <c r="O11" s="466"/>
      <c r="P11" s="469">
        <f>P9/(1-O10)</f>
        <v>14692.78814299001</v>
      </c>
      <c r="Q11" s="15"/>
      <c r="S11" s="466"/>
      <c r="T11" s="469">
        <f>T9/(1-S10)</f>
        <v>127908.88344480746</v>
      </c>
      <c r="U11" s="15"/>
      <c r="W11" s="466"/>
      <c r="X11" s="469">
        <f>X9/(1-W10)</f>
        <v>214351.45368606536</v>
      </c>
      <c r="Y11" s="15"/>
    </row>
    <row r="12" spans="1:25">
      <c r="B12" t="s">
        <v>671</v>
      </c>
      <c r="C12"/>
      <c r="D12" s="466">
        <v>0</v>
      </c>
      <c r="E12" s="470">
        <f t="shared" si="1"/>
        <v>1</v>
      </c>
      <c r="F12" s="470">
        <f t="shared" si="2"/>
        <v>0.91766400486435107</v>
      </c>
      <c r="H12" s="15">
        <f>E13*H14</f>
        <v>27622.383971060663</v>
      </c>
      <c r="I12" s="15">
        <f>H12-H11</f>
        <v>0</v>
      </c>
      <c r="J12" s="15"/>
      <c r="K12" s="466">
        <f>D12</f>
        <v>0</v>
      </c>
      <c r="L12" s="15">
        <f>L11/(1-K12)</f>
        <v>27622.383971060659</v>
      </c>
      <c r="M12" s="15">
        <f>L12-L11</f>
        <v>0</v>
      </c>
      <c r="O12" s="466">
        <f>$D12</f>
        <v>0</v>
      </c>
      <c r="P12" s="15">
        <f>P11/(1-O12)</f>
        <v>14692.78814299001</v>
      </c>
      <c r="Q12" s="15">
        <f>P12-P11</f>
        <v>0</v>
      </c>
      <c r="S12" s="466">
        <f>$D12</f>
        <v>0</v>
      </c>
      <c r="T12" s="15">
        <f>T11/(1-S12)</f>
        <v>127908.88344480746</v>
      </c>
      <c r="U12" s="15">
        <f>T12-T11</f>
        <v>0</v>
      </c>
      <c r="W12" s="466">
        <f>$D12</f>
        <v>0</v>
      </c>
      <c r="X12" s="15">
        <f>X11/(1-W12)</f>
        <v>214351.45368606536</v>
      </c>
      <c r="Y12" s="15">
        <f>X12-X11</f>
        <v>0</v>
      </c>
    </row>
    <row r="13" spans="1:25">
      <c r="B13" t="s">
        <v>672</v>
      </c>
      <c r="C13" s="15">
        <f>run!$J$46*(1-$C$2)</f>
        <v>2494.36</v>
      </c>
      <c r="D13" s="471">
        <f>run!AG46</f>
        <v>8.2335995135648918E-2</v>
      </c>
      <c r="E13" s="470">
        <f t="shared" si="1"/>
        <v>0.91766400486435107</v>
      </c>
      <c r="F13" s="470">
        <f>E13</f>
        <v>0.91766400486435107</v>
      </c>
      <c r="I13" s="15">
        <f>H14-H12</f>
        <v>2478.3760289393358</v>
      </c>
      <c r="J13" s="15"/>
      <c r="K13" s="466">
        <f>D13</f>
        <v>8.2335995135648918E-2</v>
      </c>
      <c r="M13" s="15">
        <f>L14-L12</f>
        <v>2478.3760289393358</v>
      </c>
      <c r="O13" s="466">
        <f>$D13</f>
        <v>8.2335995135648918E-2</v>
      </c>
      <c r="Q13" s="15">
        <f>P14-P12</f>
        <v>1318.2878773251759</v>
      </c>
      <c r="S13" s="472">
        <f>$D13*$T$24</f>
        <v>8.2335995135648918E-2</v>
      </c>
      <c r="U13" s="15">
        <f>T14-T12</f>
        <v>11476.428354269738</v>
      </c>
      <c r="W13" s="472">
        <f>$D13*$X$24</f>
        <v>8.2335995135648918E-2</v>
      </c>
      <c r="Y13" s="15">
        <f>X14-X12</f>
        <v>19232.355365866184</v>
      </c>
    </row>
    <row r="14" spans="1:25">
      <c r="B14" t="s">
        <v>673</v>
      </c>
      <c r="C14" s="420">
        <f>run!D46*(1-Conv!C2)</f>
        <v>30100.76</v>
      </c>
      <c r="D14" s="491"/>
      <c r="E14" s="492"/>
      <c r="F14" s="492"/>
      <c r="G14" s="197"/>
      <c r="H14" s="469">
        <f>C14</f>
        <v>30100.76</v>
      </c>
      <c r="I14" s="420"/>
      <c r="J14" s="420"/>
      <c r="K14" s="492"/>
      <c r="L14" s="469">
        <f>L12/(1-K13)</f>
        <v>30100.759999999995</v>
      </c>
      <c r="M14" s="420"/>
      <c r="N14" s="197"/>
      <c r="O14" s="493"/>
      <c r="P14" s="469">
        <f>P12/(1-O13)</f>
        <v>16011.076020315186</v>
      </c>
      <c r="Q14" s="420"/>
      <c r="R14" s="197"/>
      <c r="S14" s="493"/>
      <c r="T14" s="469">
        <f>T12/(1-S13)</f>
        <v>139385.3117990772</v>
      </c>
      <c r="U14" s="420"/>
      <c r="V14" s="197"/>
      <c r="W14" s="492"/>
      <c r="X14" s="469">
        <f>X12/(1-W13)</f>
        <v>233583.80905193154</v>
      </c>
      <c r="Y14" s="420"/>
    </row>
    <row r="15" spans="1:25">
      <c r="B15" t="s">
        <v>689</v>
      </c>
      <c r="C15" s="15">
        <f>Summary!$AD$32*(1-$C$2)</f>
        <v>16620.046620046625</v>
      </c>
      <c r="D15" s="500">
        <f>Summary!T32+Summary!T33</f>
        <v>0.35650000000000004</v>
      </c>
      <c r="E15" s="470"/>
      <c r="F15" s="470"/>
      <c r="H15" s="15"/>
      <c r="I15" s="15">
        <f>H16*D15</f>
        <v>16675.867816627819</v>
      </c>
      <c r="J15" s="15"/>
      <c r="K15" s="466">
        <f>$D15</f>
        <v>0.35650000000000004</v>
      </c>
      <c r="L15" s="15"/>
      <c r="M15" s="15">
        <f>K15*L16</f>
        <v>16675.867816627819</v>
      </c>
      <c r="O15" s="466">
        <f>$D15</f>
        <v>0.35650000000000004</v>
      </c>
      <c r="P15" s="15"/>
      <c r="Q15" s="15">
        <f>O15*P16</f>
        <v>8870.1609964916315</v>
      </c>
      <c r="S15" s="466">
        <f>$D15</f>
        <v>0.35650000000000004</v>
      </c>
      <c r="T15" s="15"/>
      <c r="U15" s="15">
        <f>S15*T16</f>
        <v>77219.679341679934</v>
      </c>
      <c r="W15" s="466">
        <f>$D15</f>
        <v>0.35650000000000004</v>
      </c>
      <c r="X15" s="15"/>
      <c r="Y15" s="15">
        <f>W15*X16</f>
        <v>129405.79320437236</v>
      </c>
    </row>
    <row r="16" spans="1:25">
      <c r="B16" t="s">
        <v>688</v>
      </c>
      <c r="C16" s="15">
        <f>C14/(1-D15)</f>
        <v>46776.627816627813</v>
      </c>
      <c r="D16" s="475"/>
      <c r="E16" s="470"/>
      <c r="F16" s="470"/>
      <c r="H16" s="15">
        <f>C16</f>
        <v>46776.627816627813</v>
      </c>
      <c r="J16" s="15"/>
      <c r="K16" s="470"/>
      <c r="L16" s="15">
        <f>L14/(1-K15)</f>
        <v>46776.627816627813</v>
      </c>
      <c r="M16" s="15"/>
      <c r="O16" s="466"/>
      <c r="P16" s="15">
        <f>P14/(1-O15)</f>
        <v>24881.237016806816</v>
      </c>
      <c r="Q16" s="15"/>
      <c r="S16" s="466"/>
      <c r="T16" s="15">
        <f>T14/(1-S15)</f>
        <v>216604.99114075713</v>
      </c>
      <c r="U16" s="15"/>
      <c r="W16" s="470"/>
      <c r="X16" s="15">
        <f>X14/(1-W15)</f>
        <v>362989.60225630389</v>
      </c>
      <c r="Y16" s="15"/>
    </row>
    <row r="17" spans="2:27">
      <c r="D17" s="468"/>
      <c r="E17" s="18"/>
      <c r="F17" s="18"/>
      <c r="L17" s="15"/>
      <c r="P17" s="15"/>
      <c r="T17" s="15"/>
      <c r="X17" s="15"/>
    </row>
    <row r="18" spans="2:27">
      <c r="B18" s="458" t="s">
        <v>691</v>
      </c>
      <c r="C18" s="445">
        <f>Summary!T59</f>
        <v>12400</v>
      </c>
      <c r="I18" s="445">
        <f>I7+I10+I13</f>
        <v>12306.885266486344</v>
      </c>
      <c r="L18" s="15"/>
      <c r="M18" s="445">
        <f>M7+M10+M13</f>
        <v>12306.885266486341</v>
      </c>
      <c r="P18" s="15"/>
      <c r="Q18" s="445">
        <f>Q7+Q10+Q13</f>
        <v>6546.2292505242312</v>
      </c>
      <c r="T18" s="15"/>
      <c r="U18" s="445">
        <f>U7+U10+U13</f>
        <v>56988.562419841503</v>
      </c>
      <c r="X18" s="15"/>
      <c r="Y18" s="445">
        <f>Y7+Y10+Y13</f>
        <v>95502.211177092395</v>
      </c>
    </row>
    <row r="19" spans="2:27">
      <c r="B19" s="458" t="s">
        <v>674</v>
      </c>
      <c r="C19" s="477"/>
      <c r="I19" s="478">
        <f>I18/H14</f>
        <v>0.40885629686713376</v>
      </c>
      <c r="J19" s="91"/>
      <c r="K19" s="91"/>
      <c r="L19" s="91"/>
      <c r="M19" s="478">
        <f>M18/L14</f>
        <v>0.40885629686713371</v>
      </c>
      <c r="N19" s="91"/>
      <c r="O19" s="91"/>
      <c r="P19" s="91"/>
      <c r="Q19" s="478">
        <f>Q18/P14</f>
        <v>0.40885629686713371</v>
      </c>
      <c r="R19" s="93"/>
      <c r="S19" s="93"/>
      <c r="T19" s="93"/>
      <c r="U19" s="478">
        <f>U18/T14</f>
        <v>0.40885629686713371</v>
      </c>
      <c r="V19" s="93"/>
      <c r="W19" s="93"/>
      <c r="X19" s="93"/>
      <c r="Y19" s="478">
        <f>Y18/X14</f>
        <v>0.40885629686713371</v>
      </c>
    </row>
    <row r="20" spans="2:27">
      <c r="B20" s="458" t="s">
        <v>675</v>
      </c>
      <c r="C20" s="476"/>
      <c r="I20" s="445">
        <f>I6+I9+I12</f>
        <v>3951.0178421616001</v>
      </c>
      <c r="L20" s="15"/>
      <c r="M20" s="445">
        <f>M6+M9+M12</f>
        <v>3951.0178421616001</v>
      </c>
      <c r="P20" s="15"/>
      <c r="Q20" s="445">
        <f>Q6+Q9+Q12</f>
        <v>2101.6096280781958</v>
      </c>
      <c r="T20" s="15"/>
      <c r="U20" s="445">
        <f>U6+U9+U12</f>
        <v>18295.679373325176</v>
      </c>
      <c r="X20" s="15"/>
      <c r="Y20" s="445">
        <f>Y6+Y9+Y12</f>
        <v>30660.149351851898</v>
      </c>
    </row>
    <row r="21" spans="2:27">
      <c r="B21" s="458" t="s">
        <v>676</v>
      </c>
      <c r="C21" s="476"/>
      <c r="I21" s="479">
        <f>I20/H14</f>
        <v>0.13125973703526422</v>
      </c>
      <c r="L21" s="15"/>
      <c r="M21" s="479">
        <f>M20/L14</f>
        <v>0.13125973703526425</v>
      </c>
      <c r="P21" s="15"/>
      <c r="Q21" s="479">
        <f>Q20/P14</f>
        <v>0.1312597370352642</v>
      </c>
      <c r="T21" s="15"/>
      <c r="U21" s="479">
        <f>U20/T14</f>
        <v>0.13125973703526417</v>
      </c>
      <c r="X21" s="15"/>
      <c r="Y21" s="479">
        <f>Y20/X14</f>
        <v>0.1312597370352642</v>
      </c>
    </row>
    <row r="23" spans="2:27">
      <c r="B23" s="458" t="s">
        <v>677</v>
      </c>
      <c r="C23" s="476"/>
      <c r="M23" s="91">
        <v>0.4</v>
      </c>
      <c r="Q23" s="92">
        <f>M23</f>
        <v>0.4</v>
      </c>
      <c r="R23" s="92"/>
      <c r="S23" s="92"/>
      <c r="T23" s="92"/>
      <c r="U23" s="92">
        <f>M23</f>
        <v>0.4</v>
      </c>
      <c r="V23" s="92"/>
      <c r="W23" s="92"/>
      <c r="X23" s="92"/>
      <c r="Y23" s="92">
        <f>M23</f>
        <v>0.4</v>
      </c>
      <c r="AA23" t="s">
        <v>678</v>
      </c>
    </row>
    <row r="24" spans="2:27">
      <c r="B24" s="458" t="s">
        <v>679</v>
      </c>
      <c r="C24" s="476"/>
      <c r="T24" s="480">
        <v>1</v>
      </c>
      <c r="X24" s="480">
        <v>1</v>
      </c>
    </row>
    <row r="25" spans="2:27">
      <c r="B25" s="458"/>
      <c r="C25" s="476"/>
    </row>
    <row r="26" spans="2:27">
      <c r="B26" s="458" t="s">
        <v>710</v>
      </c>
      <c r="C26" s="476"/>
      <c r="I26" s="15">
        <f>I18+I15</f>
        <v>28982.753083114163</v>
      </c>
      <c r="M26" s="15">
        <f>M18+M15</f>
        <v>28982.753083114159</v>
      </c>
      <c r="Q26" s="15">
        <f>Q18+Q15</f>
        <v>15416.390247015863</v>
      </c>
      <c r="U26" s="15">
        <f>U18+U15</f>
        <v>134208.24176152144</v>
      </c>
      <c r="Y26" s="15">
        <f>Y18+Y15</f>
        <v>224908.00438146474</v>
      </c>
    </row>
    <row r="27" spans="2:27">
      <c r="B27" s="458" t="s">
        <v>711</v>
      </c>
      <c r="C27" s="476"/>
      <c r="I27">
        <f>I26/H16</f>
        <v>0.6195990270340006</v>
      </c>
      <c r="M27">
        <f>M26/L16</f>
        <v>0.6195990270340006</v>
      </c>
      <c r="Q27">
        <f>Q26/P16</f>
        <v>0.6195990270340006</v>
      </c>
      <c r="U27">
        <f>U26/T16</f>
        <v>0.6195990270340006</v>
      </c>
      <c r="Y27">
        <f>Y26/X16</f>
        <v>0.61959902703400049</v>
      </c>
      <c r="AA27" t="s">
        <v>712</v>
      </c>
    </row>
    <row r="28" spans="2:27">
      <c r="B28" s="458"/>
      <c r="C28" s="476"/>
    </row>
    <row r="29" spans="2:27">
      <c r="B29" s="458"/>
      <c r="C29" s="476"/>
      <c r="H29" t="s">
        <v>655</v>
      </c>
      <c r="L29" t="s">
        <v>656</v>
      </c>
      <c r="P29" t="s">
        <v>655</v>
      </c>
      <c r="T29" t="s">
        <v>655</v>
      </c>
      <c r="X29" t="s">
        <v>655</v>
      </c>
    </row>
    <row r="30" spans="2:27">
      <c r="B30" s="458"/>
      <c r="C30" s="476"/>
      <c r="H30" t="s">
        <v>649</v>
      </c>
      <c r="L30" t="s">
        <v>649</v>
      </c>
      <c r="P30" t="s">
        <v>216</v>
      </c>
      <c r="T30" t="s">
        <v>657</v>
      </c>
      <c r="X30" t="s">
        <v>217</v>
      </c>
    </row>
    <row r="31" spans="2:27">
      <c r="B31" s="458"/>
      <c r="C31" s="476"/>
    </row>
    <row r="32" spans="2:27">
      <c r="B32" s="448" t="s">
        <v>663</v>
      </c>
      <c r="C32" s="629">
        <f>Summary!T56</f>
        <v>21800</v>
      </c>
      <c r="F32">
        <f>C32/C41</f>
        <v>0.48444444444444446</v>
      </c>
      <c r="H32" s="469">
        <f t="shared" ref="H32" si="4">E33*H33</f>
        <v>20694.778474392097</v>
      </c>
      <c r="I32" s="18"/>
      <c r="L32" s="469">
        <f>H32</f>
        <v>20694.778474392097</v>
      </c>
      <c r="P32" s="469">
        <f>P33*(1-O33)</f>
        <v>19732.551844548281</v>
      </c>
      <c r="Q32" s="18"/>
      <c r="T32" s="469">
        <f>T33*(1-S33)</f>
        <v>42093.962089291868</v>
      </c>
      <c r="U32" s="18"/>
      <c r="X32" s="469">
        <f>X33*(1-W33)</f>
        <v>64455.372334035448</v>
      </c>
      <c r="Y32" s="18"/>
      <c r="Z32" s="49"/>
    </row>
    <row r="33" spans="1:27">
      <c r="A33" t="s">
        <v>680</v>
      </c>
      <c r="B33" t="s">
        <v>681</v>
      </c>
      <c r="C33"/>
      <c r="D33" s="466">
        <f>D6</f>
        <v>0.21051873014815475</v>
      </c>
      <c r="E33" s="470">
        <f t="shared" ref="E33:E34" si="5">1-D33</f>
        <v>0.78948126985184519</v>
      </c>
      <c r="F33" s="470">
        <f t="shared" ref="F33" si="6">E33*F34</f>
        <v>0.45988396609760213</v>
      </c>
      <c r="H33" s="15">
        <f>E34*H35</f>
        <v>26213.134199213742</v>
      </c>
      <c r="I33" s="15">
        <f t="shared" ref="I33" si="7">H33-H32</f>
        <v>5518.3557248216457</v>
      </c>
      <c r="K33" s="466">
        <f>D33</f>
        <v>0.21051873014815475</v>
      </c>
      <c r="L33" s="15">
        <f>L32/(1-K33)</f>
        <v>26213.134199213742</v>
      </c>
      <c r="M33" s="15">
        <f>L33-L32</f>
        <v>5518.3557248216457</v>
      </c>
      <c r="O33" s="466">
        <f>$D33</f>
        <v>0.21051873014815475</v>
      </c>
      <c r="P33" s="15">
        <f>P35*(1-O34)</f>
        <v>24994.325512309253</v>
      </c>
      <c r="Q33" s="15">
        <f t="shared" ref="Q33" si="8">P33-P32</f>
        <v>5261.7736677609719</v>
      </c>
      <c r="S33" s="466">
        <f>$D33</f>
        <v>0.21051873014815475</v>
      </c>
      <c r="T33" s="15">
        <f>T35*(1-S34)</f>
        <v>53318.506336687708</v>
      </c>
      <c r="U33" s="15">
        <f t="shared" ref="U33" si="9">T33-T32</f>
        <v>11224.544247395839</v>
      </c>
      <c r="W33" s="466">
        <f>$D33</f>
        <v>0.21051873014815475</v>
      </c>
      <c r="X33" s="15">
        <f>X35*(1-W34)</f>
        <v>81642.687161066162</v>
      </c>
      <c r="Y33" s="15">
        <f t="shared" ref="Y33" si="10">X33-X32</f>
        <v>17187.314827030714</v>
      </c>
      <c r="Z33" s="49"/>
    </row>
    <row r="34" spans="1:27">
      <c r="B34" t="s">
        <v>682</v>
      </c>
      <c r="C34" s="15">
        <f>(run!$U$46+run!$V$46)*($C$2)</f>
        <v>4196.16</v>
      </c>
      <c r="D34" s="471">
        <f>D7</f>
        <v>0.13453581350831822</v>
      </c>
      <c r="E34" s="470">
        <f t="shared" si="5"/>
        <v>0.86546418649168178</v>
      </c>
      <c r="F34" s="470">
        <f>E34*F36</f>
        <v>0.5825140933158609</v>
      </c>
      <c r="I34" s="15">
        <f>H35-H33</f>
        <v>4074.8137116911566</v>
      </c>
      <c r="K34" s="466">
        <f>D34</f>
        <v>0.13453581350831822</v>
      </c>
      <c r="M34" s="15">
        <f>L35-L33</f>
        <v>4074.8137116911566</v>
      </c>
      <c r="O34" s="466">
        <f>$D34</f>
        <v>0.13453581350831822</v>
      </c>
      <c r="Q34" s="15">
        <f>P35-P33</f>
        <v>3885.3507382220923</v>
      </c>
      <c r="S34" s="472">
        <f>$D34*$T$24</f>
        <v>0.13453581350831822</v>
      </c>
      <c r="U34" s="15">
        <f>T35-T33</f>
        <v>8288.3251982185247</v>
      </c>
      <c r="W34" s="472">
        <f>$D34*$X$24</f>
        <v>0.13453581350831822</v>
      </c>
      <c r="Y34" s="15">
        <f>X35-X33</f>
        <v>12691.29965821495</v>
      </c>
      <c r="Z34" s="49"/>
      <c r="AA34" t="s">
        <v>683</v>
      </c>
    </row>
    <row r="35" spans="1:27">
      <c r="B35" s="473" t="s">
        <v>667</v>
      </c>
      <c r="C35" s="474">
        <f>Summary!T52</f>
        <v>30240</v>
      </c>
      <c r="D35" s="475"/>
      <c r="E35" s="470"/>
      <c r="F35" s="470"/>
      <c r="H35" s="469">
        <f>E36*H36</f>
        <v>30287.947910904899</v>
      </c>
      <c r="I35" s="15"/>
      <c r="K35" s="466"/>
      <c r="L35" s="469">
        <f>L33/(1-K34)</f>
        <v>30287.947910904899</v>
      </c>
      <c r="M35" s="15"/>
      <c r="O35" s="466"/>
      <c r="P35" s="469">
        <f>P36*(1-O36)</f>
        <v>28879.676250531345</v>
      </c>
      <c r="Q35" s="15"/>
      <c r="S35" s="466"/>
      <c r="T35" s="469">
        <f>T36*(1-S36)</f>
        <v>61606.831534906232</v>
      </c>
      <c r="U35" s="15"/>
      <c r="W35" s="466"/>
      <c r="X35" s="469">
        <f>X36*(1-W36)</f>
        <v>94333.986819281112</v>
      </c>
      <c r="Y35" s="15"/>
      <c r="Z35" s="49"/>
    </row>
    <row r="36" spans="1:27">
      <c r="B36" t="s">
        <v>684</v>
      </c>
      <c r="C36"/>
      <c r="D36" s="466">
        <f>D9</f>
        <v>1.2659045924107389E-2</v>
      </c>
      <c r="E36" s="470">
        <f t="shared" ref="E36:E37" si="11">1-D36</f>
        <v>0.98734095407589262</v>
      </c>
      <c r="F36" s="470">
        <f t="shared" ref="F36" si="12">E36*F37</f>
        <v>0.67306550913121999</v>
      </c>
      <c r="H36" s="15">
        <f>E37*H38</f>
        <v>30676.280352670143</v>
      </c>
      <c r="I36" s="15">
        <f>H36-H35</f>
        <v>388.33244176524386</v>
      </c>
      <c r="K36" s="466">
        <f>D36</f>
        <v>1.2659045924107389E-2</v>
      </c>
      <c r="L36" s="15">
        <f>L35/(1-K36)</f>
        <v>30676.280352670143</v>
      </c>
      <c r="M36" s="15">
        <f>L36-L35</f>
        <v>388.33244176524386</v>
      </c>
      <c r="O36" s="466">
        <f>$D36</f>
        <v>1.2659045924107389E-2</v>
      </c>
      <c r="P36" s="15">
        <f>P38*(1-O37)</f>
        <v>29249.952745616069</v>
      </c>
      <c r="Q36" s="15">
        <f>P36-P35</f>
        <v>370.27649508472314</v>
      </c>
      <c r="S36" s="466">
        <f>$D36</f>
        <v>1.2659045924107389E-2</v>
      </c>
      <c r="T36" s="15">
        <f>T38*(1-S37)</f>
        <v>62396.714408111933</v>
      </c>
      <c r="U36" s="15">
        <f>T36-T35</f>
        <v>789.88287320570089</v>
      </c>
      <c r="W36" s="466">
        <f>$D36</f>
        <v>1.2659045924107389E-2</v>
      </c>
      <c r="X36" s="15">
        <f>X38*(1-W37)</f>
        <v>95543.476070607794</v>
      </c>
      <c r="Y36" s="15">
        <f>X36-X35</f>
        <v>1209.4892513266823</v>
      </c>
      <c r="Z36" s="49"/>
    </row>
    <row r="37" spans="1:27">
      <c r="B37" t="s">
        <v>685</v>
      </c>
      <c r="C37" s="15">
        <f>(run!$L$46+run!$M$46+run!$O$46+run!$P$46)*($C$2)</f>
        <v>10699.800000000001</v>
      </c>
      <c r="D37" s="471">
        <f>D10</f>
        <v>0.25714083222759354</v>
      </c>
      <c r="E37" s="470">
        <f t="shared" si="11"/>
        <v>0.74285916777240646</v>
      </c>
      <c r="F37" s="470">
        <f>E37*F39</f>
        <v>0.68169511894822543</v>
      </c>
      <c r="H37" s="49"/>
      <c r="I37" s="15">
        <f>H38-H36</f>
        <v>10618.599866225657</v>
      </c>
      <c r="K37" s="466">
        <f>D37</f>
        <v>0.25714083222759354</v>
      </c>
      <c r="M37" s="15">
        <f>L38-L36</f>
        <v>10618.599866225657</v>
      </c>
      <c r="O37" s="466">
        <f>$D37</f>
        <v>0.25714083222759354</v>
      </c>
      <c r="P37" s="49"/>
      <c r="Q37" s="15">
        <f>P38-P36</f>
        <v>10124.876312935074</v>
      </c>
      <c r="S37" s="472">
        <f>$D37*$T$54</f>
        <v>0.25714083222759354</v>
      </c>
      <c r="T37" s="49"/>
      <c r="U37" s="15">
        <f>T38-T36</f>
        <v>21598.633721223843</v>
      </c>
      <c r="W37" s="472">
        <f>$D37*$X$54</f>
        <v>0.25714083222759354</v>
      </c>
      <c r="X37" s="49"/>
      <c r="Y37" s="15">
        <f>X38-X36</f>
        <v>33072.391129512616</v>
      </c>
      <c r="Z37" s="49"/>
    </row>
    <row r="38" spans="1:27">
      <c r="B38" s="473" t="s">
        <v>670</v>
      </c>
      <c r="C38" s="474">
        <f>Summary!T48</f>
        <v>41400</v>
      </c>
      <c r="D38" s="475"/>
      <c r="E38" s="470"/>
      <c r="F38" s="470"/>
      <c r="H38" s="469">
        <f>E39*H39</f>
        <v>41294.8802188958</v>
      </c>
      <c r="I38" s="15"/>
      <c r="K38" s="466"/>
      <c r="L38" s="469">
        <f>L36/(1-K37)</f>
        <v>41294.8802188958</v>
      </c>
      <c r="M38" s="15"/>
      <c r="O38" s="466"/>
      <c r="P38" s="469">
        <f>P39*(1-O39)</f>
        <v>39374.829058551142</v>
      </c>
      <c r="Q38" s="15"/>
      <c r="S38" s="466"/>
      <c r="T38" s="469">
        <f>T39*(1-S39)</f>
        <v>83995.348129335776</v>
      </c>
      <c r="U38" s="15"/>
      <c r="W38" s="466"/>
      <c r="X38" s="469">
        <f>X39*(1-W39)</f>
        <v>128615.86720012041</v>
      </c>
      <c r="Y38" s="15"/>
      <c r="Z38" s="49"/>
    </row>
    <row r="39" spans="1:27">
      <c r="B39" t="s">
        <v>671</v>
      </c>
      <c r="C39"/>
      <c r="D39" s="466">
        <f>D12</f>
        <v>0</v>
      </c>
      <c r="E39" s="470">
        <f t="shared" ref="E39:E40" si="13">1-D39</f>
        <v>1</v>
      </c>
      <c r="F39" s="470">
        <f t="shared" ref="F39" si="14">E39*F40</f>
        <v>0.91766400486435107</v>
      </c>
      <c r="H39" s="15">
        <f>E40*H41</f>
        <v>41294.8802188958</v>
      </c>
      <c r="I39" s="15">
        <f>H39-H38</f>
        <v>0</v>
      </c>
      <c r="K39" s="466">
        <f>D39</f>
        <v>0</v>
      </c>
      <c r="L39" s="15">
        <f>L38/(1-K39)</f>
        <v>41294.8802188958</v>
      </c>
      <c r="M39" s="15">
        <f>L39-L38</f>
        <v>0</v>
      </c>
      <c r="O39" s="466">
        <f>$D39</f>
        <v>0</v>
      </c>
      <c r="P39" s="15">
        <f>P41*(1-O40)</f>
        <v>39374.829058551142</v>
      </c>
      <c r="Q39" s="15">
        <f>P39-P38</f>
        <v>0</v>
      </c>
      <c r="S39" s="466">
        <f>$D39</f>
        <v>0</v>
      </c>
      <c r="T39" s="15">
        <f>T41*(1-S40)</f>
        <v>83995.348129335776</v>
      </c>
      <c r="U39" s="15">
        <f>T39-T38</f>
        <v>0</v>
      </c>
      <c r="W39" s="466">
        <f>$D39</f>
        <v>0</v>
      </c>
      <c r="X39" s="15">
        <f>X41*(1-W40)</f>
        <v>128615.86720012041</v>
      </c>
      <c r="Y39" s="15">
        <f>X39-X38</f>
        <v>0</v>
      </c>
      <c r="Z39" s="49"/>
    </row>
    <row r="40" spans="1:27">
      <c r="B40" t="s">
        <v>672</v>
      </c>
      <c r="C40" s="15">
        <f>run!$J$46*($C$2)</f>
        <v>3741.5399999999995</v>
      </c>
      <c r="D40" s="471">
        <f>D13</f>
        <v>8.2335995135648918E-2</v>
      </c>
      <c r="E40" s="470">
        <f t="shared" si="13"/>
        <v>0.91766400486435107</v>
      </c>
      <c r="F40" s="470">
        <f>E40</f>
        <v>0.91766400486435107</v>
      </c>
      <c r="I40" s="15">
        <f>H41-H39</f>
        <v>3705.1197811042002</v>
      </c>
      <c r="K40" s="466">
        <f>D40</f>
        <v>8.2335995135648918E-2</v>
      </c>
      <c r="M40" s="15">
        <f>L41-L39</f>
        <v>3705.1197811042002</v>
      </c>
      <c r="O40" s="466">
        <f>$D40</f>
        <v>8.2335995135648918E-2</v>
      </c>
      <c r="Q40" s="15">
        <f>P41-P39</f>
        <v>3532.8461361095906</v>
      </c>
      <c r="S40" s="472">
        <f>$D40*$T$24</f>
        <v>8.2335995135648918E-2</v>
      </c>
      <c r="U40" s="15">
        <f>T41-T39</f>
        <v>7536.3537616542162</v>
      </c>
      <c r="W40" s="472">
        <f>$D40*$X$24</f>
        <v>8.2335995135648918E-2</v>
      </c>
      <c r="Y40" s="15">
        <f>X41-X39</f>
        <v>11539.861387198849</v>
      </c>
      <c r="Z40" s="49"/>
    </row>
    <row r="41" spans="1:27">
      <c r="B41" t="s">
        <v>673</v>
      </c>
      <c r="C41" s="15">
        <f>Summary!T44</f>
        <v>45000</v>
      </c>
      <c r="E41" s="93">
        <f>C41/C45</f>
        <v>1.0011123470522803E-2</v>
      </c>
      <c r="H41" s="469">
        <f>C41</f>
        <v>45000</v>
      </c>
      <c r="I41" s="15"/>
      <c r="K41" s="470"/>
      <c r="L41" s="469">
        <f>L39/(1-K40)</f>
        <v>45000</v>
      </c>
      <c r="M41" s="15"/>
      <c r="O41" s="466"/>
      <c r="P41" s="469">
        <f>P45*P46</f>
        <v>42907.675194660733</v>
      </c>
      <c r="Q41" s="15"/>
      <c r="S41" s="466"/>
      <c r="T41" s="469">
        <f>T45*T46</f>
        <v>91531.701890989993</v>
      </c>
      <c r="U41" s="15"/>
      <c r="W41" s="470"/>
      <c r="X41" s="469">
        <f>X45*X46</f>
        <v>140155.72858731926</v>
      </c>
      <c r="Y41" s="15"/>
      <c r="Z41" s="49"/>
    </row>
    <row r="42" spans="1:27">
      <c r="B42" t="s">
        <v>689</v>
      </c>
      <c r="C42" s="15">
        <f>Summary!$AD$32*($C$2)</f>
        <v>24930.069930069934</v>
      </c>
      <c r="D42" s="500">
        <f>D15</f>
        <v>0.35650000000000004</v>
      </c>
      <c r="E42" s="470"/>
      <c r="F42" s="470"/>
      <c r="H42" s="15"/>
      <c r="I42" s="15">
        <f>H43*D42</f>
        <v>24930.069930069934</v>
      </c>
      <c r="J42" s="15"/>
      <c r="K42" s="466">
        <f>$D42</f>
        <v>0.35650000000000004</v>
      </c>
      <c r="L42" s="15"/>
      <c r="M42" s="15">
        <f>K42*L43</f>
        <v>24930.069930069934</v>
      </c>
      <c r="O42" s="466">
        <f>$D42</f>
        <v>0.35650000000000004</v>
      </c>
      <c r="P42" s="15"/>
      <c r="Q42" s="15">
        <f>O42*P43</f>
        <v>23770.918736435979</v>
      </c>
      <c r="S42" s="466">
        <f>$D42</f>
        <v>0.35650000000000004</v>
      </c>
      <c r="T42" s="15"/>
      <c r="U42" s="15">
        <f>S42*T43</f>
        <v>50708.705088015442</v>
      </c>
      <c r="W42" s="466">
        <f>$D42</f>
        <v>0.35650000000000004</v>
      </c>
      <c r="X42" s="15"/>
      <c r="Y42" s="15">
        <f>W42*X43</f>
        <v>77646.491439594916</v>
      </c>
      <c r="Z42" s="49"/>
    </row>
    <row r="43" spans="1:27">
      <c r="B43" t="s">
        <v>688</v>
      </c>
      <c r="C43" s="15">
        <f>Summary!$AD$33*($C$2)</f>
        <v>69930.069930069934</v>
      </c>
      <c r="D43" s="475"/>
      <c r="E43" s="470"/>
      <c r="F43" s="470"/>
      <c r="H43" s="15">
        <f>C43</f>
        <v>69930.069930069934</v>
      </c>
      <c r="J43" s="15"/>
      <c r="K43" s="470"/>
      <c r="L43" s="15">
        <f>L41/(1-K42)</f>
        <v>69930.069930069934</v>
      </c>
      <c r="M43" s="15"/>
      <c r="O43" s="466"/>
      <c r="P43" s="15">
        <f>P41/(1-O42)</f>
        <v>66678.593931096708</v>
      </c>
      <c r="Q43" s="15"/>
      <c r="S43" s="466"/>
      <c r="T43" s="15">
        <f>T41/(1-S42)</f>
        <v>142240.40697900543</v>
      </c>
      <c r="U43" s="15"/>
      <c r="W43" s="470"/>
      <c r="X43" s="15">
        <f>X41/(1-W42)</f>
        <v>217802.22002691418</v>
      </c>
      <c r="Y43" s="15"/>
      <c r="Z43" s="49"/>
    </row>
    <row r="44" spans="1:27">
      <c r="C44" s="15"/>
      <c r="E44" s="93"/>
      <c r="H44" s="15"/>
      <c r="I44" s="15"/>
      <c r="K44" s="470"/>
      <c r="L44" s="15"/>
      <c r="M44" s="15"/>
      <c r="O44" s="466"/>
      <c r="P44" s="15"/>
      <c r="Q44" s="15"/>
      <c r="S44" s="466"/>
      <c r="T44" s="15"/>
      <c r="U44" s="15"/>
      <c r="W44" s="470"/>
      <c r="X44" s="15"/>
      <c r="Y44" s="15"/>
      <c r="Z44" s="49"/>
    </row>
    <row r="45" spans="1:27">
      <c r="B45" t="s">
        <v>686</v>
      </c>
      <c r="C45" s="15">
        <f>3311000+1184000</f>
        <v>4495000</v>
      </c>
      <c r="H45" s="15">
        <f>C45</f>
        <v>4495000</v>
      </c>
      <c r="I45" s="15"/>
      <c r="K45" s="470"/>
      <c r="L45" s="15">
        <f>C45</f>
        <v>4495000</v>
      </c>
      <c r="M45" s="15"/>
      <c r="O45" s="466"/>
      <c r="P45" s="15">
        <f>Summary!U28+Summary!V28</f>
        <v>4286000</v>
      </c>
      <c r="Q45" s="15"/>
      <c r="S45" s="466"/>
      <c r="T45" s="15">
        <f>AVERAGE(P45,X45)</f>
        <v>9143000</v>
      </c>
      <c r="U45" s="15"/>
      <c r="W45" s="470"/>
      <c r="X45" s="15">
        <v>14000000</v>
      </c>
      <c r="Y45" s="15"/>
      <c r="Z45" s="49"/>
    </row>
    <row r="46" spans="1:27">
      <c r="B46" t="s">
        <v>489</v>
      </c>
      <c r="C46" s="499">
        <f>C41/C45</f>
        <v>1.0011123470522803E-2</v>
      </c>
      <c r="H46" s="15"/>
      <c r="I46" s="15"/>
      <c r="K46" s="470"/>
      <c r="L46" s="15"/>
      <c r="M46" s="15"/>
      <c r="O46" s="466"/>
      <c r="P46" s="481">
        <f>C46</f>
        <v>1.0011123470522803E-2</v>
      </c>
      <c r="Q46" s="15"/>
      <c r="S46" s="466"/>
      <c r="T46" s="481">
        <f>C46</f>
        <v>1.0011123470522803E-2</v>
      </c>
      <c r="U46" s="15"/>
      <c r="W46" s="470"/>
      <c r="X46" s="481">
        <f>C46</f>
        <v>1.0011123470522803E-2</v>
      </c>
      <c r="Y46" s="15"/>
      <c r="Z46" s="49"/>
    </row>
    <row r="47" spans="1:27">
      <c r="H47" s="446"/>
      <c r="I47" s="446"/>
      <c r="L47" s="15"/>
      <c r="P47" s="15"/>
      <c r="T47" s="15"/>
      <c r="X47" s="15"/>
      <c r="Z47" s="49"/>
    </row>
    <row r="48" spans="1:27">
      <c r="B48" s="458" t="s">
        <v>691</v>
      </c>
      <c r="C48" s="445">
        <f>Summary!T60</f>
        <v>18700</v>
      </c>
      <c r="H48" s="49"/>
      <c r="I48" s="445">
        <f>I34+I37+I40</f>
        <v>18398.533359021014</v>
      </c>
      <c r="L48" s="15"/>
      <c r="M48" s="445">
        <f>M34+M37+M40</f>
        <v>18398.533359021014</v>
      </c>
      <c r="P48" s="15"/>
      <c r="Q48" s="445">
        <f>Q34+Q37+Q40</f>
        <v>17543.073187266757</v>
      </c>
      <c r="T48" s="15"/>
      <c r="U48" s="445">
        <f>U34+U37+U40</f>
        <v>37423.312681096584</v>
      </c>
      <c r="X48" s="15"/>
      <c r="Y48" s="445">
        <f>Y34+Y37+Y40</f>
        <v>57303.552174926415</v>
      </c>
      <c r="Z48" s="49"/>
    </row>
    <row r="49" spans="2:27">
      <c r="B49" s="458" t="s">
        <v>674</v>
      </c>
      <c r="C49" s="476"/>
      <c r="H49" s="49"/>
      <c r="I49" s="478">
        <f>I48/H41</f>
        <v>0.40885629686713365</v>
      </c>
      <c r="K49" s="91"/>
      <c r="L49" s="91"/>
      <c r="M49" s="478">
        <f>M48/L41</f>
        <v>0.40885629686713365</v>
      </c>
      <c r="N49" s="91"/>
      <c r="O49" s="91"/>
      <c r="P49" s="91"/>
      <c r="Q49" s="478">
        <f>Q48/P41</f>
        <v>0.40885629686713371</v>
      </c>
      <c r="R49" s="93"/>
      <c r="S49" s="93"/>
      <c r="T49" s="93"/>
      <c r="U49" s="478">
        <f>U48/T41</f>
        <v>0.40885629686713365</v>
      </c>
      <c r="V49" s="93"/>
      <c r="W49" s="93"/>
      <c r="X49" s="93"/>
      <c r="Y49" s="478">
        <f>Y48/X41</f>
        <v>0.40885629686713365</v>
      </c>
      <c r="Z49" s="49"/>
      <c r="AA49" t="s">
        <v>687</v>
      </c>
    </row>
    <row r="50" spans="2:27">
      <c r="B50" s="458" t="s">
        <v>675</v>
      </c>
      <c r="C50" s="476"/>
      <c r="H50" s="49"/>
      <c r="I50" s="445">
        <f>I33+I36+I39</f>
        <v>5906.6881665868896</v>
      </c>
      <c r="L50" s="15"/>
      <c r="M50" s="445">
        <f>M33+M36+M39</f>
        <v>5906.6881665868896</v>
      </c>
      <c r="P50" s="15"/>
      <c r="Q50" s="445">
        <f>Q33+Q36+Q39</f>
        <v>5632.050162845695</v>
      </c>
      <c r="T50" s="15"/>
      <c r="U50" s="445">
        <f>U33+U36+U39</f>
        <v>12014.42712060154</v>
      </c>
      <c r="X50" s="15"/>
      <c r="Y50" s="445">
        <f>Y33+Y36+Y39</f>
        <v>18396.804078357396</v>
      </c>
      <c r="Z50" s="49"/>
    </row>
    <row r="51" spans="2:27">
      <c r="B51" s="458" t="s">
        <v>676</v>
      </c>
      <c r="C51" s="476"/>
      <c r="H51" s="49"/>
      <c r="I51" s="479">
        <f>I50/H41</f>
        <v>0.13125973703526422</v>
      </c>
      <c r="L51" s="15"/>
      <c r="M51" s="479">
        <f>M50/L41</f>
        <v>0.13125973703526422</v>
      </c>
      <c r="P51" s="15"/>
      <c r="Q51" s="479">
        <f>Q50/P41</f>
        <v>0.13125973703526417</v>
      </c>
      <c r="T51" s="15"/>
      <c r="U51" s="479">
        <f>U50/T41</f>
        <v>0.1312597370352642</v>
      </c>
      <c r="X51" s="15"/>
      <c r="Y51" s="479">
        <f>Y50/X41</f>
        <v>0.13125973703526425</v>
      </c>
      <c r="Z51" s="49"/>
    </row>
    <row r="52" spans="2:27">
      <c r="H52" s="49"/>
      <c r="I52" s="482"/>
    </row>
    <row r="53" spans="2:27">
      <c r="B53" s="458" t="s">
        <v>677</v>
      </c>
      <c r="C53" s="476"/>
      <c r="M53">
        <v>0.13500000000000001</v>
      </c>
      <c r="Q53" s="92">
        <v>0.14000000000000001</v>
      </c>
      <c r="R53" s="92"/>
      <c r="S53" s="92"/>
      <c r="T53" s="92"/>
      <c r="U53" s="92">
        <v>0.28000000000000003</v>
      </c>
      <c r="V53" s="92"/>
      <c r="W53" s="92"/>
      <c r="X53" s="92"/>
      <c r="Y53" s="92">
        <v>0.4</v>
      </c>
    </row>
    <row r="54" spans="2:27">
      <c r="B54" s="458" t="s">
        <v>679</v>
      </c>
      <c r="T54" s="480">
        <f>T24</f>
        <v>1</v>
      </c>
      <c r="X54" s="480">
        <f>X24</f>
        <v>1</v>
      </c>
    </row>
    <row r="56" spans="2:27">
      <c r="B56" s="458" t="s">
        <v>710</v>
      </c>
      <c r="I56" s="15">
        <f>I42+I48</f>
        <v>43328.603289090948</v>
      </c>
      <c r="M56" s="15">
        <f>M42+M48</f>
        <v>43328.603289090948</v>
      </c>
      <c r="Q56" s="15">
        <f>Q42+Q48</f>
        <v>41313.991923702735</v>
      </c>
      <c r="U56" s="15">
        <f>U42+U48</f>
        <v>88132.017769112019</v>
      </c>
      <c r="Y56" s="15">
        <f>Y42+Y48</f>
        <v>134950.04361452133</v>
      </c>
    </row>
    <row r="57" spans="2:27">
      <c r="B57" s="458" t="s">
        <v>711</v>
      </c>
      <c r="I57">
        <f>I56/H43</f>
        <v>0.61959902703400049</v>
      </c>
      <c r="M57">
        <f>M56/L43</f>
        <v>0.61959902703400049</v>
      </c>
      <c r="Q57">
        <f>Q56/P43</f>
        <v>0.6195990270340006</v>
      </c>
      <c r="U57">
        <f>U56/T43</f>
        <v>0.61959902703400049</v>
      </c>
      <c r="Y57">
        <f>Y56/X43</f>
        <v>0.61959902703400049</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30"/>
  <sheetViews>
    <sheetView zoomScale="80" zoomScaleNormal="80" workbookViewId="0">
      <selection activeCell="A108" sqref="A108"/>
    </sheetView>
  </sheetViews>
  <sheetFormatPr defaultColWidth="8.88671875" defaultRowHeight="14.4"/>
  <cols>
    <col min="1" max="1" width="21" bestFit="1" customWidth="1"/>
    <col min="2" max="2" width="35.33203125" bestFit="1" customWidth="1"/>
    <col min="3" max="3" width="21" bestFit="1" customWidth="1"/>
    <col min="4" max="5" width="24.6640625" customWidth="1"/>
    <col min="6" max="6" width="18.6640625" customWidth="1"/>
    <col min="7" max="7" width="22.6640625" bestFit="1" customWidth="1"/>
    <col min="8" max="8" width="13.109375" bestFit="1" customWidth="1"/>
    <col min="9" max="9" width="14.109375" bestFit="1" customWidth="1"/>
    <col min="10" max="10" width="25.5546875" customWidth="1"/>
  </cols>
  <sheetData>
    <row r="1" spans="1:8" ht="14.4" customHeight="1">
      <c r="A1" s="686" t="s">
        <v>445</v>
      </c>
      <c r="B1" s="686"/>
      <c r="C1" s="686"/>
      <c r="D1" s="686"/>
      <c r="F1" s="686" t="s">
        <v>265</v>
      </c>
      <c r="G1" s="686"/>
    </row>
    <row r="2" spans="1:8">
      <c r="A2" s="686"/>
      <c r="B2" s="686"/>
      <c r="C2" s="686"/>
      <c r="D2" s="686"/>
      <c r="F2" s="686"/>
      <c r="G2" s="686"/>
    </row>
    <row r="3" spans="1:8">
      <c r="A3" s="686"/>
      <c r="B3" s="686"/>
      <c r="C3" s="686"/>
      <c r="D3" s="686"/>
      <c r="F3" s="686"/>
      <c r="G3" s="686"/>
    </row>
    <row r="4" spans="1:8">
      <c r="A4" s="686"/>
      <c r="B4" s="686"/>
      <c r="C4" s="686"/>
      <c r="D4" s="686"/>
      <c r="F4" s="686"/>
      <c r="G4" s="686"/>
    </row>
    <row r="5" spans="1:8">
      <c r="A5" s="686"/>
      <c r="B5" s="686"/>
      <c r="C5" s="686"/>
      <c r="D5" s="686"/>
      <c r="F5" s="686"/>
      <c r="G5" s="686"/>
    </row>
    <row r="6" spans="1:8">
      <c r="A6" s="686"/>
      <c r="B6" s="686"/>
      <c r="C6" s="686"/>
      <c r="D6" s="686"/>
      <c r="F6" s="686"/>
      <c r="G6" s="686"/>
    </row>
    <row r="7" spans="1:8">
      <c r="A7" s="686"/>
      <c r="B7" s="686"/>
      <c r="C7" s="686"/>
      <c r="D7" s="686"/>
      <c r="F7" s="686"/>
      <c r="G7" s="686"/>
    </row>
    <row r="8" spans="1:8">
      <c r="A8" s="686"/>
      <c r="B8" s="686"/>
      <c r="C8" s="686"/>
      <c r="D8" s="686"/>
      <c r="F8" s="116"/>
      <c r="G8" s="116"/>
    </row>
    <row r="9" spans="1:8">
      <c r="A9" s="686"/>
      <c r="B9" s="686"/>
      <c r="C9" s="686"/>
      <c r="D9" s="686"/>
      <c r="F9" s="116"/>
      <c r="G9" s="116"/>
    </row>
    <row r="10" spans="1:8">
      <c r="A10" s="116"/>
      <c r="B10" s="116"/>
      <c r="C10" s="116"/>
      <c r="D10" s="116"/>
      <c r="E10" s="116"/>
      <c r="G10" s="116"/>
      <c r="H10" s="116"/>
    </row>
    <row r="11" spans="1:8">
      <c r="A11" s="116"/>
      <c r="B11" s="116"/>
      <c r="C11" s="116"/>
      <c r="D11" s="116"/>
      <c r="E11" s="116"/>
      <c r="G11" s="116"/>
      <c r="H11" s="116"/>
    </row>
    <row r="12" spans="1:8" ht="15" customHeight="1" thickBot="1">
      <c r="A12" t="s">
        <v>446</v>
      </c>
      <c r="C12" s="116"/>
    </row>
    <row r="13" spans="1:8" ht="14.4" customHeight="1">
      <c r="A13" s="174" t="s">
        <v>223</v>
      </c>
      <c r="B13" s="176" t="s">
        <v>260</v>
      </c>
      <c r="C13" s="116"/>
    </row>
    <row r="14" spans="1:8">
      <c r="A14" s="120" t="s">
        <v>224</v>
      </c>
      <c r="B14" s="117">
        <v>1500000</v>
      </c>
      <c r="C14" s="116"/>
    </row>
    <row r="15" spans="1:8">
      <c r="A15" s="120" t="s">
        <v>237</v>
      </c>
      <c r="B15" s="117">
        <v>3510000</v>
      </c>
      <c r="C15" s="116"/>
    </row>
    <row r="16" spans="1:8">
      <c r="A16" s="120" t="s">
        <v>238</v>
      </c>
      <c r="B16" s="117">
        <v>810000</v>
      </c>
      <c r="C16" s="116"/>
    </row>
    <row r="17" spans="1:8">
      <c r="A17" s="120" t="s">
        <v>239</v>
      </c>
      <c r="B17" s="117">
        <v>2160000</v>
      </c>
      <c r="C17" s="116"/>
    </row>
    <row r="18" spans="1:8">
      <c r="A18" s="120" t="s">
        <v>240</v>
      </c>
      <c r="B18" s="117">
        <v>1000000</v>
      </c>
      <c r="C18" s="116"/>
    </row>
    <row r="19" spans="1:8">
      <c r="A19" s="120" t="s">
        <v>225</v>
      </c>
      <c r="B19" s="117">
        <v>1125000</v>
      </c>
      <c r="C19" s="116"/>
    </row>
    <row r="20" spans="1:8">
      <c r="A20" s="120" t="s">
        <v>241</v>
      </c>
      <c r="B20" s="117">
        <v>2250000</v>
      </c>
      <c r="C20" s="116"/>
    </row>
    <row r="21" spans="1:8">
      <c r="A21" s="120" t="s">
        <v>242</v>
      </c>
      <c r="B21" s="117">
        <v>1125000</v>
      </c>
      <c r="C21" s="116"/>
    </row>
    <row r="22" spans="1:8">
      <c r="A22" s="120" t="s">
        <v>243</v>
      </c>
      <c r="B22" s="117">
        <v>600000</v>
      </c>
      <c r="C22" s="116"/>
    </row>
    <row r="23" spans="1:8">
      <c r="A23" s="181" t="s">
        <v>214</v>
      </c>
      <c r="B23" s="139">
        <v>2700000</v>
      </c>
      <c r="C23" s="116"/>
    </row>
    <row r="24" spans="1:8" ht="15" thickBot="1">
      <c r="A24" s="183" t="s">
        <v>162</v>
      </c>
      <c r="B24" s="125">
        <f>SUM(B14:B23)</f>
        <v>16780000</v>
      </c>
      <c r="C24" s="116"/>
    </row>
    <row r="25" spans="1:8">
      <c r="C25" s="18"/>
      <c r="G25" s="92"/>
    </row>
    <row r="26" spans="1:8" ht="14.4" customHeight="1" thickBot="1">
      <c r="A26" t="s">
        <v>448</v>
      </c>
      <c r="H26" s="93"/>
    </row>
    <row r="27" spans="1:8">
      <c r="A27" s="174" t="s">
        <v>1</v>
      </c>
      <c r="B27" s="175" t="s">
        <v>506</v>
      </c>
      <c r="C27" s="175" t="s">
        <v>229</v>
      </c>
      <c r="D27" s="176" t="s">
        <v>236</v>
      </c>
      <c r="F27" s="155" t="s">
        <v>454</v>
      </c>
      <c r="G27" s="156" t="s">
        <v>455</v>
      </c>
      <c r="H27" s="93"/>
    </row>
    <row r="28" spans="1:8">
      <c r="A28" s="177" t="s">
        <v>287</v>
      </c>
      <c r="B28" s="178">
        <f>0.55*G28</f>
        <v>0.13750000000000001</v>
      </c>
      <c r="C28" s="118">
        <v>18.5</v>
      </c>
      <c r="D28" s="119">
        <f>$B$24*B28</f>
        <v>2307250</v>
      </c>
      <c r="F28" s="157" t="s">
        <v>456</v>
      </c>
      <c r="G28" s="158">
        <v>0.25</v>
      </c>
      <c r="H28" s="93"/>
    </row>
    <row r="29" spans="1:8">
      <c r="A29" s="177" t="s">
        <v>288</v>
      </c>
      <c r="B29" s="178">
        <f>0.55*G29</f>
        <v>0.35750000000000004</v>
      </c>
      <c r="C29" s="118">
        <v>18.5</v>
      </c>
      <c r="D29" s="119">
        <f t="shared" ref="D29:D30" si="0">$B$24*B29</f>
        <v>5998850.0000000009</v>
      </c>
      <c r="F29" s="157" t="s">
        <v>457</v>
      </c>
      <c r="G29" s="158">
        <v>0.65</v>
      </c>
      <c r="H29" s="93"/>
    </row>
    <row r="30" spans="1:8" ht="15" thickBot="1">
      <c r="A30" s="177" t="s">
        <v>289</v>
      </c>
      <c r="B30" s="178">
        <f>0.55*G30</f>
        <v>5.5000000000000007E-2</v>
      </c>
      <c r="C30" s="118">
        <v>18.5</v>
      </c>
      <c r="D30" s="119">
        <f t="shared" si="0"/>
        <v>922900.00000000012</v>
      </c>
      <c r="F30" s="159" t="s">
        <v>458</v>
      </c>
      <c r="G30" s="160">
        <v>0.1</v>
      </c>
      <c r="H30" s="93"/>
    </row>
    <row r="31" spans="1:8">
      <c r="A31" s="120" t="s">
        <v>449</v>
      </c>
      <c r="B31" s="18">
        <v>0.55000000000000004</v>
      </c>
      <c r="C31" s="18">
        <v>18.5</v>
      </c>
      <c r="D31" s="121">
        <f>$B$24*B31</f>
        <v>9229000</v>
      </c>
      <c r="H31" s="93"/>
    </row>
    <row r="32" spans="1:8">
      <c r="A32" s="120" t="s">
        <v>226</v>
      </c>
      <c r="B32" s="18">
        <v>0.04</v>
      </c>
      <c r="C32" s="18">
        <v>8.9</v>
      </c>
      <c r="D32" s="121">
        <f>$B$24*B32</f>
        <v>671200</v>
      </c>
    </row>
    <row r="33" spans="1:9">
      <c r="A33" s="120" t="s">
        <v>227</v>
      </c>
      <c r="B33" s="18">
        <v>7.0000000000000007E-2</v>
      </c>
      <c r="C33" s="18">
        <v>3.5</v>
      </c>
      <c r="D33" s="121">
        <f>$B$24*B33</f>
        <v>1174600</v>
      </c>
    </row>
    <row r="34" spans="1:9">
      <c r="A34" s="181" t="s">
        <v>228</v>
      </c>
      <c r="B34" s="192">
        <v>0.31</v>
      </c>
      <c r="C34" s="192">
        <v>7.3</v>
      </c>
      <c r="D34" s="122">
        <f>$B$24*B34</f>
        <v>5201800</v>
      </c>
    </row>
    <row r="35" spans="1:9" ht="15" thickBot="1">
      <c r="A35" s="183" t="s">
        <v>162</v>
      </c>
      <c r="B35" s="184">
        <f>SUM(B31:B34)</f>
        <v>0.9700000000000002</v>
      </c>
      <c r="C35" s="123"/>
      <c r="D35" s="124">
        <f>SUM(D31:D34)</f>
        <v>16276600</v>
      </c>
    </row>
    <row r="36" spans="1:9" ht="15" thickBot="1">
      <c r="B36" s="127"/>
      <c r="C36" s="127"/>
      <c r="D36" s="18"/>
    </row>
    <row r="37" spans="1:9">
      <c r="A37" s="128"/>
      <c r="B37" s="687" t="s">
        <v>244</v>
      </c>
      <c r="C37" s="687"/>
      <c r="D37" s="687"/>
      <c r="E37" s="687"/>
      <c r="F37" s="687"/>
      <c r="G37" s="687"/>
      <c r="H37" s="687"/>
      <c r="I37" s="688" t="s">
        <v>262</v>
      </c>
    </row>
    <row r="38" spans="1:9">
      <c r="A38" s="129" t="s">
        <v>223</v>
      </c>
      <c r="B38" s="126" t="s">
        <v>287</v>
      </c>
      <c r="C38" s="126" t="s">
        <v>288</v>
      </c>
      <c r="D38" s="126" t="s">
        <v>289</v>
      </c>
      <c r="E38" s="126" t="s">
        <v>450</v>
      </c>
      <c r="F38" s="126" t="s">
        <v>226</v>
      </c>
      <c r="G38" s="126" t="s">
        <v>227</v>
      </c>
      <c r="H38" s="126" t="s">
        <v>228</v>
      </c>
      <c r="I38" s="689"/>
    </row>
    <row r="39" spans="1:9">
      <c r="A39" s="120" t="s">
        <v>224</v>
      </c>
      <c r="B39" s="127">
        <f t="shared" ref="B39:B48" si="1">$B$28*B14</f>
        <v>206250.00000000003</v>
      </c>
      <c r="C39" s="127">
        <f t="shared" ref="C39:C48" si="2">$B$29*B14</f>
        <v>536250.00000000012</v>
      </c>
      <c r="D39" s="127">
        <f t="shared" ref="D39:D48" si="3">$B$30*B14</f>
        <v>82500.000000000015</v>
      </c>
      <c r="E39" s="127">
        <f t="shared" ref="E39:E48" si="4">SUM(B39:D39)</f>
        <v>825000.00000000012</v>
      </c>
      <c r="F39" s="127">
        <f t="shared" ref="F39:F48" si="5">B14*$B$32</f>
        <v>60000</v>
      </c>
      <c r="G39" s="127">
        <f t="shared" ref="G39:G48" si="6">B14*$B$33</f>
        <v>105000.00000000001</v>
      </c>
      <c r="H39" s="127">
        <f t="shared" ref="H39:H48" si="7">B14*$B$34</f>
        <v>465000</v>
      </c>
      <c r="I39" s="130">
        <f>SUM(E39:H39)</f>
        <v>1455000</v>
      </c>
    </row>
    <row r="40" spans="1:9">
      <c r="A40" s="120" t="s">
        <v>237</v>
      </c>
      <c r="B40" s="127">
        <f t="shared" si="1"/>
        <v>482625.00000000006</v>
      </c>
      <c r="C40" s="127">
        <f t="shared" si="2"/>
        <v>1254825.0000000002</v>
      </c>
      <c r="D40" s="127">
        <f t="shared" si="3"/>
        <v>193050.00000000003</v>
      </c>
      <c r="E40" s="127">
        <f t="shared" si="4"/>
        <v>1930500.0000000002</v>
      </c>
      <c r="F40" s="127">
        <f t="shared" si="5"/>
        <v>140400</v>
      </c>
      <c r="G40" s="127">
        <f t="shared" si="6"/>
        <v>245700.00000000003</v>
      </c>
      <c r="H40" s="127">
        <f t="shared" si="7"/>
        <v>1088100</v>
      </c>
      <c r="I40" s="130">
        <f t="shared" ref="I40:I48" si="8">SUM(E40:H40)</f>
        <v>3404700.0000000005</v>
      </c>
    </row>
    <row r="41" spans="1:9">
      <c r="A41" s="120" t="s">
        <v>238</v>
      </c>
      <c r="B41" s="127">
        <f t="shared" si="1"/>
        <v>111375.00000000001</v>
      </c>
      <c r="C41" s="127">
        <f t="shared" si="2"/>
        <v>289575.00000000006</v>
      </c>
      <c r="D41" s="127">
        <f t="shared" si="3"/>
        <v>44550.000000000007</v>
      </c>
      <c r="E41" s="127">
        <f t="shared" si="4"/>
        <v>445500.00000000006</v>
      </c>
      <c r="F41" s="127">
        <f t="shared" si="5"/>
        <v>32400</v>
      </c>
      <c r="G41" s="127">
        <f t="shared" si="6"/>
        <v>56700.000000000007</v>
      </c>
      <c r="H41" s="127">
        <f t="shared" si="7"/>
        <v>251100</v>
      </c>
      <c r="I41" s="130">
        <f t="shared" si="8"/>
        <v>785700.00000000012</v>
      </c>
    </row>
    <row r="42" spans="1:9">
      <c r="A42" s="120" t="s">
        <v>239</v>
      </c>
      <c r="B42" s="127">
        <f t="shared" si="1"/>
        <v>297000</v>
      </c>
      <c r="C42" s="127">
        <f t="shared" si="2"/>
        <v>772200.00000000012</v>
      </c>
      <c r="D42" s="127">
        <f t="shared" si="3"/>
        <v>118800.00000000001</v>
      </c>
      <c r="E42" s="127">
        <f t="shared" si="4"/>
        <v>1188000</v>
      </c>
      <c r="F42" s="127">
        <f t="shared" si="5"/>
        <v>86400</v>
      </c>
      <c r="G42" s="127">
        <f t="shared" si="6"/>
        <v>151200</v>
      </c>
      <c r="H42" s="127">
        <f t="shared" si="7"/>
        <v>669600</v>
      </c>
      <c r="I42" s="130">
        <f t="shared" si="8"/>
        <v>2095200</v>
      </c>
    </row>
    <row r="43" spans="1:9">
      <c r="A43" s="120" t="s">
        <v>240</v>
      </c>
      <c r="B43" s="127">
        <f t="shared" si="1"/>
        <v>137500</v>
      </c>
      <c r="C43" s="127">
        <f t="shared" si="2"/>
        <v>357500.00000000006</v>
      </c>
      <c r="D43" s="127">
        <f t="shared" si="3"/>
        <v>55000.000000000007</v>
      </c>
      <c r="E43" s="127">
        <f t="shared" si="4"/>
        <v>550000.00000000012</v>
      </c>
      <c r="F43" s="127">
        <f t="shared" si="5"/>
        <v>40000</v>
      </c>
      <c r="G43" s="127">
        <f t="shared" si="6"/>
        <v>70000</v>
      </c>
      <c r="H43" s="127">
        <f t="shared" si="7"/>
        <v>310000</v>
      </c>
      <c r="I43" s="130">
        <f t="shared" si="8"/>
        <v>970000.00000000012</v>
      </c>
    </row>
    <row r="44" spans="1:9">
      <c r="A44" s="120" t="s">
        <v>225</v>
      </c>
      <c r="B44" s="127">
        <f t="shared" si="1"/>
        <v>154687.5</v>
      </c>
      <c r="C44" s="127">
        <f t="shared" si="2"/>
        <v>402187.50000000006</v>
      </c>
      <c r="D44" s="127">
        <f t="shared" si="3"/>
        <v>61875.000000000007</v>
      </c>
      <c r="E44" s="127">
        <f t="shared" si="4"/>
        <v>618750</v>
      </c>
      <c r="F44" s="127">
        <f t="shared" si="5"/>
        <v>45000</v>
      </c>
      <c r="G44" s="127">
        <f t="shared" si="6"/>
        <v>78750.000000000015</v>
      </c>
      <c r="H44" s="127">
        <f t="shared" si="7"/>
        <v>348750</v>
      </c>
      <c r="I44" s="130">
        <f t="shared" si="8"/>
        <v>1091250</v>
      </c>
    </row>
    <row r="45" spans="1:9">
      <c r="A45" s="120" t="s">
        <v>241</v>
      </c>
      <c r="B45" s="127">
        <f t="shared" si="1"/>
        <v>309375</v>
      </c>
      <c r="C45" s="127">
        <f t="shared" si="2"/>
        <v>804375.00000000012</v>
      </c>
      <c r="D45" s="127">
        <f t="shared" si="3"/>
        <v>123750.00000000001</v>
      </c>
      <c r="E45" s="127">
        <f t="shared" si="4"/>
        <v>1237500</v>
      </c>
      <c r="F45" s="127">
        <f t="shared" si="5"/>
        <v>90000</v>
      </c>
      <c r="G45" s="127">
        <f t="shared" si="6"/>
        <v>157500.00000000003</v>
      </c>
      <c r="H45" s="127">
        <f t="shared" si="7"/>
        <v>697500</v>
      </c>
      <c r="I45" s="130">
        <f t="shared" si="8"/>
        <v>2182500</v>
      </c>
    </row>
    <row r="46" spans="1:9">
      <c r="A46" s="120" t="s">
        <v>242</v>
      </c>
      <c r="B46" s="127">
        <f t="shared" si="1"/>
        <v>154687.5</v>
      </c>
      <c r="C46" s="127">
        <f t="shared" si="2"/>
        <v>402187.50000000006</v>
      </c>
      <c r="D46" s="127">
        <f t="shared" si="3"/>
        <v>61875.000000000007</v>
      </c>
      <c r="E46" s="127">
        <f t="shared" si="4"/>
        <v>618750</v>
      </c>
      <c r="F46" s="127">
        <f t="shared" si="5"/>
        <v>45000</v>
      </c>
      <c r="G46" s="127">
        <f t="shared" si="6"/>
        <v>78750.000000000015</v>
      </c>
      <c r="H46" s="127">
        <f t="shared" si="7"/>
        <v>348750</v>
      </c>
      <c r="I46" s="130">
        <f t="shared" si="8"/>
        <v>1091250</v>
      </c>
    </row>
    <row r="47" spans="1:9">
      <c r="A47" s="120" t="s">
        <v>243</v>
      </c>
      <c r="B47" s="127">
        <f t="shared" si="1"/>
        <v>82500</v>
      </c>
      <c r="C47" s="127">
        <f t="shared" si="2"/>
        <v>214500.00000000003</v>
      </c>
      <c r="D47" s="127">
        <f t="shared" si="3"/>
        <v>33000.000000000007</v>
      </c>
      <c r="E47" s="127">
        <f t="shared" si="4"/>
        <v>330000</v>
      </c>
      <c r="F47" s="127">
        <f t="shared" si="5"/>
        <v>24000</v>
      </c>
      <c r="G47" s="127">
        <f t="shared" si="6"/>
        <v>42000.000000000007</v>
      </c>
      <c r="H47" s="127">
        <f t="shared" si="7"/>
        <v>186000</v>
      </c>
      <c r="I47" s="130">
        <f t="shared" si="8"/>
        <v>582000</v>
      </c>
    </row>
    <row r="48" spans="1:9">
      <c r="A48" s="181" t="s">
        <v>214</v>
      </c>
      <c r="B48" s="131">
        <f t="shared" si="1"/>
        <v>371250.00000000006</v>
      </c>
      <c r="C48" s="131">
        <f t="shared" si="2"/>
        <v>965250.00000000012</v>
      </c>
      <c r="D48" s="131">
        <f t="shared" si="3"/>
        <v>148500.00000000003</v>
      </c>
      <c r="E48" s="131">
        <f t="shared" si="4"/>
        <v>1485000.0000000002</v>
      </c>
      <c r="F48" s="131">
        <f t="shared" si="5"/>
        <v>108000</v>
      </c>
      <c r="G48" s="131">
        <f t="shared" si="6"/>
        <v>189000.00000000003</v>
      </c>
      <c r="H48" s="131">
        <f t="shared" si="7"/>
        <v>837000</v>
      </c>
      <c r="I48" s="132">
        <f t="shared" si="8"/>
        <v>2619000</v>
      </c>
    </row>
    <row r="49" spans="1:9" ht="15" thickBot="1">
      <c r="A49" s="183" t="s">
        <v>162</v>
      </c>
      <c r="B49" s="133">
        <f t="shared" ref="B49:D49" si="9">SUM(B39:B48)</f>
        <v>2307250</v>
      </c>
      <c r="C49" s="133">
        <f t="shared" si="9"/>
        <v>5998850.0000000009</v>
      </c>
      <c r="D49" s="133">
        <f t="shared" si="9"/>
        <v>922900.00000000012</v>
      </c>
      <c r="E49" s="133">
        <f>SUM(E39:E48)</f>
        <v>9229000</v>
      </c>
      <c r="F49" s="133">
        <f>SUM(F39:F48)</f>
        <v>671200</v>
      </c>
      <c r="G49" s="133">
        <f>SUM(G39:G48)</f>
        <v>1174600</v>
      </c>
      <c r="H49" s="133">
        <f>SUM(H39:H48)</f>
        <v>5201800</v>
      </c>
      <c r="I49" s="124">
        <f>SUM(E49:H49)</f>
        <v>16276600</v>
      </c>
    </row>
    <row r="50" spans="1:9" ht="15" thickBot="1"/>
    <row r="51" spans="1:9">
      <c r="A51" s="128"/>
      <c r="B51" s="687" t="s">
        <v>451</v>
      </c>
      <c r="C51" s="687"/>
      <c r="D51" s="687"/>
      <c r="E51" s="687"/>
      <c r="F51" s="687"/>
      <c r="G51" s="687"/>
      <c r="H51" s="687"/>
      <c r="I51" s="688" t="s">
        <v>263</v>
      </c>
    </row>
    <row r="52" spans="1:9">
      <c r="A52" s="129" t="s">
        <v>223</v>
      </c>
      <c r="B52" s="126" t="s">
        <v>287</v>
      </c>
      <c r="C52" s="126" t="s">
        <v>288</v>
      </c>
      <c r="D52" s="126" t="s">
        <v>289</v>
      </c>
      <c r="E52" s="126" t="s">
        <v>450</v>
      </c>
      <c r="F52" s="126" t="s">
        <v>226</v>
      </c>
      <c r="G52" s="126" t="s">
        <v>227</v>
      </c>
      <c r="H52" s="126" t="s">
        <v>228</v>
      </c>
      <c r="I52" s="689"/>
    </row>
    <row r="53" spans="1:9">
      <c r="A53" s="120" t="s">
        <v>224</v>
      </c>
      <c r="B53" s="218">
        <f t="shared" ref="B53:D62" si="10">B39/$C$28</f>
        <v>11148.64864864865</v>
      </c>
      <c r="C53" s="218">
        <f t="shared" si="10"/>
        <v>28986.486486486494</v>
      </c>
      <c r="D53" s="218">
        <f t="shared" si="10"/>
        <v>4459.45945945946</v>
      </c>
      <c r="E53" s="127">
        <f>SUM(B53:D53)</f>
        <v>44594.594594594608</v>
      </c>
      <c r="F53" s="127">
        <f t="shared" ref="F53:F62" si="11">F39/$C$32</f>
        <v>6741.5730337078649</v>
      </c>
      <c r="G53" s="127">
        <f t="shared" ref="G53:G62" si="12">G39/$C$33</f>
        <v>30000.000000000004</v>
      </c>
      <c r="H53" s="127">
        <f t="shared" ref="H53:H62" si="13">H39/$C$34</f>
        <v>63698.630136986299</v>
      </c>
      <c r="I53" s="219">
        <f>SUM(E53:H53)</f>
        <v>145034.79776528876</v>
      </c>
    </row>
    <row r="54" spans="1:9">
      <c r="A54" s="120" t="s">
        <v>285</v>
      </c>
      <c r="B54" s="127">
        <f t="shared" si="10"/>
        <v>26087.83783783784</v>
      </c>
      <c r="C54" s="127">
        <f t="shared" si="10"/>
        <v>67828.378378378387</v>
      </c>
      <c r="D54" s="127">
        <f t="shared" si="10"/>
        <v>10435.135135135137</v>
      </c>
      <c r="E54" s="127">
        <f t="shared" ref="E54:E62" si="14">SUM(B54:D54)</f>
        <v>104351.35135135136</v>
      </c>
      <c r="F54" s="127">
        <f t="shared" si="11"/>
        <v>15775.280898876405</v>
      </c>
      <c r="G54" s="127">
        <f t="shared" si="12"/>
        <v>70200.000000000015</v>
      </c>
      <c r="H54" s="127">
        <f t="shared" si="13"/>
        <v>149054.79452054796</v>
      </c>
      <c r="I54" s="219">
        <f t="shared" ref="I54:I61" si="15">SUM(E54:H54)</f>
        <v>339381.42677077575</v>
      </c>
    </row>
    <row r="55" spans="1:9">
      <c r="A55" s="120" t="s">
        <v>238</v>
      </c>
      <c r="B55" s="127">
        <f t="shared" si="10"/>
        <v>6020.2702702702709</v>
      </c>
      <c r="C55" s="127">
        <f t="shared" si="10"/>
        <v>15652.702702702705</v>
      </c>
      <c r="D55" s="127">
        <f t="shared" si="10"/>
        <v>2408.1081081081084</v>
      </c>
      <c r="E55" s="127">
        <f t="shared" si="14"/>
        <v>24081.081081081087</v>
      </c>
      <c r="F55" s="127">
        <f t="shared" si="11"/>
        <v>3640.4494382022472</v>
      </c>
      <c r="G55" s="127">
        <f t="shared" si="12"/>
        <v>16200.000000000002</v>
      </c>
      <c r="H55" s="127">
        <f t="shared" si="13"/>
        <v>34397.260273972606</v>
      </c>
      <c r="I55" s="219">
        <f t="shared" si="15"/>
        <v>78318.790793255932</v>
      </c>
    </row>
    <row r="56" spans="1:9">
      <c r="A56" s="120" t="s">
        <v>239</v>
      </c>
      <c r="B56" s="127">
        <f t="shared" si="10"/>
        <v>16054.054054054053</v>
      </c>
      <c r="C56" s="127">
        <f t="shared" si="10"/>
        <v>41740.540540540547</v>
      </c>
      <c r="D56" s="127">
        <f t="shared" si="10"/>
        <v>6421.6216216216226</v>
      </c>
      <c r="E56" s="127">
        <f t="shared" si="14"/>
        <v>64216.21621621622</v>
      </c>
      <c r="F56" s="127">
        <f t="shared" si="11"/>
        <v>9707.8651685393252</v>
      </c>
      <c r="G56" s="127">
        <f t="shared" si="12"/>
        <v>43200</v>
      </c>
      <c r="H56" s="127">
        <f t="shared" si="13"/>
        <v>91726.027397260274</v>
      </c>
      <c r="I56" s="219">
        <f t="shared" si="15"/>
        <v>208850.1087820158</v>
      </c>
    </row>
    <row r="57" spans="1:9">
      <c r="A57" s="120" t="s">
        <v>240</v>
      </c>
      <c r="B57" s="127">
        <f t="shared" si="10"/>
        <v>7432.4324324324325</v>
      </c>
      <c r="C57" s="127">
        <f t="shared" si="10"/>
        <v>19324.324324324327</v>
      </c>
      <c r="D57" s="127">
        <f t="shared" si="10"/>
        <v>2972.9729729729734</v>
      </c>
      <c r="E57" s="127">
        <f t="shared" si="14"/>
        <v>29729.729729729734</v>
      </c>
      <c r="F57" s="127">
        <f t="shared" si="11"/>
        <v>4494.3820224719102</v>
      </c>
      <c r="G57" s="127">
        <f t="shared" si="12"/>
        <v>20000</v>
      </c>
      <c r="H57" s="127">
        <f t="shared" si="13"/>
        <v>42465.753424657538</v>
      </c>
      <c r="I57" s="219">
        <f t="shared" si="15"/>
        <v>96689.865176859181</v>
      </c>
    </row>
    <row r="58" spans="1:9">
      <c r="A58" s="120" t="s">
        <v>225</v>
      </c>
      <c r="B58" s="127">
        <f t="shared" si="10"/>
        <v>8361.4864864864867</v>
      </c>
      <c r="C58" s="127">
        <f t="shared" si="10"/>
        <v>21739.864864864867</v>
      </c>
      <c r="D58" s="127">
        <f t="shared" si="10"/>
        <v>3344.594594594595</v>
      </c>
      <c r="E58" s="127">
        <f t="shared" si="14"/>
        <v>33445.945945945947</v>
      </c>
      <c r="F58" s="127">
        <f t="shared" si="11"/>
        <v>5056.1797752808989</v>
      </c>
      <c r="G58" s="127">
        <f t="shared" si="12"/>
        <v>22500.000000000004</v>
      </c>
      <c r="H58" s="127">
        <f t="shared" si="13"/>
        <v>47773.972602739726</v>
      </c>
      <c r="I58" s="219">
        <f t="shared" si="15"/>
        <v>108776.09832396658</v>
      </c>
    </row>
    <row r="59" spans="1:9">
      <c r="A59" s="120" t="s">
        <v>241</v>
      </c>
      <c r="B59" s="127">
        <f t="shared" si="10"/>
        <v>16722.972972972973</v>
      </c>
      <c r="C59" s="127">
        <f t="shared" si="10"/>
        <v>43479.729729729734</v>
      </c>
      <c r="D59" s="127">
        <f t="shared" si="10"/>
        <v>6689.1891891891901</v>
      </c>
      <c r="E59" s="127">
        <f t="shared" si="14"/>
        <v>66891.891891891893</v>
      </c>
      <c r="F59" s="127">
        <f t="shared" si="11"/>
        <v>10112.359550561798</v>
      </c>
      <c r="G59" s="127">
        <f t="shared" si="12"/>
        <v>45000.000000000007</v>
      </c>
      <c r="H59" s="127">
        <f t="shared" si="13"/>
        <v>95547.945205479453</v>
      </c>
      <c r="I59" s="219">
        <f t="shared" si="15"/>
        <v>217552.19664793316</v>
      </c>
    </row>
    <row r="60" spans="1:9">
      <c r="A60" s="120" t="s">
        <v>242</v>
      </c>
      <c r="B60" s="127">
        <f t="shared" si="10"/>
        <v>8361.4864864864867</v>
      </c>
      <c r="C60" s="127">
        <f t="shared" si="10"/>
        <v>21739.864864864867</v>
      </c>
      <c r="D60" s="127">
        <f t="shared" si="10"/>
        <v>3344.594594594595</v>
      </c>
      <c r="E60" s="127">
        <f t="shared" si="14"/>
        <v>33445.945945945947</v>
      </c>
      <c r="F60" s="127">
        <f t="shared" si="11"/>
        <v>5056.1797752808989</v>
      </c>
      <c r="G60" s="127">
        <f t="shared" si="12"/>
        <v>22500.000000000004</v>
      </c>
      <c r="H60" s="127">
        <f t="shared" si="13"/>
        <v>47773.972602739726</v>
      </c>
      <c r="I60" s="219">
        <f t="shared" si="15"/>
        <v>108776.09832396658</v>
      </c>
    </row>
    <row r="61" spans="1:9">
      <c r="A61" s="120" t="s">
        <v>243</v>
      </c>
      <c r="B61" s="127">
        <f t="shared" si="10"/>
        <v>4459.4594594594591</v>
      </c>
      <c r="C61" s="127">
        <f t="shared" si="10"/>
        <v>11594.594594594597</v>
      </c>
      <c r="D61" s="127">
        <f t="shared" si="10"/>
        <v>1783.7837837837842</v>
      </c>
      <c r="E61" s="127">
        <f t="shared" si="14"/>
        <v>17837.83783783784</v>
      </c>
      <c r="F61" s="127">
        <f t="shared" si="11"/>
        <v>2696.629213483146</v>
      </c>
      <c r="G61" s="127">
        <f t="shared" si="12"/>
        <v>12000.000000000002</v>
      </c>
      <c r="H61" s="127">
        <f t="shared" si="13"/>
        <v>25479.452054794521</v>
      </c>
      <c r="I61" s="219">
        <f t="shared" si="15"/>
        <v>58013.919106115507</v>
      </c>
    </row>
    <row r="62" spans="1:9">
      <c r="A62" s="181" t="s">
        <v>214</v>
      </c>
      <c r="B62" s="131">
        <f t="shared" si="10"/>
        <v>20067.56756756757</v>
      </c>
      <c r="C62" s="131">
        <f t="shared" si="10"/>
        <v>52175.67567567568</v>
      </c>
      <c r="D62" s="131">
        <f t="shared" si="10"/>
        <v>8027.0270270270285</v>
      </c>
      <c r="E62" s="131">
        <f t="shared" si="14"/>
        <v>80270.270270270281</v>
      </c>
      <c r="F62" s="131">
        <f t="shared" si="11"/>
        <v>12134.831460674157</v>
      </c>
      <c r="G62" s="131">
        <f t="shared" si="12"/>
        <v>54000.000000000007</v>
      </c>
      <c r="H62" s="131">
        <f t="shared" si="13"/>
        <v>114657.53424657535</v>
      </c>
      <c r="I62" s="220">
        <f>SUM(E62:H62)</f>
        <v>261062.63597751979</v>
      </c>
    </row>
    <row r="63" spans="1:9" ht="15" thickBot="1">
      <c r="A63" s="183" t="s">
        <v>162</v>
      </c>
      <c r="B63" s="133">
        <f t="shared" ref="B63:D63" si="16">SUM(B53:B62)</f>
        <v>124716.21621621623</v>
      </c>
      <c r="C63" s="133">
        <f t="shared" si="16"/>
        <v>324262.16216216225</v>
      </c>
      <c r="D63" s="133">
        <f t="shared" si="16"/>
        <v>49886.486486486501</v>
      </c>
      <c r="E63" s="133">
        <f>SUM(E53:E62)</f>
        <v>498864.86486486497</v>
      </c>
      <c r="F63" s="133">
        <f>SUM(F53:F62)</f>
        <v>75415.730337078654</v>
      </c>
      <c r="G63" s="133">
        <f>SUM(G53:G62)</f>
        <v>335600</v>
      </c>
      <c r="H63" s="133">
        <f>SUM(H53:H62)</f>
        <v>712575.34246575332</v>
      </c>
      <c r="I63" s="125">
        <f>SUM(I53:I62)</f>
        <v>1622455.9376676972</v>
      </c>
    </row>
    <row r="65" spans="1:11" ht="15" thickBot="1">
      <c r="A65" t="s">
        <v>452</v>
      </c>
    </row>
    <row r="66" spans="1:11">
      <c r="A66" s="174" t="s">
        <v>1</v>
      </c>
      <c r="B66" s="175" t="s">
        <v>245</v>
      </c>
      <c r="C66" s="175" t="s">
        <v>264</v>
      </c>
      <c r="D66" s="175" t="s">
        <v>246</v>
      </c>
      <c r="E66" s="175" t="s">
        <v>247</v>
      </c>
      <c r="F66" s="176" t="s">
        <v>248</v>
      </c>
    </row>
    <row r="67" spans="1:11">
      <c r="A67" s="177" t="s">
        <v>287</v>
      </c>
      <c r="B67" s="140">
        <f>B63</f>
        <v>124716.21621621623</v>
      </c>
      <c r="C67" s="140">
        <f t="shared" ref="C67:C69" si="17">B67/0.85</f>
        <v>146724.96025437204</v>
      </c>
      <c r="D67" s="140">
        <f t="shared" ref="D67:D69" si="18">B67/0.66</f>
        <v>188963.96396396396</v>
      </c>
      <c r="E67" s="140">
        <f t="shared" ref="E67:E69" si="19">B67/0.5</f>
        <v>249432.43243243246</v>
      </c>
      <c r="F67" s="141">
        <f t="shared" ref="F67:F69" si="20">B67/0.33</f>
        <v>377927.92792792793</v>
      </c>
    </row>
    <row r="68" spans="1:11">
      <c r="A68" s="177" t="s">
        <v>288</v>
      </c>
      <c r="B68" s="140">
        <f>C63</f>
        <v>324262.16216216225</v>
      </c>
      <c r="C68" s="140">
        <f t="shared" si="17"/>
        <v>381484.89666136738</v>
      </c>
      <c r="D68" s="140">
        <f t="shared" si="18"/>
        <v>491306.30630630639</v>
      </c>
      <c r="E68" s="140">
        <f t="shared" si="19"/>
        <v>648524.32432432449</v>
      </c>
      <c r="F68" s="141">
        <f t="shared" si="20"/>
        <v>982612.61261261278</v>
      </c>
    </row>
    <row r="69" spans="1:11">
      <c r="A69" s="177" t="s">
        <v>289</v>
      </c>
      <c r="B69" s="140">
        <f>D63</f>
        <v>49886.486486486501</v>
      </c>
      <c r="C69" s="140">
        <f t="shared" si="17"/>
        <v>58689.984101748829</v>
      </c>
      <c r="D69" s="140">
        <f t="shared" si="18"/>
        <v>75585.585585585606</v>
      </c>
      <c r="E69" s="140">
        <f t="shared" si="19"/>
        <v>99772.972972973002</v>
      </c>
      <c r="F69" s="141">
        <f t="shared" si="20"/>
        <v>151171.17117117121</v>
      </c>
    </row>
    <row r="70" spans="1:11">
      <c r="A70" s="120" t="s">
        <v>449</v>
      </c>
      <c r="B70" s="127">
        <f>SUM(B67:B69)</f>
        <v>498864.86486486497</v>
      </c>
      <c r="C70" s="127">
        <f>B70/0.85</f>
        <v>586899.84101748816</v>
      </c>
      <c r="D70" s="127">
        <f>B70/0.66</f>
        <v>755855.85585585597</v>
      </c>
      <c r="E70" s="127">
        <f>B70/0.5</f>
        <v>997729.72972972994</v>
      </c>
      <c r="F70" s="117">
        <f>B70/0.33</f>
        <v>1511711.7117117119</v>
      </c>
    </row>
    <row r="71" spans="1:11">
      <c r="A71" s="120" t="s">
        <v>226</v>
      </c>
      <c r="B71" s="127">
        <f>F63</f>
        <v>75415.730337078654</v>
      </c>
      <c r="C71" s="127">
        <f t="shared" ref="C71:C73" si="21">B71/0.85</f>
        <v>88724.388631857248</v>
      </c>
      <c r="D71" s="127">
        <f>B71/0.66</f>
        <v>114266.25808648281</v>
      </c>
      <c r="E71" s="127">
        <f>B71/0.5</f>
        <v>150831.46067415731</v>
      </c>
      <c r="F71" s="117">
        <f>B71/0.33</f>
        <v>228532.51617296561</v>
      </c>
    </row>
    <row r="72" spans="1:11">
      <c r="A72" s="120" t="s">
        <v>227</v>
      </c>
      <c r="B72" s="127">
        <f>G63</f>
        <v>335600</v>
      </c>
      <c r="C72" s="127">
        <f t="shared" si="21"/>
        <v>394823.5294117647</v>
      </c>
      <c r="D72" s="127">
        <f>B72/0.66</f>
        <v>508484.84848484845</v>
      </c>
      <c r="E72" s="127">
        <f>B72/0.5</f>
        <v>671200</v>
      </c>
      <c r="F72" s="117">
        <f>B72/0.33</f>
        <v>1016969.6969696969</v>
      </c>
    </row>
    <row r="73" spans="1:11">
      <c r="A73" s="181" t="s">
        <v>228</v>
      </c>
      <c r="B73" s="131">
        <f>H63</f>
        <v>712575.34246575332</v>
      </c>
      <c r="C73" s="131">
        <f t="shared" si="21"/>
        <v>838323.93231265096</v>
      </c>
      <c r="D73" s="131">
        <f>B73/0.66</f>
        <v>1079659.609796596</v>
      </c>
      <c r="E73" s="131">
        <f>B73/0.5</f>
        <v>1425150.6849315066</v>
      </c>
      <c r="F73" s="139">
        <f>B73/0.33</f>
        <v>2159319.219593192</v>
      </c>
    </row>
    <row r="74" spans="1:11" ht="15" thickBot="1">
      <c r="A74" s="183" t="s">
        <v>162</v>
      </c>
      <c r="B74" s="133">
        <f>SUM(B70:B73)</f>
        <v>1622455.937667697</v>
      </c>
      <c r="C74" s="133">
        <f>B74/0.85</f>
        <v>1908771.6913737613</v>
      </c>
      <c r="D74" s="133">
        <f>B74/0.66</f>
        <v>2458266.572223783</v>
      </c>
      <c r="E74" s="133">
        <f>B74/0.5</f>
        <v>3244911.8753353939</v>
      </c>
      <c r="F74" s="125">
        <f>B74/0.33</f>
        <v>4916533.144447566</v>
      </c>
    </row>
    <row r="76" spans="1:11">
      <c r="A76" s="221"/>
      <c r="C76" s="212"/>
      <c r="D76" s="212"/>
      <c r="E76" s="212"/>
      <c r="F76" s="212"/>
      <c r="G76" s="212"/>
      <c r="I76" s="161"/>
    </row>
    <row r="77" spans="1:11" ht="15" thickBot="1">
      <c r="A77" s="676" t="s">
        <v>507</v>
      </c>
      <c r="B77" s="676"/>
      <c r="C77" s="676"/>
      <c r="D77" s="676"/>
      <c r="E77" s="676"/>
      <c r="F77" s="676"/>
      <c r="G77" s="676"/>
      <c r="H77" s="676"/>
      <c r="I77" s="676"/>
      <c r="J77" s="24"/>
      <c r="K77" s="24"/>
    </row>
    <row r="78" spans="1:11">
      <c r="A78" s="222"/>
      <c r="B78" s="223"/>
      <c r="C78" s="677" t="s">
        <v>508</v>
      </c>
      <c r="D78" s="678"/>
      <c r="E78" s="678"/>
      <c r="F78" s="678"/>
      <c r="G78" s="679"/>
      <c r="H78" s="680" t="s">
        <v>164</v>
      </c>
      <c r="I78" s="680"/>
      <c r="J78" s="224" t="s">
        <v>509</v>
      </c>
      <c r="K78" s="681" t="s">
        <v>222</v>
      </c>
    </row>
    <row r="79" spans="1:11">
      <c r="A79" s="225" t="s">
        <v>223</v>
      </c>
      <c r="B79" s="226" t="s">
        <v>510</v>
      </c>
      <c r="C79" s="227" t="s">
        <v>215</v>
      </c>
      <c r="D79" s="228" t="s">
        <v>213</v>
      </c>
      <c r="E79" s="228" t="s">
        <v>218</v>
      </c>
      <c r="F79" s="228" t="s">
        <v>511</v>
      </c>
      <c r="G79" s="229" t="s">
        <v>453</v>
      </c>
      <c r="H79" s="228" t="s">
        <v>214</v>
      </c>
      <c r="I79" s="228" t="s">
        <v>512</v>
      </c>
      <c r="J79" s="230" t="s">
        <v>513</v>
      </c>
      <c r="K79" s="682"/>
    </row>
    <row r="80" spans="1:11">
      <c r="A80" s="187" t="s">
        <v>224</v>
      </c>
      <c r="B80" s="188">
        <f>C53</f>
        <v>28986.486486486494</v>
      </c>
      <c r="C80" s="231"/>
      <c r="D80" s="232"/>
      <c r="E80" s="232">
        <v>0.05</v>
      </c>
      <c r="F80" s="232">
        <v>0.1</v>
      </c>
      <c r="G80" s="233">
        <v>0.1</v>
      </c>
      <c r="H80" s="232">
        <v>0.75</v>
      </c>
      <c r="I80" s="234"/>
      <c r="J80" s="235"/>
      <c r="K80" s="236">
        <f>SUM(C80:J80)</f>
        <v>1</v>
      </c>
    </row>
    <row r="81" spans="1:11">
      <c r="A81" s="187" t="s">
        <v>285</v>
      </c>
      <c r="B81" s="188">
        <f t="shared" ref="B81:B89" si="22">C54</f>
        <v>67828.378378378387</v>
      </c>
      <c r="C81" s="231"/>
      <c r="D81" s="232">
        <v>0.1</v>
      </c>
      <c r="E81" s="232">
        <v>0.1</v>
      </c>
      <c r="F81" s="232">
        <v>0.1</v>
      </c>
      <c r="G81" s="233">
        <v>0.1</v>
      </c>
      <c r="H81" s="232"/>
      <c r="I81" s="232"/>
      <c r="J81" s="237">
        <v>0.6</v>
      </c>
      <c r="K81" s="236">
        <f t="shared" ref="K81:K90" si="23">SUM(C81:J81)</f>
        <v>1</v>
      </c>
    </row>
    <row r="82" spans="1:11">
      <c r="A82" s="187" t="s">
        <v>238</v>
      </c>
      <c r="B82" s="188">
        <f t="shared" si="22"/>
        <v>15652.702702702705</v>
      </c>
      <c r="C82" s="231">
        <v>0.5</v>
      </c>
      <c r="D82" s="232">
        <v>0.5</v>
      </c>
      <c r="E82" s="232"/>
      <c r="F82" s="232"/>
      <c r="G82" s="233"/>
      <c r="H82" s="232"/>
      <c r="I82" s="232"/>
      <c r="J82" s="235"/>
      <c r="K82" s="236">
        <f t="shared" si="23"/>
        <v>1</v>
      </c>
    </row>
    <row r="83" spans="1:11">
      <c r="A83" s="187" t="s">
        <v>239</v>
      </c>
      <c r="B83" s="188">
        <f t="shared" si="22"/>
        <v>41740.540540540547</v>
      </c>
      <c r="C83" s="231"/>
      <c r="D83" s="232"/>
      <c r="E83" s="234">
        <v>0.25</v>
      </c>
      <c r="F83" s="234">
        <v>0.5</v>
      </c>
      <c r="G83" s="238">
        <v>0.25</v>
      </c>
      <c r="H83" s="232"/>
      <c r="I83" s="232"/>
      <c r="J83" s="235"/>
      <c r="K83" s="236">
        <f t="shared" si="23"/>
        <v>1</v>
      </c>
    </row>
    <row r="84" spans="1:11">
      <c r="A84" s="187" t="s">
        <v>240</v>
      </c>
      <c r="B84" s="188">
        <f t="shared" si="22"/>
        <v>19324.324324324327</v>
      </c>
      <c r="C84" s="231"/>
      <c r="D84" s="232"/>
      <c r="E84" s="232"/>
      <c r="F84" s="234">
        <v>0.5</v>
      </c>
      <c r="G84" s="238">
        <v>0.5</v>
      </c>
      <c r="H84" s="232"/>
      <c r="I84" s="232"/>
      <c r="J84" s="235"/>
      <c r="K84" s="236">
        <f t="shared" si="23"/>
        <v>1</v>
      </c>
    </row>
    <row r="85" spans="1:11">
      <c r="A85" s="187" t="s">
        <v>225</v>
      </c>
      <c r="B85" s="188">
        <f t="shared" si="22"/>
        <v>21739.864864864867</v>
      </c>
      <c r="C85" s="231"/>
      <c r="D85" s="232"/>
      <c r="E85" s="232"/>
      <c r="F85" s="232">
        <v>1</v>
      </c>
      <c r="G85" s="233"/>
      <c r="H85" s="232"/>
      <c r="I85" s="232"/>
      <c r="J85" s="235"/>
      <c r="K85" s="236">
        <f t="shared" si="23"/>
        <v>1</v>
      </c>
    </row>
    <row r="86" spans="1:11">
      <c r="A86" s="187" t="s">
        <v>241</v>
      </c>
      <c r="B86" s="188">
        <f t="shared" si="22"/>
        <v>43479.729729729734</v>
      </c>
      <c r="C86" s="231"/>
      <c r="D86" s="232"/>
      <c r="E86" s="232"/>
      <c r="F86" s="234">
        <v>0.5</v>
      </c>
      <c r="G86" s="238">
        <v>0.5</v>
      </c>
      <c r="H86" s="232"/>
      <c r="I86" s="232"/>
      <c r="J86" s="235"/>
      <c r="K86" s="236">
        <f t="shared" si="23"/>
        <v>1</v>
      </c>
    </row>
    <row r="87" spans="1:11">
      <c r="A87" s="187" t="s">
        <v>242</v>
      </c>
      <c r="B87" s="188">
        <f t="shared" si="22"/>
        <v>21739.864864864867</v>
      </c>
      <c r="C87" s="231"/>
      <c r="D87" s="232"/>
      <c r="E87" s="232"/>
      <c r="F87" s="232"/>
      <c r="G87" s="233">
        <v>1</v>
      </c>
      <c r="H87" s="232"/>
      <c r="I87" s="232"/>
      <c r="J87" s="235"/>
      <c r="K87" s="236">
        <f t="shared" si="23"/>
        <v>1</v>
      </c>
    </row>
    <row r="88" spans="1:11">
      <c r="A88" s="187" t="s">
        <v>243</v>
      </c>
      <c r="B88" s="188">
        <f t="shared" si="22"/>
        <v>11594.594594594597</v>
      </c>
      <c r="C88" s="231"/>
      <c r="D88" s="232"/>
      <c r="E88" s="232"/>
      <c r="F88" s="232">
        <v>0.75</v>
      </c>
      <c r="G88" s="233">
        <v>0.25</v>
      </c>
      <c r="H88" s="232"/>
      <c r="I88" s="232"/>
      <c r="J88" s="235"/>
      <c r="K88" s="236">
        <f t="shared" si="23"/>
        <v>1</v>
      </c>
    </row>
    <row r="89" spans="1:11">
      <c r="A89" s="239" t="s">
        <v>214</v>
      </c>
      <c r="B89" s="240">
        <f t="shared" si="22"/>
        <v>52175.67567567568</v>
      </c>
      <c r="C89" s="241"/>
      <c r="D89" s="242"/>
      <c r="E89" s="242"/>
      <c r="F89" s="242">
        <v>0.1</v>
      </c>
      <c r="G89" s="243">
        <v>0.1</v>
      </c>
      <c r="H89" s="244">
        <v>0.8</v>
      </c>
      <c r="I89" s="242"/>
      <c r="J89" s="245"/>
      <c r="K89" s="246">
        <f t="shared" si="23"/>
        <v>1</v>
      </c>
    </row>
    <row r="90" spans="1:11" ht="15" thickBot="1">
      <c r="A90" s="247" t="s">
        <v>162</v>
      </c>
      <c r="B90" s="248">
        <f>SUM(B80:B89)</f>
        <v>324262.16216216225</v>
      </c>
      <c r="C90" s="249">
        <f>SUM(C80:C89)</f>
        <v>0.5</v>
      </c>
      <c r="D90" s="249">
        <f t="shared" ref="D90:J90" si="24">SUM(D80:D89)</f>
        <v>0.6</v>
      </c>
      <c r="E90" s="249">
        <f t="shared" si="24"/>
        <v>0.4</v>
      </c>
      <c r="F90" s="249">
        <f t="shared" si="24"/>
        <v>3.5500000000000003</v>
      </c>
      <c r="G90" s="250">
        <f t="shared" si="24"/>
        <v>2.8000000000000003</v>
      </c>
      <c r="H90" s="249">
        <f t="shared" si="24"/>
        <v>1.55</v>
      </c>
      <c r="I90" s="250">
        <f t="shared" si="24"/>
        <v>0</v>
      </c>
      <c r="J90" s="250">
        <f t="shared" si="24"/>
        <v>0.6</v>
      </c>
      <c r="K90" s="251">
        <f t="shared" si="23"/>
        <v>10.000000000000002</v>
      </c>
    </row>
    <row r="91" spans="1:11">
      <c r="A91" s="221"/>
      <c r="B91" s="252"/>
      <c r="C91" s="253"/>
      <c r="D91" s="253"/>
      <c r="E91" s="253"/>
      <c r="F91" s="253"/>
      <c r="G91" s="253"/>
      <c r="H91" s="253"/>
      <c r="I91" s="253"/>
      <c r="J91" s="253"/>
      <c r="K91" s="186"/>
    </row>
    <row r="92" spans="1:11" ht="15" thickBot="1">
      <c r="A92" s="676" t="s">
        <v>514</v>
      </c>
      <c r="B92" s="676"/>
      <c r="C92" s="676"/>
      <c r="D92" s="676"/>
      <c r="E92" s="676"/>
      <c r="F92" s="676"/>
      <c r="G92" s="676"/>
      <c r="H92" s="676"/>
      <c r="I92" s="676"/>
      <c r="J92" s="24"/>
      <c r="K92" s="24"/>
    </row>
    <row r="93" spans="1:11">
      <c r="A93" s="222"/>
      <c r="B93" s="254"/>
      <c r="C93" s="678" t="s">
        <v>508</v>
      </c>
      <c r="D93" s="678"/>
      <c r="E93" s="678"/>
      <c r="F93" s="678"/>
      <c r="G93" s="679"/>
      <c r="H93" s="680" t="s">
        <v>164</v>
      </c>
      <c r="I93" s="683"/>
      <c r="J93" s="255" t="s">
        <v>509</v>
      </c>
      <c r="K93" s="684" t="s">
        <v>222</v>
      </c>
    </row>
    <row r="94" spans="1:11">
      <c r="A94" s="225" t="s">
        <v>223</v>
      </c>
      <c r="B94" s="256" t="s">
        <v>510</v>
      </c>
      <c r="C94" s="228" t="s">
        <v>215</v>
      </c>
      <c r="D94" s="228" t="s">
        <v>213</v>
      </c>
      <c r="E94" s="228" t="s">
        <v>218</v>
      </c>
      <c r="F94" s="228" t="s">
        <v>511</v>
      </c>
      <c r="G94" s="229" t="s">
        <v>453</v>
      </c>
      <c r="H94" s="228" t="s">
        <v>214</v>
      </c>
      <c r="I94" s="229" t="s">
        <v>512</v>
      </c>
      <c r="J94" s="257" t="s">
        <v>513</v>
      </c>
      <c r="K94" s="685"/>
    </row>
    <row r="95" spans="1:11">
      <c r="A95" s="187" t="s">
        <v>224</v>
      </c>
      <c r="B95" s="258">
        <f>B80</f>
        <v>28986.486486486494</v>
      </c>
      <c r="C95" s="259">
        <f t="shared" ref="C95:J104" si="25">$B80*C80</f>
        <v>0</v>
      </c>
      <c r="D95" s="259">
        <f t="shared" si="25"/>
        <v>0</v>
      </c>
      <c r="E95" s="259">
        <f t="shared" si="25"/>
        <v>1449.3243243243248</v>
      </c>
      <c r="F95" s="259">
        <f t="shared" si="25"/>
        <v>2898.6486486486497</v>
      </c>
      <c r="G95" s="260">
        <f t="shared" si="25"/>
        <v>2898.6486486486497</v>
      </c>
      <c r="H95" s="259">
        <f t="shared" si="25"/>
        <v>21739.86486486487</v>
      </c>
      <c r="I95" s="260">
        <f t="shared" si="25"/>
        <v>0</v>
      </c>
      <c r="J95" s="260">
        <f t="shared" si="25"/>
        <v>0</v>
      </c>
      <c r="K95" s="261">
        <f>SUM(C95:J95)</f>
        <v>28986.486486486494</v>
      </c>
    </row>
    <row r="96" spans="1:11">
      <c r="A96" s="187" t="s">
        <v>285</v>
      </c>
      <c r="B96" s="258">
        <f t="shared" ref="B96:B104" si="26">B81</f>
        <v>67828.378378378387</v>
      </c>
      <c r="C96" s="259">
        <f t="shared" si="25"/>
        <v>0</v>
      </c>
      <c r="D96" s="259">
        <f t="shared" si="25"/>
        <v>6782.8378378378393</v>
      </c>
      <c r="E96" s="259">
        <f t="shared" si="25"/>
        <v>6782.8378378378393</v>
      </c>
      <c r="F96" s="259">
        <f t="shared" si="25"/>
        <v>6782.8378378378393</v>
      </c>
      <c r="G96" s="260">
        <f t="shared" si="25"/>
        <v>6782.8378378378393</v>
      </c>
      <c r="H96" s="259">
        <f t="shared" si="25"/>
        <v>0</v>
      </c>
      <c r="I96" s="260">
        <f t="shared" si="25"/>
        <v>0</v>
      </c>
      <c r="J96" s="260">
        <f t="shared" si="25"/>
        <v>40697.027027027034</v>
      </c>
      <c r="K96" s="261">
        <f t="shared" ref="K96:K105" si="27">SUM(C96:J96)</f>
        <v>67828.378378378387</v>
      </c>
    </row>
    <row r="97" spans="1:11">
      <c r="A97" s="187" t="s">
        <v>238</v>
      </c>
      <c r="B97" s="258">
        <f t="shared" si="26"/>
        <v>15652.702702702705</v>
      </c>
      <c r="C97" s="259">
        <f t="shared" si="25"/>
        <v>7826.3513513513526</v>
      </c>
      <c r="D97" s="259">
        <f t="shared" si="25"/>
        <v>7826.3513513513526</v>
      </c>
      <c r="E97" s="259">
        <f t="shared" si="25"/>
        <v>0</v>
      </c>
      <c r="F97" s="259">
        <f t="shared" si="25"/>
        <v>0</v>
      </c>
      <c r="G97" s="260">
        <f t="shared" si="25"/>
        <v>0</v>
      </c>
      <c r="H97" s="259">
        <f t="shared" si="25"/>
        <v>0</v>
      </c>
      <c r="I97" s="260">
        <f t="shared" si="25"/>
        <v>0</v>
      </c>
      <c r="J97" s="260">
        <f t="shared" si="25"/>
        <v>0</v>
      </c>
      <c r="K97" s="261">
        <f t="shared" si="27"/>
        <v>15652.702702702705</v>
      </c>
    </row>
    <row r="98" spans="1:11">
      <c r="A98" s="187" t="s">
        <v>239</v>
      </c>
      <c r="B98" s="258">
        <f t="shared" si="26"/>
        <v>41740.540540540547</v>
      </c>
      <c r="C98" s="259">
        <f t="shared" si="25"/>
        <v>0</v>
      </c>
      <c r="D98" s="259">
        <f t="shared" si="25"/>
        <v>0</v>
      </c>
      <c r="E98" s="259">
        <f t="shared" si="25"/>
        <v>10435.135135135137</v>
      </c>
      <c r="F98" s="259">
        <f t="shared" si="25"/>
        <v>20870.270270270274</v>
      </c>
      <c r="G98" s="260">
        <f t="shared" si="25"/>
        <v>10435.135135135137</v>
      </c>
      <c r="H98" s="259">
        <f t="shared" si="25"/>
        <v>0</v>
      </c>
      <c r="I98" s="260">
        <f t="shared" si="25"/>
        <v>0</v>
      </c>
      <c r="J98" s="260">
        <f t="shared" si="25"/>
        <v>0</v>
      </c>
      <c r="K98" s="261">
        <f t="shared" si="27"/>
        <v>41740.540540540547</v>
      </c>
    </row>
    <row r="99" spans="1:11">
      <c r="A99" s="187" t="s">
        <v>240</v>
      </c>
      <c r="B99" s="258">
        <f t="shared" si="26"/>
        <v>19324.324324324327</v>
      </c>
      <c r="C99" s="259">
        <f t="shared" si="25"/>
        <v>0</v>
      </c>
      <c r="D99" s="259">
        <f t="shared" si="25"/>
        <v>0</v>
      </c>
      <c r="E99" s="259">
        <f t="shared" si="25"/>
        <v>0</v>
      </c>
      <c r="F99" s="259">
        <f t="shared" si="25"/>
        <v>9662.1621621621634</v>
      </c>
      <c r="G99" s="260">
        <f t="shared" si="25"/>
        <v>9662.1621621621634</v>
      </c>
      <c r="H99" s="259">
        <f t="shared" si="25"/>
        <v>0</v>
      </c>
      <c r="I99" s="260">
        <f t="shared" si="25"/>
        <v>0</v>
      </c>
      <c r="J99" s="260">
        <f t="shared" si="25"/>
        <v>0</v>
      </c>
      <c r="K99" s="261">
        <f t="shared" si="27"/>
        <v>19324.324324324327</v>
      </c>
    </row>
    <row r="100" spans="1:11">
      <c r="A100" s="187" t="s">
        <v>225</v>
      </c>
      <c r="B100" s="258">
        <f t="shared" si="26"/>
        <v>21739.864864864867</v>
      </c>
      <c r="C100" s="259">
        <f t="shared" si="25"/>
        <v>0</v>
      </c>
      <c r="D100" s="259">
        <f t="shared" si="25"/>
        <v>0</v>
      </c>
      <c r="E100" s="259">
        <f t="shared" si="25"/>
        <v>0</v>
      </c>
      <c r="F100" s="259">
        <f t="shared" si="25"/>
        <v>21739.864864864867</v>
      </c>
      <c r="G100" s="260">
        <f t="shared" si="25"/>
        <v>0</v>
      </c>
      <c r="H100" s="259">
        <f t="shared" si="25"/>
        <v>0</v>
      </c>
      <c r="I100" s="260">
        <f t="shared" si="25"/>
        <v>0</v>
      </c>
      <c r="J100" s="260">
        <f t="shared" si="25"/>
        <v>0</v>
      </c>
      <c r="K100" s="261">
        <f t="shared" si="27"/>
        <v>21739.864864864867</v>
      </c>
    </row>
    <row r="101" spans="1:11">
      <c r="A101" s="187" t="s">
        <v>241</v>
      </c>
      <c r="B101" s="258">
        <f t="shared" si="26"/>
        <v>43479.729729729734</v>
      </c>
      <c r="C101" s="259">
        <f t="shared" si="25"/>
        <v>0</v>
      </c>
      <c r="D101" s="259">
        <f t="shared" si="25"/>
        <v>0</v>
      </c>
      <c r="E101" s="259">
        <f t="shared" si="25"/>
        <v>0</v>
      </c>
      <c r="F101" s="259">
        <f t="shared" si="25"/>
        <v>21739.864864864867</v>
      </c>
      <c r="G101" s="260">
        <f t="shared" si="25"/>
        <v>21739.864864864867</v>
      </c>
      <c r="H101" s="259">
        <f t="shared" si="25"/>
        <v>0</v>
      </c>
      <c r="I101" s="260">
        <f t="shared" si="25"/>
        <v>0</v>
      </c>
      <c r="J101" s="260">
        <f t="shared" si="25"/>
        <v>0</v>
      </c>
      <c r="K101" s="261">
        <f t="shared" si="27"/>
        <v>43479.729729729734</v>
      </c>
    </row>
    <row r="102" spans="1:11">
      <c r="A102" s="187" t="s">
        <v>242</v>
      </c>
      <c r="B102" s="258">
        <f t="shared" si="26"/>
        <v>21739.864864864867</v>
      </c>
      <c r="C102" s="259">
        <f t="shared" si="25"/>
        <v>0</v>
      </c>
      <c r="D102" s="259">
        <f t="shared" si="25"/>
        <v>0</v>
      </c>
      <c r="E102" s="259">
        <f t="shared" si="25"/>
        <v>0</v>
      </c>
      <c r="F102" s="259">
        <f t="shared" si="25"/>
        <v>0</v>
      </c>
      <c r="G102" s="260">
        <f t="shared" si="25"/>
        <v>21739.864864864867</v>
      </c>
      <c r="H102" s="259">
        <f t="shared" si="25"/>
        <v>0</v>
      </c>
      <c r="I102" s="260">
        <f t="shared" si="25"/>
        <v>0</v>
      </c>
      <c r="J102" s="260">
        <f t="shared" si="25"/>
        <v>0</v>
      </c>
      <c r="K102" s="261">
        <f t="shared" si="27"/>
        <v>21739.864864864867</v>
      </c>
    </row>
    <row r="103" spans="1:11">
      <c r="A103" s="187" t="s">
        <v>243</v>
      </c>
      <c r="B103" s="258">
        <f t="shared" si="26"/>
        <v>11594.594594594597</v>
      </c>
      <c r="C103" s="259">
        <f t="shared" si="25"/>
        <v>0</v>
      </c>
      <c r="D103" s="259">
        <f t="shared" si="25"/>
        <v>0</v>
      </c>
      <c r="E103" s="259">
        <f t="shared" si="25"/>
        <v>0</v>
      </c>
      <c r="F103" s="259">
        <f t="shared" si="25"/>
        <v>8695.9459459459467</v>
      </c>
      <c r="G103" s="260">
        <f t="shared" si="25"/>
        <v>2898.6486486486492</v>
      </c>
      <c r="H103" s="259">
        <f t="shared" si="25"/>
        <v>0</v>
      </c>
      <c r="I103" s="260">
        <f t="shared" si="25"/>
        <v>0</v>
      </c>
      <c r="J103" s="260">
        <f t="shared" si="25"/>
        <v>0</v>
      </c>
      <c r="K103" s="261">
        <f t="shared" si="27"/>
        <v>11594.594594594597</v>
      </c>
    </row>
    <row r="104" spans="1:11">
      <c r="A104" s="239" t="s">
        <v>214</v>
      </c>
      <c r="B104" s="240">
        <f t="shared" si="26"/>
        <v>52175.67567567568</v>
      </c>
      <c r="C104" s="262">
        <f t="shared" si="25"/>
        <v>0</v>
      </c>
      <c r="D104" s="262">
        <f t="shared" si="25"/>
        <v>0</v>
      </c>
      <c r="E104" s="262">
        <f t="shared" si="25"/>
        <v>0</v>
      </c>
      <c r="F104" s="262">
        <f t="shared" si="25"/>
        <v>5217.5675675675684</v>
      </c>
      <c r="G104" s="263">
        <f t="shared" si="25"/>
        <v>5217.5675675675684</v>
      </c>
      <c r="H104" s="262">
        <f t="shared" si="25"/>
        <v>41740.540540540547</v>
      </c>
      <c r="I104" s="263">
        <f t="shared" si="25"/>
        <v>0</v>
      </c>
      <c r="J104" s="263">
        <f t="shared" si="25"/>
        <v>0</v>
      </c>
      <c r="K104" s="264">
        <f t="shared" si="27"/>
        <v>52175.67567567568</v>
      </c>
    </row>
    <row r="105" spans="1:11" ht="15" thickBot="1">
      <c r="A105" s="247" t="s">
        <v>162</v>
      </c>
      <c r="B105" s="248">
        <f>SUM(B95:B104)</f>
        <v>324262.16216216225</v>
      </c>
      <c r="C105" s="265">
        <f>SUM(C95:C104)</f>
        <v>7826.3513513513526</v>
      </c>
      <c r="D105" s="265">
        <f t="shared" ref="D105:J105" si="28">SUM(D95:D104)</f>
        <v>14609.189189189192</v>
      </c>
      <c r="E105" s="265">
        <f t="shared" si="28"/>
        <v>18667.2972972973</v>
      </c>
      <c r="F105" s="265">
        <f t="shared" si="28"/>
        <v>97607.162162162174</v>
      </c>
      <c r="G105" s="266">
        <f t="shared" si="28"/>
        <v>81374.729729729748</v>
      </c>
      <c r="H105" s="265">
        <f t="shared" si="28"/>
        <v>63480.405405405414</v>
      </c>
      <c r="I105" s="266">
        <f t="shared" si="28"/>
        <v>0</v>
      </c>
      <c r="J105" s="266">
        <f t="shared" si="28"/>
        <v>40697.027027027034</v>
      </c>
      <c r="K105" s="267">
        <f t="shared" si="27"/>
        <v>324262.16216216219</v>
      </c>
    </row>
    <row r="106" spans="1:11">
      <c r="A106" s="221"/>
      <c r="C106" s="212"/>
      <c r="D106" s="212"/>
      <c r="E106" s="212"/>
      <c r="F106" s="212"/>
      <c r="G106" s="212"/>
      <c r="I106" s="161"/>
    </row>
    <row r="108" spans="1:11" ht="15" thickBot="1">
      <c r="A108" s="145" t="s">
        <v>515</v>
      </c>
      <c r="B108" s="145"/>
      <c r="C108" s="145"/>
      <c r="D108" s="145"/>
      <c r="E108" s="145"/>
      <c r="F108" s="145"/>
      <c r="G108" s="145"/>
    </row>
    <row r="109" spans="1:11">
      <c r="A109" s="268" t="s">
        <v>19</v>
      </c>
      <c r="B109" s="142" t="s">
        <v>22</v>
      </c>
      <c r="C109" s="142" t="s">
        <v>249</v>
      </c>
      <c r="D109" s="143" t="s">
        <v>264</v>
      </c>
      <c r="E109" s="143" t="s">
        <v>246</v>
      </c>
      <c r="F109" s="143" t="s">
        <v>247</v>
      </c>
      <c r="G109" s="144" t="s">
        <v>248</v>
      </c>
    </row>
    <row r="110" spans="1:11">
      <c r="A110" s="674" t="s">
        <v>273</v>
      </c>
      <c r="B110" s="145" t="s">
        <v>516</v>
      </c>
      <c r="C110" s="135">
        <f>C105</f>
        <v>7826.3513513513526</v>
      </c>
      <c r="D110" s="135">
        <f>C110/0.85</f>
        <v>9207.4721780604159</v>
      </c>
      <c r="E110" s="135">
        <f>C110/0.66</f>
        <v>11858.10810810811</v>
      </c>
      <c r="F110" s="135">
        <f>C110/0.5</f>
        <v>15652.702702702705</v>
      </c>
      <c r="G110" s="146">
        <f>C110/0.33</f>
        <v>23716.21621621622</v>
      </c>
    </row>
    <row r="111" spans="1:11">
      <c r="A111" s="675"/>
      <c r="B111" s="145" t="s">
        <v>250</v>
      </c>
      <c r="C111" s="135">
        <f>D105</f>
        <v>14609.189189189192</v>
      </c>
      <c r="D111" s="135">
        <f>C111/0.85</f>
        <v>17187.281399046107</v>
      </c>
      <c r="E111" s="135">
        <f>C111/0.66</f>
        <v>22135.135135135137</v>
      </c>
      <c r="F111" s="135">
        <f>C111/0.5</f>
        <v>29218.378378378384</v>
      </c>
      <c r="G111" s="146">
        <f>C111/0.33</f>
        <v>44270.270270270274</v>
      </c>
    </row>
    <row r="112" spans="1:11">
      <c r="A112" s="675"/>
      <c r="B112" s="145" t="s">
        <v>251</v>
      </c>
      <c r="C112" s="135">
        <f>E105</f>
        <v>18667.2972972973</v>
      </c>
      <c r="D112" s="135">
        <f t="shared" ref="D112:D122" si="29">C112/0.85</f>
        <v>21961.526232114473</v>
      </c>
      <c r="E112" s="135">
        <f t="shared" ref="E112:E114" si="30">C112/0.66</f>
        <v>28283.783783783787</v>
      </c>
      <c r="F112" s="135">
        <f t="shared" ref="F112:F114" si="31">C112/0.5</f>
        <v>37334.5945945946</v>
      </c>
      <c r="G112" s="146">
        <f t="shared" ref="G112:G114" si="32">C112/0.33</f>
        <v>56567.567567567574</v>
      </c>
    </row>
    <row r="113" spans="1:7">
      <c r="A113" s="675"/>
      <c r="B113" s="145" t="s">
        <v>517</v>
      </c>
      <c r="C113" s="135">
        <f>F105</f>
        <v>97607.162162162174</v>
      </c>
      <c r="D113" s="135">
        <f t="shared" si="29"/>
        <v>114831.95548489668</v>
      </c>
      <c r="E113" s="135">
        <f t="shared" si="30"/>
        <v>147889.63963963964</v>
      </c>
      <c r="F113" s="135">
        <f t="shared" si="31"/>
        <v>195214.32432432435</v>
      </c>
      <c r="G113" s="146">
        <f t="shared" si="32"/>
        <v>295779.27927927929</v>
      </c>
    </row>
    <row r="114" spans="1:7">
      <c r="A114" s="675"/>
      <c r="B114" s="145" t="s">
        <v>518</v>
      </c>
      <c r="C114" s="135">
        <f>G105</f>
        <v>81374.729729729748</v>
      </c>
      <c r="D114" s="135">
        <f t="shared" si="29"/>
        <v>95734.976152623232</v>
      </c>
      <c r="E114" s="135">
        <f t="shared" si="30"/>
        <v>123295.04504504507</v>
      </c>
      <c r="F114" s="135">
        <f t="shared" si="31"/>
        <v>162749.4594594595</v>
      </c>
      <c r="G114" s="146">
        <f t="shared" si="32"/>
        <v>246590.09009009015</v>
      </c>
    </row>
    <row r="115" spans="1:7">
      <c r="A115" s="134" t="s">
        <v>219</v>
      </c>
      <c r="B115" s="147"/>
      <c r="C115" s="148">
        <f t="shared" ref="C115" si="33">SUM(C111:C113)</f>
        <v>130883.64864864867</v>
      </c>
      <c r="D115" s="148">
        <f>SUM(D111:D114)</f>
        <v>249715.73926868051</v>
      </c>
      <c r="E115" s="148">
        <f t="shared" ref="E115:G115" si="34">SUM(E111:E114)</f>
        <v>321603.60360360367</v>
      </c>
      <c r="F115" s="148">
        <f t="shared" si="34"/>
        <v>424516.7567567568</v>
      </c>
      <c r="G115" s="136">
        <f t="shared" si="34"/>
        <v>643207.20720720734</v>
      </c>
    </row>
    <row r="116" spans="1:7">
      <c r="A116" s="217" t="s">
        <v>164</v>
      </c>
      <c r="B116" s="145" t="s">
        <v>253</v>
      </c>
      <c r="C116" s="135">
        <f>H105</f>
        <v>63480.405405405414</v>
      </c>
      <c r="D116" s="135">
        <f t="shared" si="29"/>
        <v>74682.829888712251</v>
      </c>
      <c r="E116" s="135">
        <f t="shared" ref="E116" si="35">C116/0.66</f>
        <v>96182.432432432441</v>
      </c>
      <c r="F116" s="135">
        <f t="shared" ref="F116" si="36">C116/0.5</f>
        <v>126960.81081081083</v>
      </c>
      <c r="G116" s="146">
        <f t="shared" ref="G116" si="37">C116/0.33</f>
        <v>192364.86486486488</v>
      </c>
    </row>
    <row r="117" spans="1:7">
      <c r="A117" s="134" t="s">
        <v>220</v>
      </c>
      <c r="B117" s="147"/>
      <c r="C117" s="148">
        <f>SUM(C116:C116)</f>
        <v>63480.405405405414</v>
      </c>
      <c r="D117" s="148">
        <f>SUM(D116:D116)</f>
        <v>74682.829888712251</v>
      </c>
      <c r="E117" s="148">
        <f>SUM(E116:E116)</f>
        <v>96182.432432432441</v>
      </c>
      <c r="F117" s="148">
        <f>SUM(F116:F116)</f>
        <v>126960.81081081083</v>
      </c>
      <c r="G117" s="136">
        <f>SUM(G116:G116)</f>
        <v>192364.86486486488</v>
      </c>
    </row>
    <row r="118" spans="1:7">
      <c r="A118" s="149" t="s">
        <v>221</v>
      </c>
      <c r="B118" s="150"/>
      <c r="C118" s="151">
        <f>C117+C115</f>
        <v>194364.05405405408</v>
      </c>
      <c r="D118" s="151">
        <f>D117+D115</f>
        <v>324398.56915739278</v>
      </c>
      <c r="E118" s="151">
        <f>E117+E115</f>
        <v>417786.03603603609</v>
      </c>
      <c r="F118" s="151">
        <f>F117+F115</f>
        <v>551477.56756756757</v>
      </c>
      <c r="G118" s="152">
        <f>G117+G115</f>
        <v>835572.07207207219</v>
      </c>
    </row>
    <row r="119" spans="1:7">
      <c r="A119" s="675" t="s">
        <v>230</v>
      </c>
      <c r="B119" s="145" t="s">
        <v>255</v>
      </c>
      <c r="C119" s="135">
        <f>(2421/(2421+832+3444+7908))*J105</f>
        <v>6746.1487458016054</v>
      </c>
      <c r="D119" s="135">
        <f t="shared" si="29"/>
        <v>7936.6455832960064</v>
      </c>
      <c r="E119" s="135">
        <f t="shared" ref="E119:E122" si="38">C119/0.66</f>
        <v>10221.437493638796</v>
      </c>
      <c r="F119" s="135">
        <f t="shared" ref="F119:F122" si="39">C119/0.5</f>
        <v>13492.297491603211</v>
      </c>
      <c r="G119" s="146">
        <f t="shared" ref="G119:G122" si="40">C119/0.33</f>
        <v>20442.874987277592</v>
      </c>
    </row>
    <row r="120" spans="1:7">
      <c r="A120" s="675"/>
      <c r="B120" s="145" t="s">
        <v>256</v>
      </c>
      <c r="C120" s="135">
        <f>(832/(2421+832+3444+7908))*J105</f>
        <v>2318.3790815807251</v>
      </c>
      <c r="D120" s="135">
        <f t="shared" si="29"/>
        <v>2727.5048018596767</v>
      </c>
      <c r="E120" s="135">
        <f t="shared" si="38"/>
        <v>3512.6955781526135</v>
      </c>
      <c r="F120" s="135">
        <f t="shared" si="39"/>
        <v>4636.7581631614503</v>
      </c>
      <c r="G120" s="146">
        <f t="shared" si="40"/>
        <v>7025.391156305227</v>
      </c>
    </row>
    <row r="121" spans="1:7">
      <c r="A121" s="675"/>
      <c r="B121" s="145" t="s">
        <v>257</v>
      </c>
      <c r="C121" s="135">
        <f>(3444/(2421+832+3444+7908))*J105</f>
        <v>9596.7518713509817</v>
      </c>
      <c r="D121" s="135">
        <f t="shared" si="29"/>
        <v>11290.29631923645</v>
      </c>
      <c r="E121" s="135">
        <f t="shared" si="38"/>
        <v>14540.533138410578</v>
      </c>
      <c r="F121" s="135">
        <f t="shared" si="39"/>
        <v>19193.503742701963</v>
      </c>
      <c r="G121" s="146">
        <f t="shared" si="40"/>
        <v>29081.066276821155</v>
      </c>
    </row>
    <row r="122" spans="1:7">
      <c r="A122" s="675"/>
      <c r="B122" s="145" t="s">
        <v>258</v>
      </c>
      <c r="C122" s="135">
        <f>(7908/(2421+832+3444+7908))*J105</f>
        <v>22035.747328293721</v>
      </c>
      <c r="D122" s="135">
        <f t="shared" si="29"/>
        <v>25924.408621522027</v>
      </c>
      <c r="E122" s="135">
        <f t="shared" si="38"/>
        <v>33387.495951960183</v>
      </c>
      <c r="F122" s="135">
        <f t="shared" si="39"/>
        <v>44071.494656587442</v>
      </c>
      <c r="G122" s="146">
        <f t="shared" si="40"/>
        <v>66774.991903920367</v>
      </c>
    </row>
    <row r="123" spans="1:7">
      <c r="A123" s="134" t="s">
        <v>259</v>
      </c>
      <c r="B123" s="147"/>
      <c r="C123" s="148">
        <f t="shared" ref="C123" si="41">SUM(C119:C122)</f>
        <v>40697.027027027034</v>
      </c>
      <c r="D123" s="148">
        <f t="shared" ref="D123" si="42">SUM(D119:D122)</f>
        <v>47878.855325914163</v>
      </c>
      <c r="E123" s="148">
        <f>SUM(E119:E122)</f>
        <v>61662.162162162174</v>
      </c>
      <c r="F123" s="148">
        <f t="shared" ref="F123:G123" si="43">SUM(F119:F122)</f>
        <v>81394.054054054068</v>
      </c>
      <c r="G123" s="136">
        <f t="shared" si="43"/>
        <v>123324.32432432435</v>
      </c>
    </row>
    <row r="124" spans="1:7" ht="15" thickBot="1">
      <c r="A124" s="170" t="s">
        <v>459</v>
      </c>
      <c r="B124" s="153"/>
      <c r="C124" s="137">
        <f>C115+C117+C123</f>
        <v>235061.08108108112</v>
      </c>
      <c r="D124" s="137">
        <f>D115+D117+D123</f>
        <v>372277.42448330694</v>
      </c>
      <c r="E124" s="137">
        <f>E115+E117+E123</f>
        <v>479448.19819819828</v>
      </c>
      <c r="F124" s="137">
        <f>F115+F117+F123</f>
        <v>632871.62162162166</v>
      </c>
      <c r="G124" s="138">
        <f>G115+G117+G123</f>
        <v>958896.39639639657</v>
      </c>
    </row>
    <row r="128" spans="1:7">
      <c r="C128" s="127"/>
      <c r="D128" s="127"/>
      <c r="E128" s="127"/>
      <c r="F128" s="127"/>
      <c r="G128" s="127"/>
    </row>
    <row r="129" spans="2:6">
      <c r="B129" s="186"/>
      <c r="F129" s="154"/>
    </row>
    <row r="130" spans="2:6">
      <c r="B130" s="186"/>
    </row>
  </sheetData>
  <mergeCells count="16">
    <mergeCell ref="A1:D9"/>
    <mergeCell ref="F1:G7"/>
    <mergeCell ref="B37:H37"/>
    <mergeCell ref="I37:I38"/>
    <mergeCell ref="B51:H51"/>
    <mergeCell ref="I51:I52"/>
    <mergeCell ref="K78:K79"/>
    <mergeCell ref="A92:I92"/>
    <mergeCell ref="C93:G93"/>
    <mergeCell ref="H93:I93"/>
    <mergeCell ref="K93:K94"/>
    <mergeCell ref="A110:A114"/>
    <mergeCell ref="A119:A122"/>
    <mergeCell ref="A77:I77"/>
    <mergeCell ref="C78:G78"/>
    <mergeCell ref="H78:I78"/>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34"/>
  <sheetViews>
    <sheetView workbookViewId="0">
      <selection activeCell="C30" sqref="C30"/>
    </sheetView>
  </sheetViews>
  <sheetFormatPr defaultColWidth="9.109375" defaultRowHeight="14.4"/>
  <cols>
    <col min="2" max="2" width="18.44140625" customWidth="1"/>
    <col min="3" max="3" width="30.33203125" bestFit="1" customWidth="1"/>
    <col min="4" max="4" width="28.6640625" bestFit="1" customWidth="1"/>
    <col min="5" max="5" width="23.33203125" bestFit="1" customWidth="1"/>
    <col min="6" max="6" width="16.44140625" customWidth="1"/>
    <col min="7" max="7" width="17.5546875" customWidth="1"/>
    <col min="8" max="8" width="15.33203125" customWidth="1"/>
    <col min="9" max="9" width="12.6640625" bestFit="1" customWidth="1"/>
    <col min="10" max="10" width="11.5546875" bestFit="1" customWidth="1"/>
    <col min="11" max="11" width="10.44140625" bestFit="1" customWidth="1"/>
  </cols>
  <sheetData>
    <row r="1" spans="2:11" ht="30" customHeight="1">
      <c r="B1" s="690" t="s">
        <v>487</v>
      </c>
      <c r="C1" s="690"/>
      <c r="D1" s="690"/>
      <c r="E1" s="690"/>
      <c r="F1" s="690"/>
      <c r="G1" s="690"/>
      <c r="H1" s="690"/>
      <c r="I1" s="690"/>
      <c r="J1" s="690"/>
      <c r="K1" s="690"/>
    </row>
    <row r="2" spans="2:11" ht="35.25" customHeight="1" thickBot="1">
      <c r="B2" s="691"/>
      <c r="C2" s="691"/>
      <c r="D2" s="691"/>
      <c r="E2" s="691"/>
      <c r="F2" s="691"/>
      <c r="G2" s="691"/>
      <c r="H2" s="691"/>
      <c r="I2" s="691"/>
      <c r="J2" s="691"/>
      <c r="K2" s="691"/>
    </row>
    <row r="3" spans="2:11">
      <c r="B3" s="268" t="s">
        <v>223</v>
      </c>
      <c r="C3" s="142" t="s">
        <v>480</v>
      </c>
      <c r="D3" s="142" t="s">
        <v>479</v>
      </c>
      <c r="E3" s="142" t="s">
        <v>478</v>
      </c>
      <c r="F3" s="142" t="s">
        <v>477</v>
      </c>
      <c r="G3" s="142" t="s">
        <v>476</v>
      </c>
      <c r="H3" s="142" t="s">
        <v>475</v>
      </c>
      <c r="I3" s="142" t="s">
        <v>474</v>
      </c>
      <c r="J3" s="142" t="s">
        <v>473</v>
      </c>
      <c r="K3" s="269" t="s">
        <v>472</v>
      </c>
    </row>
    <row r="4" spans="2:11">
      <c r="B4" s="162" t="s">
        <v>224</v>
      </c>
      <c r="C4" s="163">
        <v>2467</v>
      </c>
      <c r="D4" s="164">
        <f>800/365</f>
        <v>2.1917808219178081</v>
      </c>
      <c r="E4" s="163">
        <f t="shared" ref="E4:E10" si="0">D4*C4*365</f>
        <v>1973600</v>
      </c>
      <c r="F4" s="163">
        <f t="shared" ref="F4:F10" si="1">(E4*$C$27)/$D$27/0.8</f>
        <v>18335.81081081081</v>
      </c>
      <c r="G4" s="163">
        <f t="shared" ref="G4:G10" si="2">(E4*$C$28)/$D$28/0.8</f>
        <v>47673.108108108114</v>
      </c>
      <c r="H4" s="163">
        <f t="shared" ref="H4:H10" si="3">(E4*$C$29)/$D$29/0.8</f>
        <v>7334.3243243243251</v>
      </c>
      <c r="I4" s="163">
        <f t="shared" ref="I4:I10" si="4">(E4*$C$31)/$D$31/0.8</f>
        <v>11087.6404494382</v>
      </c>
      <c r="J4" s="163">
        <f t="shared" ref="J4:J10" si="5">(E4*$C$32)/$D$32/0.8</f>
        <v>49340</v>
      </c>
      <c r="K4" s="165">
        <f t="shared" ref="K4:K10" si="6">(E4*$C$33)/$D$33/0.8</f>
        <v>104763.01369863014</v>
      </c>
    </row>
    <row r="5" spans="2:11">
      <c r="B5" s="162" t="s">
        <v>471</v>
      </c>
      <c r="C5" s="163">
        <v>10000</v>
      </c>
      <c r="D5" s="189">
        <v>1.25</v>
      </c>
      <c r="E5" s="163">
        <f t="shared" si="0"/>
        <v>4562500</v>
      </c>
      <c r="F5" s="163">
        <f t="shared" si="1"/>
        <v>42388.091216216213</v>
      </c>
      <c r="G5" s="163">
        <f t="shared" si="2"/>
        <v>110209.03716216217</v>
      </c>
      <c r="H5" s="163">
        <f t="shared" si="3"/>
        <v>16955.236486486487</v>
      </c>
      <c r="I5" s="163">
        <f t="shared" si="4"/>
        <v>25632.022471910113</v>
      </c>
      <c r="J5" s="163">
        <f t="shared" si="5"/>
        <v>114062.50000000001</v>
      </c>
      <c r="K5" s="165">
        <f t="shared" si="6"/>
        <v>242187.5</v>
      </c>
    </row>
    <row r="6" spans="2:11">
      <c r="B6" s="187" t="s">
        <v>225</v>
      </c>
      <c r="C6" s="188">
        <v>400</v>
      </c>
      <c r="D6" s="189">
        <v>1.75</v>
      </c>
      <c r="E6" s="163">
        <f t="shared" si="0"/>
        <v>255500</v>
      </c>
      <c r="F6" s="163">
        <f t="shared" si="1"/>
        <v>2373.7331081081079</v>
      </c>
      <c r="G6" s="163">
        <f t="shared" si="2"/>
        <v>6171.7060810810817</v>
      </c>
      <c r="H6" s="163">
        <f t="shared" si="3"/>
        <v>949.49324324324334</v>
      </c>
      <c r="I6" s="163">
        <f t="shared" si="4"/>
        <v>1435.3932584269662</v>
      </c>
      <c r="J6" s="163">
        <f t="shared" si="5"/>
        <v>6387.5</v>
      </c>
      <c r="K6" s="165">
        <f t="shared" si="6"/>
        <v>13562.5</v>
      </c>
    </row>
    <row r="7" spans="2:11">
      <c r="B7" s="187" t="s">
        <v>241</v>
      </c>
      <c r="C7" s="188">
        <v>250</v>
      </c>
      <c r="D7" s="189">
        <v>1.75</v>
      </c>
      <c r="E7" s="163">
        <f t="shared" si="0"/>
        <v>159687.5</v>
      </c>
      <c r="F7" s="163">
        <f t="shared" si="1"/>
        <v>1483.5831925675673</v>
      </c>
      <c r="G7" s="163">
        <f t="shared" si="2"/>
        <v>3857.3163006756758</v>
      </c>
      <c r="H7" s="163">
        <f t="shared" si="3"/>
        <v>593.43327702702709</v>
      </c>
      <c r="I7" s="163">
        <f t="shared" si="4"/>
        <v>897.12078651685385</v>
      </c>
      <c r="J7" s="163">
        <f t="shared" si="5"/>
        <v>3992.1875000000005</v>
      </c>
      <c r="K7" s="165">
        <f t="shared" si="6"/>
        <v>8476.5625</v>
      </c>
    </row>
    <row r="8" spans="2:11">
      <c r="B8" s="166" t="s">
        <v>214</v>
      </c>
      <c r="C8" s="167">
        <v>2900</v>
      </c>
      <c r="D8" s="168">
        <v>2</v>
      </c>
      <c r="E8" s="167">
        <f t="shared" si="0"/>
        <v>2117000</v>
      </c>
      <c r="F8" s="167">
        <f t="shared" si="1"/>
        <v>19668.074324324323</v>
      </c>
      <c r="G8" s="167">
        <f t="shared" si="2"/>
        <v>51136.993243243247</v>
      </c>
      <c r="H8" s="167">
        <f t="shared" si="3"/>
        <v>7867.22972972973</v>
      </c>
      <c r="I8" s="167">
        <f t="shared" si="4"/>
        <v>11893.258426966291</v>
      </c>
      <c r="J8" s="167">
        <f t="shared" si="5"/>
        <v>52925</v>
      </c>
      <c r="K8" s="169">
        <f t="shared" si="6"/>
        <v>112375</v>
      </c>
    </row>
    <row r="9" spans="2:11">
      <c r="B9" s="162" t="s">
        <v>470</v>
      </c>
      <c r="C9" s="163">
        <v>1500</v>
      </c>
      <c r="D9" s="164">
        <v>1.25</v>
      </c>
      <c r="E9" s="163">
        <f t="shared" si="0"/>
        <v>684375</v>
      </c>
      <c r="F9" s="163">
        <f t="shared" si="1"/>
        <v>6358.2136824324334</v>
      </c>
      <c r="G9" s="163">
        <f t="shared" si="2"/>
        <v>16531.355574324327</v>
      </c>
      <c r="H9" s="163">
        <f t="shared" si="3"/>
        <v>2543.2854729729734</v>
      </c>
      <c r="I9" s="163">
        <f t="shared" si="4"/>
        <v>3844.8033707865161</v>
      </c>
      <c r="J9" s="163">
        <f t="shared" si="5"/>
        <v>17109.375</v>
      </c>
      <c r="K9" s="165">
        <f t="shared" si="6"/>
        <v>36328.125</v>
      </c>
    </row>
    <row r="10" spans="2:11">
      <c r="B10" s="239" t="s">
        <v>469</v>
      </c>
      <c r="C10" s="270">
        <v>5000</v>
      </c>
      <c r="D10" s="271">
        <v>1.75</v>
      </c>
      <c r="E10" s="167">
        <f t="shared" si="0"/>
        <v>3193750</v>
      </c>
      <c r="F10" s="167">
        <f t="shared" si="1"/>
        <v>29671.663851351354</v>
      </c>
      <c r="G10" s="167">
        <f t="shared" si="2"/>
        <v>77146.326013513521</v>
      </c>
      <c r="H10" s="167">
        <f t="shared" si="3"/>
        <v>11868.665540540542</v>
      </c>
      <c r="I10" s="167">
        <f t="shared" si="4"/>
        <v>17942.415730337078</v>
      </c>
      <c r="J10" s="167">
        <f t="shared" si="5"/>
        <v>79843.75</v>
      </c>
      <c r="K10" s="169">
        <f t="shared" si="6"/>
        <v>169531.25</v>
      </c>
    </row>
    <row r="11" spans="2:11">
      <c r="B11" s="272" t="s">
        <v>521</v>
      </c>
      <c r="C11" s="692" t="s">
        <v>522</v>
      </c>
      <c r="D11" s="692"/>
      <c r="E11" s="273">
        <f>0.125*SUM(E4:E10)</f>
        <v>1618301.5625</v>
      </c>
      <c r="F11" s="273">
        <f t="shared" ref="F11:K11" si="7">0.125*SUM(F4:F10)</f>
        <v>15034.896273226354</v>
      </c>
      <c r="G11" s="273">
        <f t="shared" si="7"/>
        <v>39090.730310388521</v>
      </c>
      <c r="H11" s="273">
        <f t="shared" si="7"/>
        <v>6013.9585092905409</v>
      </c>
      <c r="I11" s="273">
        <f t="shared" si="7"/>
        <v>9091.5818117977524</v>
      </c>
      <c r="J11" s="273">
        <f t="shared" si="7"/>
        <v>40457.5390625</v>
      </c>
      <c r="K11" s="273">
        <f t="shared" si="7"/>
        <v>85902.993899828769</v>
      </c>
    </row>
    <row r="12" spans="2:11" ht="15" thickBot="1">
      <c r="B12" s="170" t="s">
        <v>162</v>
      </c>
      <c r="C12" s="171"/>
      <c r="D12" s="171"/>
      <c r="E12" s="172">
        <f t="shared" ref="E12:K12" si="8">SUM(E4:E11)</f>
        <v>14564714.0625</v>
      </c>
      <c r="F12" s="172">
        <f t="shared" si="8"/>
        <v>135314.06645903719</v>
      </c>
      <c r="G12" s="172">
        <f t="shared" si="8"/>
        <v>351816.57279349666</v>
      </c>
      <c r="H12" s="172">
        <f t="shared" si="8"/>
        <v>54125.626583614867</v>
      </c>
      <c r="I12" s="172">
        <f t="shared" si="8"/>
        <v>81824.236306179766</v>
      </c>
      <c r="J12" s="172">
        <f t="shared" si="8"/>
        <v>364117.8515625</v>
      </c>
      <c r="K12" s="173">
        <f t="shared" si="8"/>
        <v>773126.94509845891</v>
      </c>
    </row>
    <row r="13" spans="2:11">
      <c r="F13" s="15"/>
      <c r="G13" s="15"/>
      <c r="H13" s="15"/>
    </row>
    <row r="14" spans="2:11" ht="15" thickBot="1">
      <c r="B14" t="s">
        <v>523</v>
      </c>
      <c r="F14" s="15"/>
      <c r="G14" s="15"/>
      <c r="H14" s="15"/>
    </row>
    <row r="15" spans="2:11">
      <c r="B15" s="174" t="s">
        <v>524</v>
      </c>
      <c r="C15" s="175" t="s">
        <v>477</v>
      </c>
      <c r="D15" s="143" t="s">
        <v>476</v>
      </c>
      <c r="E15" s="175" t="s">
        <v>475</v>
      </c>
      <c r="F15" s="274" t="s">
        <v>474</v>
      </c>
      <c r="G15" s="274" t="s">
        <v>473</v>
      </c>
      <c r="H15" s="275" t="s">
        <v>472</v>
      </c>
    </row>
    <row r="16" spans="2:11">
      <c r="B16" s="276">
        <v>0.05</v>
      </c>
      <c r="C16" s="277">
        <f>F$12*$B$16</f>
        <v>6765.7033229518602</v>
      </c>
      <c r="D16" s="278">
        <f t="shared" ref="D16:H16" si="9">G$12*$B$16</f>
        <v>17590.828639674834</v>
      </c>
      <c r="E16" s="277">
        <f t="shared" si="9"/>
        <v>2706.2813291807433</v>
      </c>
      <c r="F16" s="277">
        <f t="shared" si="9"/>
        <v>4091.2118153089887</v>
      </c>
      <c r="G16" s="277">
        <f t="shared" si="9"/>
        <v>18205.892578125</v>
      </c>
      <c r="H16" s="279">
        <f t="shared" si="9"/>
        <v>38656.347254922948</v>
      </c>
    </row>
    <row r="17" spans="2:12">
      <c r="B17" s="276">
        <v>0.1</v>
      </c>
      <c r="C17" s="277">
        <f>F$12*$B$17</f>
        <v>13531.40664590372</v>
      </c>
      <c r="D17" s="278">
        <f t="shared" ref="D17:H17" si="10">G$12*$B$17</f>
        <v>35181.657279349667</v>
      </c>
      <c r="E17" s="277">
        <f t="shared" si="10"/>
        <v>5412.5626583614867</v>
      </c>
      <c r="F17" s="277">
        <f t="shared" si="10"/>
        <v>8182.4236306179773</v>
      </c>
      <c r="G17" s="277">
        <f t="shared" si="10"/>
        <v>36411.78515625</v>
      </c>
      <c r="H17" s="279">
        <f t="shared" si="10"/>
        <v>77312.694509845896</v>
      </c>
    </row>
    <row r="18" spans="2:12">
      <c r="B18" s="276">
        <v>0.25</v>
      </c>
      <c r="C18" s="277">
        <f>F$12*$B$18</f>
        <v>33828.516614759297</v>
      </c>
      <c r="D18" s="278">
        <f t="shared" ref="D18:H18" si="11">G$12*$B$18</f>
        <v>87954.143198374164</v>
      </c>
      <c r="E18" s="277">
        <f t="shared" si="11"/>
        <v>13531.406645903717</v>
      </c>
      <c r="F18" s="277">
        <f t="shared" si="11"/>
        <v>20456.059076544941</v>
      </c>
      <c r="G18" s="277">
        <f t="shared" si="11"/>
        <v>91029.462890625</v>
      </c>
      <c r="H18" s="279">
        <f t="shared" si="11"/>
        <v>193281.73627461473</v>
      </c>
    </row>
    <row r="19" spans="2:12">
      <c r="B19" s="276">
        <v>0.33</v>
      </c>
      <c r="C19" s="277">
        <f>F$12*$B$19</f>
        <v>44653.641931482278</v>
      </c>
      <c r="D19" s="278">
        <f t="shared" ref="D19:H19" si="12">G$12*$B$19</f>
        <v>116099.4690218539</v>
      </c>
      <c r="E19" s="277">
        <f t="shared" si="12"/>
        <v>17861.456772592908</v>
      </c>
      <c r="F19" s="277">
        <f t="shared" si="12"/>
        <v>27001.997981039323</v>
      </c>
      <c r="G19" s="277">
        <f t="shared" si="12"/>
        <v>120158.89101562501</v>
      </c>
      <c r="H19" s="279">
        <f t="shared" si="12"/>
        <v>255131.89188249144</v>
      </c>
    </row>
    <row r="20" spans="2:12">
      <c r="B20" s="276">
        <v>0.5</v>
      </c>
      <c r="C20" s="277">
        <f>F$12*$B$20</f>
        <v>67657.033229518594</v>
      </c>
      <c r="D20" s="278">
        <f t="shared" ref="D20:H20" si="13">G$12*$B$20</f>
        <v>175908.28639674833</v>
      </c>
      <c r="E20" s="277">
        <f t="shared" si="13"/>
        <v>27062.813291807433</v>
      </c>
      <c r="F20" s="277">
        <f t="shared" si="13"/>
        <v>40912.118153089883</v>
      </c>
      <c r="G20" s="277">
        <f t="shared" si="13"/>
        <v>182058.92578125</v>
      </c>
      <c r="H20" s="279">
        <f t="shared" si="13"/>
        <v>386563.47254922945</v>
      </c>
    </row>
    <row r="21" spans="2:12">
      <c r="B21" s="276">
        <v>0.75</v>
      </c>
      <c r="C21" s="277">
        <f>F$12*$B$21</f>
        <v>101485.54984427789</v>
      </c>
      <c r="D21" s="278">
        <f t="shared" ref="D21:H21" si="14">G$12*$B$21</f>
        <v>263862.42959512246</v>
      </c>
      <c r="E21" s="277">
        <f t="shared" si="14"/>
        <v>40594.219937711154</v>
      </c>
      <c r="F21" s="277">
        <f t="shared" si="14"/>
        <v>61368.177229634821</v>
      </c>
      <c r="G21" s="277">
        <f t="shared" si="14"/>
        <v>273088.388671875</v>
      </c>
      <c r="H21" s="279">
        <f t="shared" si="14"/>
        <v>579845.20882384421</v>
      </c>
    </row>
    <row r="22" spans="2:12" ht="15" thickBot="1">
      <c r="B22" s="280">
        <v>1</v>
      </c>
      <c r="C22" s="281">
        <f>F$12*$B$22</f>
        <v>135314.06645903719</v>
      </c>
      <c r="D22" s="282">
        <f t="shared" ref="D22:H22" si="15">G$12*$B$22</f>
        <v>351816.57279349666</v>
      </c>
      <c r="E22" s="281">
        <f t="shared" si="15"/>
        <v>54125.626583614867</v>
      </c>
      <c r="F22" s="281">
        <f t="shared" si="15"/>
        <v>81824.236306179766</v>
      </c>
      <c r="G22" s="281">
        <f t="shared" si="15"/>
        <v>364117.8515625</v>
      </c>
      <c r="H22" s="283">
        <f t="shared" si="15"/>
        <v>773126.94509845891</v>
      </c>
    </row>
    <row r="23" spans="2:12">
      <c r="F23" s="15"/>
      <c r="G23" s="15"/>
      <c r="H23" s="15"/>
    </row>
    <row r="25" spans="2:12" ht="15" thickBot="1">
      <c r="B25" t="s">
        <v>448</v>
      </c>
    </row>
    <row r="26" spans="2:12">
      <c r="B26" s="174" t="s">
        <v>1</v>
      </c>
      <c r="C26" s="175" t="s">
        <v>506</v>
      </c>
      <c r="D26" s="176" t="s">
        <v>229</v>
      </c>
      <c r="F26" s="161"/>
      <c r="G26" s="161"/>
      <c r="H26" s="161"/>
      <c r="I26" s="161"/>
      <c r="J26" s="161"/>
      <c r="K26" s="161"/>
      <c r="L26" s="92"/>
    </row>
    <row r="27" spans="2:12">
      <c r="B27" s="177" t="s">
        <v>287</v>
      </c>
      <c r="C27" s="178">
        <f>0.25*C30</f>
        <v>0.13750000000000001</v>
      </c>
      <c r="D27" s="179">
        <v>18.5</v>
      </c>
      <c r="F27" s="161"/>
      <c r="G27" s="161"/>
      <c r="H27" s="161"/>
      <c r="I27" s="161"/>
      <c r="J27" s="161"/>
      <c r="K27" s="161"/>
      <c r="L27" s="186"/>
    </row>
    <row r="28" spans="2:12">
      <c r="B28" s="177" t="s">
        <v>288</v>
      </c>
      <c r="C28" s="178">
        <f>0.65*C30</f>
        <v>0.35750000000000004</v>
      </c>
      <c r="D28" s="179">
        <v>18.5</v>
      </c>
      <c r="F28" s="15"/>
      <c r="G28" s="15"/>
      <c r="H28" s="15"/>
    </row>
    <row r="29" spans="2:12">
      <c r="B29" s="177" t="s">
        <v>289</v>
      </c>
      <c r="C29" s="178">
        <f>0.1*C30</f>
        <v>5.5000000000000007E-2</v>
      </c>
      <c r="D29" s="179">
        <v>18.5</v>
      </c>
      <c r="F29" s="15"/>
      <c r="G29" s="15"/>
      <c r="H29" s="15"/>
    </row>
    <row r="30" spans="2:12">
      <c r="B30" s="120" t="s">
        <v>449</v>
      </c>
      <c r="C30" s="18">
        <v>0.55000000000000004</v>
      </c>
      <c r="D30" s="180">
        <v>18.5</v>
      </c>
      <c r="F30" s="15"/>
      <c r="G30" s="15"/>
      <c r="H30" s="15"/>
    </row>
    <row r="31" spans="2:12">
      <c r="B31" s="120" t="s">
        <v>226</v>
      </c>
      <c r="C31" s="18">
        <v>0.04</v>
      </c>
      <c r="D31" s="180">
        <v>8.9</v>
      </c>
      <c r="F31" s="15"/>
      <c r="G31" s="15"/>
      <c r="H31" s="15"/>
    </row>
    <row r="32" spans="2:12">
      <c r="B32" s="120" t="s">
        <v>227</v>
      </c>
      <c r="C32" s="18">
        <v>7.0000000000000007E-2</v>
      </c>
      <c r="D32" s="180">
        <v>3.5</v>
      </c>
      <c r="F32" s="15"/>
      <c r="G32" s="15"/>
      <c r="H32" s="15"/>
    </row>
    <row r="33" spans="2:8">
      <c r="B33" s="181" t="s">
        <v>228</v>
      </c>
      <c r="C33" s="192">
        <v>0.31</v>
      </c>
      <c r="D33" s="182">
        <v>7.3</v>
      </c>
      <c r="F33" s="15"/>
      <c r="G33" s="15"/>
      <c r="H33" s="15"/>
    </row>
    <row r="34" spans="2:8" ht="15" thickBot="1">
      <c r="B34" s="183" t="s">
        <v>162</v>
      </c>
      <c r="C34" s="184">
        <f>SUM(C30:C33)</f>
        <v>0.9700000000000002</v>
      </c>
      <c r="D34" s="185"/>
      <c r="F34" s="15"/>
      <c r="G34" s="15"/>
      <c r="H34" s="15"/>
    </row>
  </sheetData>
  <mergeCells count="2">
    <mergeCell ref="B1:K2"/>
    <mergeCell ref="C11:D11"/>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7"/>
  <sheetViews>
    <sheetView zoomScale="90" zoomScaleNormal="90" workbookViewId="0">
      <pane xSplit="4" ySplit="7" topLeftCell="E8" activePane="bottomRight" state="frozen"/>
      <selection pane="topRight" activeCell="D1" sqref="D1"/>
      <selection pane="bottomLeft" activeCell="A8" sqref="A8"/>
      <selection pane="bottomRight" activeCell="A8" sqref="A8:A13"/>
    </sheetView>
  </sheetViews>
  <sheetFormatPr defaultRowHeight="14.4"/>
  <cols>
    <col min="2" max="2" width="18.5546875" customWidth="1"/>
    <col min="3" max="3" width="35.33203125" customWidth="1"/>
    <col min="4" max="4" width="27.44140625" customWidth="1"/>
    <col min="6" max="7" width="19.33203125" customWidth="1"/>
    <col min="8" max="8" width="12" customWidth="1"/>
    <col min="9" max="9" width="12.5546875" customWidth="1"/>
    <col min="10" max="10" width="11.6640625" customWidth="1"/>
    <col min="11" max="11" width="12.44140625" customWidth="1"/>
    <col min="13" max="13" width="12.44140625" bestFit="1" customWidth="1"/>
    <col min="15" max="15" width="77.33203125" style="20" customWidth="1"/>
  </cols>
  <sheetData>
    <row r="1" spans="1:20">
      <c r="A1" s="686" t="s">
        <v>427</v>
      </c>
      <c r="B1" s="686"/>
      <c r="C1" s="686"/>
      <c r="D1" s="686"/>
      <c r="E1" s="686"/>
      <c r="F1" s="686"/>
      <c r="G1" s="686"/>
      <c r="H1" s="686"/>
      <c r="I1" s="686"/>
      <c r="J1" s="686"/>
      <c r="K1" s="686"/>
    </row>
    <row r="2" spans="1:20">
      <c r="A2" s="686"/>
      <c r="B2" s="686"/>
      <c r="C2" s="686"/>
      <c r="D2" s="686"/>
      <c r="E2" s="686"/>
      <c r="F2" s="686"/>
      <c r="G2" s="686"/>
      <c r="H2" s="686"/>
      <c r="I2" s="686"/>
      <c r="J2" s="686"/>
      <c r="K2" s="686"/>
    </row>
    <row r="3" spans="1:20">
      <c r="A3" s="686"/>
      <c r="B3" s="686"/>
      <c r="C3" s="686"/>
      <c r="D3" s="686"/>
      <c r="E3" s="686"/>
      <c r="F3" s="686"/>
      <c r="G3" s="686"/>
      <c r="H3" s="686"/>
      <c r="I3" s="686"/>
      <c r="J3" s="686"/>
      <c r="K3" s="686"/>
    </row>
    <row r="4" spans="1:20">
      <c r="A4" s="686"/>
      <c r="B4" s="686"/>
      <c r="C4" s="686"/>
      <c r="D4" s="686"/>
      <c r="E4" s="686"/>
      <c r="F4" s="686"/>
      <c r="G4" s="686"/>
      <c r="H4" s="686"/>
      <c r="I4" s="686"/>
      <c r="J4" s="686"/>
      <c r="K4" s="686"/>
    </row>
    <row r="6" spans="1:20" ht="16.2" customHeight="1">
      <c r="A6" s="694" t="s">
        <v>146</v>
      </c>
      <c r="B6" s="694"/>
      <c r="C6" s="694"/>
      <c r="D6" s="694"/>
      <c r="E6" s="694" t="s">
        <v>147</v>
      </c>
      <c r="F6" s="694"/>
      <c r="G6" s="96"/>
      <c r="H6" s="694" t="s">
        <v>148</v>
      </c>
      <c r="I6" s="694"/>
      <c r="J6" s="694"/>
      <c r="K6" s="694" t="s">
        <v>149</v>
      </c>
      <c r="L6" s="694"/>
      <c r="M6" s="694"/>
      <c r="N6" s="694"/>
      <c r="O6" s="694" t="s">
        <v>283</v>
      </c>
    </row>
    <row r="7" spans="1:20" ht="43.2">
      <c r="A7" s="694"/>
      <c r="B7" s="694"/>
      <c r="C7" s="694"/>
      <c r="D7" s="694"/>
      <c r="E7" s="96" t="s">
        <v>150</v>
      </c>
      <c r="F7" s="96" t="s">
        <v>428</v>
      </c>
      <c r="G7" s="96" t="s">
        <v>429</v>
      </c>
      <c r="H7" s="96" t="s">
        <v>152</v>
      </c>
      <c r="I7" s="96" t="s">
        <v>153</v>
      </c>
      <c r="J7" s="96" t="s">
        <v>154</v>
      </c>
      <c r="K7" s="100" t="s">
        <v>274</v>
      </c>
      <c r="L7" s="96" t="s">
        <v>17</v>
      </c>
      <c r="M7" s="96" t="s">
        <v>155</v>
      </c>
      <c r="N7" s="96" t="s">
        <v>156</v>
      </c>
      <c r="O7" s="694"/>
      <c r="R7" s="18" t="s">
        <v>216</v>
      </c>
      <c r="S7" s="18" t="s">
        <v>339</v>
      </c>
      <c r="T7" s="18" t="s">
        <v>217</v>
      </c>
    </row>
    <row r="8" spans="1:20" ht="15.75" customHeight="1">
      <c r="A8" s="693" t="s">
        <v>273</v>
      </c>
      <c r="B8" s="32" t="s">
        <v>278</v>
      </c>
      <c r="C8" s="32" t="s">
        <v>278</v>
      </c>
      <c r="D8" s="32" t="s">
        <v>157</v>
      </c>
      <c r="E8" s="32">
        <v>0</v>
      </c>
      <c r="F8" s="97">
        <f>HistoricAbund_Calcs.!F110</f>
        <v>15652.702702702705</v>
      </c>
      <c r="G8" s="32"/>
      <c r="H8" s="32">
        <v>500</v>
      </c>
      <c r="I8" s="99">
        <f>6951*3</f>
        <v>20853</v>
      </c>
      <c r="J8" s="99"/>
      <c r="K8" s="32">
        <v>0</v>
      </c>
      <c r="L8" s="32">
        <v>0</v>
      </c>
      <c r="M8" s="32" t="s">
        <v>235</v>
      </c>
      <c r="N8" s="32" t="s">
        <v>235</v>
      </c>
      <c r="O8" s="101" t="s">
        <v>535</v>
      </c>
      <c r="P8" s="32"/>
    </row>
    <row r="9" spans="1:20" ht="15.75" customHeight="1">
      <c r="A9" s="693"/>
      <c r="B9" s="32" t="s">
        <v>250</v>
      </c>
      <c r="C9" s="32" t="s">
        <v>250</v>
      </c>
      <c r="D9" s="35" t="s">
        <v>157</v>
      </c>
      <c r="E9" s="35">
        <v>0</v>
      </c>
      <c r="F9" s="97">
        <f>HistoricAbund_Calcs.!F111</f>
        <v>29218.378378378384</v>
      </c>
      <c r="G9" s="97"/>
      <c r="H9" s="32">
        <v>500</v>
      </c>
      <c r="I9" s="98">
        <v>1594</v>
      </c>
      <c r="J9" s="98">
        <v>1594</v>
      </c>
      <c r="K9" s="35">
        <v>0</v>
      </c>
      <c r="L9" s="35">
        <v>0</v>
      </c>
      <c r="M9" s="32" t="s">
        <v>235</v>
      </c>
      <c r="N9" s="32" t="s">
        <v>235</v>
      </c>
      <c r="O9" s="101" t="s">
        <v>536</v>
      </c>
      <c r="P9" s="32"/>
    </row>
    <row r="10" spans="1:20" ht="57.6">
      <c r="A10" s="693"/>
      <c r="B10" s="32" t="s">
        <v>251</v>
      </c>
      <c r="C10" s="32" t="s">
        <v>251</v>
      </c>
      <c r="D10" s="35" t="s">
        <v>157</v>
      </c>
      <c r="E10" s="35">
        <v>0</v>
      </c>
      <c r="F10" s="99">
        <f>HistoricAbund_Calcs.!F112</f>
        <v>37334.5945945946</v>
      </c>
      <c r="G10" s="99"/>
      <c r="H10" s="32">
        <v>500</v>
      </c>
      <c r="I10" s="99">
        <f>175+397</f>
        <v>572</v>
      </c>
      <c r="J10" s="98">
        <v>8234.8359999999993</v>
      </c>
      <c r="K10" s="35">
        <v>0</v>
      </c>
      <c r="L10" s="35">
        <v>0</v>
      </c>
      <c r="M10" s="32" t="s">
        <v>235</v>
      </c>
      <c r="N10" s="32" t="s">
        <v>235</v>
      </c>
      <c r="O10" s="101" t="s">
        <v>537</v>
      </c>
    </row>
    <row r="11" spans="1:20" ht="44.25" customHeight="1">
      <c r="A11" s="693"/>
      <c r="B11" s="32" t="s">
        <v>519</v>
      </c>
      <c r="C11" s="32" t="s">
        <v>252</v>
      </c>
      <c r="D11" s="35" t="s">
        <v>157</v>
      </c>
      <c r="E11" s="35">
        <v>0</v>
      </c>
      <c r="F11" s="99">
        <f>HistoricAbund_Calcs.!F113</f>
        <v>195214.32432432435</v>
      </c>
      <c r="G11" s="99"/>
      <c r="H11" s="32">
        <v>1000</v>
      </c>
      <c r="I11" s="216">
        <f>(1651+243+100+1481*0.65)+10000</f>
        <v>12956.65</v>
      </c>
      <c r="J11" s="98">
        <v>3991</v>
      </c>
      <c r="K11" s="35">
        <v>0</v>
      </c>
      <c r="L11" s="35">
        <v>0</v>
      </c>
      <c r="M11" s="32" t="s">
        <v>235</v>
      </c>
      <c r="N11" s="32" t="s">
        <v>235</v>
      </c>
      <c r="O11" s="101" t="s">
        <v>538</v>
      </c>
      <c r="P11" s="20"/>
    </row>
    <row r="12" spans="1:20" ht="20.25" customHeight="1">
      <c r="A12" s="693"/>
      <c r="B12" s="32" t="s">
        <v>453</v>
      </c>
      <c r="C12" s="32" t="s">
        <v>520</v>
      </c>
      <c r="D12" s="32" t="s">
        <v>157</v>
      </c>
      <c r="E12" s="35">
        <v>0</v>
      </c>
      <c r="F12" s="99">
        <f>HistoricAbund_Calcs.!F114</f>
        <v>162749.4594594595</v>
      </c>
      <c r="G12" s="32"/>
      <c r="H12" s="32" t="s">
        <v>272</v>
      </c>
      <c r="I12" s="98"/>
      <c r="J12" s="98"/>
      <c r="K12" s="35">
        <v>0</v>
      </c>
      <c r="L12" s="35">
        <v>0</v>
      </c>
      <c r="M12" s="32" t="s">
        <v>235</v>
      </c>
      <c r="N12" s="32" t="s">
        <v>235</v>
      </c>
      <c r="O12" s="101" t="s">
        <v>461</v>
      </c>
      <c r="P12" s="32"/>
    </row>
    <row r="13" spans="1:20">
      <c r="A13" s="693"/>
      <c r="B13" s="35" t="s">
        <v>161</v>
      </c>
      <c r="C13" s="35" t="s">
        <v>161</v>
      </c>
      <c r="D13" s="35"/>
      <c r="E13" s="35">
        <v>0</v>
      </c>
      <c r="F13" s="99"/>
      <c r="G13" s="99"/>
      <c r="H13" s="32" t="s">
        <v>272</v>
      </c>
      <c r="I13" s="98" t="s">
        <v>158</v>
      </c>
      <c r="J13" s="102"/>
      <c r="K13" s="35">
        <v>0</v>
      </c>
      <c r="L13" s="35">
        <v>0</v>
      </c>
      <c r="M13" s="32" t="s">
        <v>235</v>
      </c>
      <c r="N13" s="32" t="s">
        <v>235</v>
      </c>
      <c r="O13" s="101"/>
    </row>
    <row r="14" spans="1:20" ht="15.75" customHeight="1">
      <c r="A14" s="693" t="s">
        <v>164</v>
      </c>
      <c r="B14" s="32" t="s">
        <v>280</v>
      </c>
      <c r="C14" s="32" t="s">
        <v>280</v>
      </c>
      <c r="D14" s="35" t="s">
        <v>157</v>
      </c>
      <c r="E14" s="35">
        <v>0</v>
      </c>
      <c r="F14" s="99">
        <f>HistoricAbund_Calcs.!F116</f>
        <v>126960.81081081083</v>
      </c>
      <c r="G14" s="99"/>
      <c r="H14" s="32" t="s">
        <v>272</v>
      </c>
      <c r="I14" s="99">
        <f>6729-765</f>
        <v>5964</v>
      </c>
      <c r="J14" s="98">
        <v>45116.936699999998</v>
      </c>
      <c r="K14" s="35">
        <v>0</v>
      </c>
      <c r="L14" s="35">
        <v>0</v>
      </c>
      <c r="M14" s="99">
        <f>J14</f>
        <v>45116.936699999998</v>
      </c>
      <c r="N14" s="32" t="s">
        <v>235</v>
      </c>
      <c r="O14" s="116" t="s">
        <v>539</v>
      </c>
    </row>
    <row r="15" spans="1:20">
      <c r="A15" s="693"/>
      <c r="B15" s="35" t="s">
        <v>161</v>
      </c>
      <c r="C15" s="35" t="s">
        <v>161</v>
      </c>
      <c r="D15" s="35"/>
      <c r="E15" s="35">
        <v>0</v>
      </c>
      <c r="F15" s="99"/>
      <c r="G15" s="99"/>
      <c r="H15" s="32" t="s">
        <v>272</v>
      </c>
      <c r="I15" s="99"/>
      <c r="J15" s="102"/>
      <c r="K15" s="35">
        <v>0</v>
      </c>
      <c r="L15" s="35">
        <v>0</v>
      </c>
      <c r="M15" s="32"/>
      <c r="N15" s="32"/>
      <c r="O15" s="101"/>
    </row>
    <row r="16" spans="1:20" ht="15.75" customHeight="1">
      <c r="A16" s="693" t="s">
        <v>230</v>
      </c>
      <c r="B16" s="32" t="s">
        <v>231</v>
      </c>
      <c r="C16" s="32" t="s">
        <v>231</v>
      </c>
      <c r="D16" s="35" t="s">
        <v>157</v>
      </c>
      <c r="E16" s="35">
        <v>8186</v>
      </c>
      <c r="F16" s="99">
        <f>41300/2</f>
        <v>20650</v>
      </c>
      <c r="G16" s="99"/>
      <c r="H16" s="35">
        <v>1000</v>
      </c>
      <c r="I16" s="98">
        <v>24067</v>
      </c>
      <c r="J16" s="98"/>
      <c r="K16" s="35"/>
      <c r="L16" s="35"/>
      <c r="M16" s="35"/>
      <c r="N16" s="35"/>
      <c r="O16" s="101" t="s">
        <v>462</v>
      </c>
      <c r="R16">
        <f>H16</f>
        <v>1000</v>
      </c>
      <c r="S16" s="103">
        <f t="shared" ref="S16" si="0">ROUND(R16+(T16-R16)/2,-2)</f>
        <v>2000</v>
      </c>
      <c r="T16" s="104">
        <f>ROUND(R16*3,-2)</f>
        <v>3000</v>
      </c>
    </row>
    <row r="17" spans="1:21" ht="20.25" customHeight="1">
      <c r="A17" s="693"/>
      <c r="B17" s="32" t="s">
        <v>232</v>
      </c>
      <c r="C17" s="32" t="s">
        <v>232</v>
      </c>
      <c r="D17" s="35" t="s">
        <v>157</v>
      </c>
      <c r="E17" s="110">
        <f>run!BH46</f>
        <v>317.85000000000002</v>
      </c>
      <c r="F17" s="99">
        <v>0</v>
      </c>
      <c r="G17" s="99"/>
      <c r="H17" s="35">
        <v>0</v>
      </c>
      <c r="I17" s="98"/>
      <c r="J17" s="98"/>
      <c r="K17" s="35"/>
      <c r="L17" s="35"/>
      <c r="M17" s="35"/>
      <c r="N17" s="35"/>
      <c r="O17" s="101" t="s">
        <v>328</v>
      </c>
      <c r="R17">
        <f>H17</f>
        <v>0</v>
      </c>
    </row>
    <row r="18" spans="1:21" ht="40.200000000000003" customHeight="1">
      <c r="A18" s="693"/>
      <c r="B18" s="32" t="s">
        <v>233</v>
      </c>
      <c r="C18" s="32" t="s">
        <v>233</v>
      </c>
      <c r="D18" s="35" t="s">
        <v>157</v>
      </c>
      <c r="E18" s="35">
        <v>1132</v>
      </c>
      <c r="F18" s="99">
        <f>24200/2</f>
        <v>12100</v>
      </c>
      <c r="G18" s="99"/>
      <c r="H18" s="35">
        <v>1000</v>
      </c>
      <c r="I18" s="98">
        <v>2885</v>
      </c>
      <c r="J18" s="98"/>
      <c r="K18" s="35"/>
      <c r="L18" s="35">
        <v>2000</v>
      </c>
      <c r="M18" s="35"/>
      <c r="N18" s="35"/>
      <c r="O18" s="101" t="s">
        <v>463</v>
      </c>
      <c r="R18">
        <f>H18</f>
        <v>1000</v>
      </c>
      <c r="S18" s="103">
        <f t="shared" ref="S18:S19" si="1">ROUND(R18+(T18-R18)/2,-2)</f>
        <v>2000</v>
      </c>
      <c r="T18" s="104">
        <f>ROUND(R18*3,-2)</f>
        <v>3000</v>
      </c>
    </row>
    <row r="19" spans="1:21" ht="54" customHeight="1">
      <c r="A19" s="693"/>
      <c r="B19" s="32" t="s">
        <v>234</v>
      </c>
      <c r="C19" s="32" t="s">
        <v>234</v>
      </c>
      <c r="D19" s="35" t="s">
        <v>157</v>
      </c>
      <c r="E19" s="35">
        <v>5370</v>
      </c>
      <c r="F19" s="99">
        <f>HistoricAbund_Calcs.!F122</f>
        <v>44071.494656587442</v>
      </c>
      <c r="G19" s="99"/>
      <c r="H19" s="35">
        <v>2000</v>
      </c>
      <c r="I19" s="98">
        <v>17411</v>
      </c>
      <c r="J19" s="98">
        <v>26000</v>
      </c>
      <c r="K19" s="35"/>
      <c r="L19" s="35"/>
      <c r="M19" s="35">
        <v>5250</v>
      </c>
      <c r="N19" s="35">
        <v>5250</v>
      </c>
      <c r="O19" s="101" t="s">
        <v>533</v>
      </c>
      <c r="R19">
        <f>H19</f>
        <v>2000</v>
      </c>
      <c r="S19" s="103">
        <f t="shared" si="1"/>
        <v>4000</v>
      </c>
      <c r="T19" s="104">
        <f>ROUND(R19*3,-2)</f>
        <v>6000</v>
      </c>
    </row>
    <row r="20" spans="1:21" ht="54" customHeight="1">
      <c r="A20" s="693"/>
      <c r="B20" s="32" t="s">
        <v>281</v>
      </c>
      <c r="C20" s="32" t="s">
        <v>281</v>
      </c>
      <c r="D20" s="35" t="s">
        <v>157</v>
      </c>
      <c r="E20" s="35">
        <v>526</v>
      </c>
      <c r="F20" s="32">
        <v>0</v>
      </c>
      <c r="G20" s="32"/>
      <c r="H20" s="35">
        <v>0</v>
      </c>
      <c r="I20" s="98">
        <v>1350</v>
      </c>
      <c r="J20" s="98">
        <v>1350</v>
      </c>
      <c r="K20" s="35"/>
      <c r="L20" s="35"/>
      <c r="M20" s="35"/>
      <c r="N20" s="35"/>
      <c r="O20" s="101" t="s">
        <v>464</v>
      </c>
      <c r="P20" s="108"/>
      <c r="Q20" s="20"/>
      <c r="R20" s="20"/>
      <c r="S20" s="20"/>
      <c r="T20" s="20"/>
      <c r="U20" s="20"/>
    </row>
    <row r="21" spans="1:21" ht="24" customHeight="1">
      <c r="A21" s="693"/>
      <c r="B21" s="32" t="s">
        <v>282</v>
      </c>
      <c r="C21" s="32" t="s">
        <v>282</v>
      </c>
      <c r="D21" s="35" t="s">
        <v>157</v>
      </c>
      <c r="E21" s="105">
        <f>21127*0.15</f>
        <v>3169.0499999999997</v>
      </c>
      <c r="F21" s="99"/>
      <c r="G21" s="32"/>
      <c r="H21" s="35"/>
      <c r="I21" s="98"/>
      <c r="J21" s="98"/>
      <c r="K21" s="35"/>
      <c r="L21" s="35"/>
      <c r="M21" s="105"/>
      <c r="N21" s="35"/>
      <c r="O21" s="101" t="s">
        <v>465</v>
      </c>
      <c r="P21" s="20"/>
      <c r="Q21" s="20"/>
      <c r="R21" s="20"/>
      <c r="S21" s="20"/>
      <c r="T21" s="20"/>
      <c r="U21" s="20"/>
    </row>
    <row r="22" spans="1:21" ht="20.25" customHeight="1">
      <c r="A22" s="693"/>
      <c r="B22" s="32" t="s">
        <v>161</v>
      </c>
      <c r="C22" s="32" t="s">
        <v>161</v>
      </c>
      <c r="D22" s="35"/>
      <c r="E22" s="35"/>
      <c r="F22" s="99" t="e">
        <f>CONCATENATE(ROUND(#REF!*0.5,0),"-",ROUND(#REF!*0.5,0))</f>
        <v>#REF!</v>
      </c>
      <c r="G22" s="99"/>
      <c r="H22" s="35"/>
      <c r="I22" s="98" t="s">
        <v>158</v>
      </c>
      <c r="J22" s="98"/>
      <c r="K22" s="35">
        <v>29000</v>
      </c>
      <c r="L22" s="35"/>
      <c r="M22" s="35"/>
      <c r="N22" s="35">
        <v>20000</v>
      </c>
      <c r="O22" s="101" t="s">
        <v>292</v>
      </c>
    </row>
    <row r="23" spans="1:21">
      <c r="A23" s="35" t="s">
        <v>162</v>
      </c>
      <c r="B23" s="35" t="s">
        <v>163</v>
      </c>
      <c r="C23" s="35" t="s">
        <v>163</v>
      </c>
      <c r="D23" s="35"/>
      <c r="E23" s="35">
        <v>0</v>
      </c>
      <c r="F23" s="99" t="e">
        <f>CONCATENATE(ROUND(#REF!*0.5,0),"-",ROUND(#REF!*0.5,0))</f>
        <v>#REF!</v>
      </c>
      <c r="G23" s="99"/>
      <c r="H23" s="35" t="s">
        <v>158</v>
      </c>
      <c r="I23" s="98" t="s">
        <v>158</v>
      </c>
      <c r="J23" s="98"/>
      <c r="K23" s="35" t="s">
        <v>158</v>
      </c>
      <c r="L23" s="35" t="s">
        <v>158</v>
      </c>
      <c r="M23" s="35" t="s">
        <v>158</v>
      </c>
      <c r="N23" s="35" t="s">
        <v>158</v>
      </c>
    </row>
    <row r="26" spans="1:21" ht="16.2">
      <c r="A26" s="7" t="s">
        <v>202</v>
      </c>
    </row>
    <row r="27" spans="1:21" ht="16.2">
      <c r="A27" s="7" t="s">
        <v>203</v>
      </c>
    </row>
    <row r="28" spans="1:21">
      <c r="A28" s="106" t="s">
        <v>430</v>
      </c>
    </row>
    <row r="29" spans="1:21">
      <c r="A29" s="106"/>
    </row>
    <row r="30" spans="1:21">
      <c r="C30" s="32" t="s">
        <v>278</v>
      </c>
    </row>
    <row r="31" spans="1:21">
      <c r="A31" s="693"/>
      <c r="B31" s="32"/>
      <c r="C31" s="32" t="s">
        <v>250</v>
      </c>
      <c r="D31" s="32" t="s">
        <v>159</v>
      </c>
      <c r="E31" s="32">
        <v>0</v>
      </c>
      <c r="F31" s="107" t="s">
        <v>286</v>
      </c>
      <c r="G31" s="107"/>
      <c r="H31" s="32"/>
      <c r="I31" s="99"/>
      <c r="J31" s="99"/>
      <c r="K31" s="32">
        <v>0</v>
      </c>
      <c r="L31" s="32">
        <v>0</v>
      </c>
      <c r="M31" s="32" t="s">
        <v>235</v>
      </c>
      <c r="N31" s="32" t="s">
        <v>235</v>
      </c>
      <c r="O31" s="108"/>
    </row>
    <row r="32" spans="1:21">
      <c r="A32" s="693"/>
      <c r="B32" s="32"/>
      <c r="C32" s="32" t="s">
        <v>251</v>
      </c>
      <c r="D32" s="35" t="s">
        <v>159</v>
      </c>
      <c r="E32" s="35">
        <v>0</v>
      </c>
      <c r="F32" s="107" t="s">
        <v>286</v>
      </c>
      <c r="G32" s="107"/>
      <c r="H32" s="32"/>
      <c r="I32" s="98"/>
      <c r="J32" s="98"/>
      <c r="K32" s="35">
        <v>0</v>
      </c>
      <c r="L32" s="35">
        <v>0</v>
      </c>
      <c r="M32" s="32" t="s">
        <v>235</v>
      </c>
      <c r="N32" s="32" t="s">
        <v>235</v>
      </c>
      <c r="O32" s="108"/>
    </row>
    <row r="33" spans="1:15">
      <c r="A33" s="693"/>
      <c r="B33" s="32"/>
      <c r="C33" s="32" t="s">
        <v>252</v>
      </c>
      <c r="D33" s="35" t="s">
        <v>159</v>
      </c>
      <c r="E33" s="35">
        <v>0</v>
      </c>
      <c r="F33" s="107" t="s">
        <v>286</v>
      </c>
      <c r="G33" s="107"/>
      <c r="H33" s="32"/>
      <c r="I33" s="99"/>
      <c r="J33" s="98"/>
      <c r="K33" s="35">
        <v>0</v>
      </c>
      <c r="L33" s="35">
        <v>0</v>
      </c>
      <c r="M33" s="32" t="s">
        <v>235</v>
      </c>
      <c r="N33" s="32" t="s">
        <v>235</v>
      </c>
      <c r="O33" s="108"/>
    </row>
    <row r="34" spans="1:15">
      <c r="A34" s="693"/>
      <c r="B34" s="32"/>
      <c r="C34" s="32" t="s">
        <v>279</v>
      </c>
      <c r="D34" s="35" t="s">
        <v>159</v>
      </c>
      <c r="E34" s="35">
        <v>0</v>
      </c>
      <c r="F34" s="107" t="s">
        <v>286</v>
      </c>
      <c r="G34" s="107"/>
      <c r="H34" s="32"/>
      <c r="I34" s="99"/>
      <c r="J34" s="98"/>
      <c r="K34" s="35">
        <v>0</v>
      </c>
      <c r="L34" s="35">
        <v>0</v>
      </c>
      <c r="M34" s="32" t="s">
        <v>235</v>
      </c>
      <c r="N34" s="32" t="s">
        <v>235</v>
      </c>
      <c r="O34" s="109"/>
    </row>
    <row r="35" spans="1:15">
      <c r="A35" s="693"/>
      <c r="B35" s="32"/>
      <c r="C35" s="35" t="s">
        <v>161</v>
      </c>
      <c r="D35" s="32" t="s">
        <v>159</v>
      </c>
      <c r="E35" s="35">
        <v>0</v>
      </c>
      <c r="F35" s="107" t="s">
        <v>286</v>
      </c>
      <c r="G35" s="107"/>
      <c r="H35" s="32"/>
      <c r="I35" s="99"/>
      <c r="J35" s="98"/>
      <c r="K35" s="35">
        <v>0</v>
      </c>
      <c r="L35" s="35">
        <v>0</v>
      </c>
      <c r="M35" s="32" t="s">
        <v>235</v>
      </c>
      <c r="N35" s="32" t="s">
        <v>235</v>
      </c>
    </row>
    <row r="36" spans="1:15">
      <c r="A36" s="693"/>
      <c r="B36" s="35" t="s">
        <v>161</v>
      </c>
      <c r="C36" s="32" t="s">
        <v>280</v>
      </c>
      <c r="D36" s="35"/>
      <c r="E36" s="35">
        <v>0</v>
      </c>
      <c r="F36" s="99" t="e">
        <f>CONCATENATE(ROUND(#REF!*0.5,0),"-",ROUND(#REF!*0.5,0))</f>
        <v>#REF!</v>
      </c>
      <c r="G36" s="99"/>
      <c r="H36" s="32" t="s">
        <v>272</v>
      </c>
      <c r="I36" s="98" t="s">
        <v>158</v>
      </c>
      <c r="J36" s="102"/>
      <c r="K36" s="35">
        <v>0</v>
      </c>
      <c r="L36" s="35">
        <v>0</v>
      </c>
      <c r="M36" s="32" t="s">
        <v>235</v>
      </c>
      <c r="N36" s="32" t="s">
        <v>235</v>
      </c>
      <c r="O36" s="108"/>
    </row>
    <row r="37" spans="1:15">
      <c r="A37" s="693"/>
      <c r="B37" s="32"/>
      <c r="C37" s="32" t="s">
        <v>254</v>
      </c>
      <c r="D37" s="35" t="s">
        <v>159</v>
      </c>
      <c r="E37" s="35">
        <v>0</v>
      </c>
      <c r="F37" s="107" t="s">
        <v>286</v>
      </c>
      <c r="G37" s="107"/>
      <c r="H37" s="32" t="s">
        <v>272</v>
      </c>
      <c r="I37" s="99" t="s">
        <v>290</v>
      </c>
      <c r="J37" s="98"/>
      <c r="K37" s="35">
        <v>0</v>
      </c>
      <c r="L37" s="35">
        <v>0</v>
      </c>
      <c r="M37" s="32"/>
      <c r="N37" s="32" t="s">
        <v>235</v>
      </c>
    </row>
    <row r="38" spans="1:15">
      <c r="A38" s="693"/>
      <c r="B38" s="32"/>
      <c r="C38" s="35" t="s">
        <v>161</v>
      </c>
      <c r="D38" s="35" t="s">
        <v>159</v>
      </c>
      <c r="E38" s="35">
        <v>0</v>
      </c>
      <c r="F38" s="107" t="s">
        <v>286</v>
      </c>
      <c r="G38" s="107"/>
      <c r="H38" s="32" t="s">
        <v>272</v>
      </c>
      <c r="I38" s="99" t="s">
        <v>290</v>
      </c>
      <c r="J38" s="98"/>
      <c r="K38" s="35">
        <v>0</v>
      </c>
      <c r="L38" s="35">
        <v>0</v>
      </c>
      <c r="M38" s="32"/>
      <c r="N38" s="32" t="s">
        <v>235</v>
      </c>
    </row>
    <row r="39" spans="1:15">
      <c r="A39" s="693"/>
      <c r="B39" s="35" t="s">
        <v>161</v>
      </c>
      <c r="C39" s="32" t="s">
        <v>231</v>
      </c>
      <c r="D39" s="35"/>
      <c r="E39" s="35">
        <v>0</v>
      </c>
      <c r="F39" s="99" t="e">
        <f>CONCATENATE(ROUND(#REF!*0.5,0),"-",ROUND(#REF!*0.5,0))</f>
        <v>#REF!</v>
      </c>
      <c r="G39" s="99"/>
      <c r="H39" s="32" t="s">
        <v>272</v>
      </c>
      <c r="I39" s="99" t="s">
        <v>290</v>
      </c>
      <c r="J39" s="102" t="e">
        <f>#REF!+#REF!</f>
        <v>#REF!</v>
      </c>
      <c r="K39" s="35">
        <v>0</v>
      </c>
      <c r="L39" s="35">
        <v>0</v>
      </c>
      <c r="M39" s="32"/>
      <c r="N39" s="32"/>
    </row>
    <row r="40" spans="1:15">
      <c r="A40" s="693"/>
      <c r="B40" s="32"/>
      <c r="C40" s="32" t="s">
        <v>232</v>
      </c>
      <c r="D40" s="35" t="s">
        <v>159</v>
      </c>
      <c r="E40" s="35">
        <v>9219</v>
      </c>
      <c r="F40" s="107" t="s">
        <v>286</v>
      </c>
      <c r="G40" s="107"/>
      <c r="H40" s="35"/>
      <c r="I40" s="98">
        <v>24067</v>
      </c>
      <c r="J40" s="98"/>
      <c r="K40" s="35">
        <v>13500</v>
      </c>
      <c r="L40" s="35">
        <v>13500</v>
      </c>
      <c r="M40" s="35"/>
      <c r="N40" s="35"/>
    </row>
    <row r="41" spans="1:15">
      <c r="A41" s="693"/>
      <c r="B41" s="32"/>
      <c r="C41" s="32" t="s">
        <v>233</v>
      </c>
      <c r="D41" s="35" t="s">
        <v>159</v>
      </c>
      <c r="E41" s="35">
        <v>489</v>
      </c>
      <c r="F41" s="107" t="s">
        <v>286</v>
      </c>
      <c r="G41" s="107"/>
      <c r="H41" s="35"/>
      <c r="I41" s="98">
        <v>2885</v>
      </c>
      <c r="J41" s="98"/>
      <c r="K41" s="35">
        <v>1000</v>
      </c>
      <c r="L41" s="35"/>
      <c r="M41" s="35">
        <v>2000</v>
      </c>
      <c r="N41" s="35"/>
    </row>
    <row r="42" spans="1:15">
      <c r="A42" s="693"/>
      <c r="B42" s="32"/>
      <c r="C42" s="32" t="s">
        <v>234</v>
      </c>
      <c r="D42" s="35" t="s">
        <v>159</v>
      </c>
      <c r="E42" s="35">
        <v>1821</v>
      </c>
      <c r="F42" s="35"/>
      <c r="G42" s="35"/>
      <c r="H42" s="35"/>
      <c r="I42" s="98">
        <v>16000</v>
      </c>
      <c r="J42" s="98">
        <v>26000</v>
      </c>
      <c r="K42" s="35">
        <v>2500</v>
      </c>
      <c r="L42" s="35">
        <v>3500</v>
      </c>
      <c r="M42" s="35">
        <v>7500</v>
      </c>
      <c r="N42" s="35">
        <v>7500</v>
      </c>
    </row>
    <row r="43" spans="1:15">
      <c r="A43" s="693"/>
      <c r="B43" s="32"/>
      <c r="C43" s="32" t="s">
        <v>281</v>
      </c>
      <c r="D43" s="35" t="s">
        <v>159</v>
      </c>
      <c r="E43" s="35">
        <f>5370+2624</f>
        <v>7994</v>
      </c>
      <c r="F43" s="107" t="s">
        <v>286</v>
      </c>
      <c r="G43" s="107"/>
      <c r="H43" s="35"/>
    </row>
    <row r="44" spans="1:15">
      <c r="A44" s="693"/>
      <c r="B44" s="32"/>
      <c r="C44" s="32" t="s">
        <v>282</v>
      </c>
      <c r="D44" s="35" t="s">
        <v>159</v>
      </c>
      <c r="E44" s="35">
        <v>816</v>
      </c>
      <c r="F44" s="107" t="s">
        <v>286</v>
      </c>
      <c r="G44" s="107"/>
      <c r="H44" s="35">
        <v>0</v>
      </c>
      <c r="I44" s="98"/>
      <c r="J44" s="98"/>
      <c r="K44" s="35"/>
      <c r="L44" s="35"/>
      <c r="M44" s="35"/>
      <c r="N44" s="35"/>
    </row>
    <row r="45" spans="1:15" ht="22.5" customHeight="1">
      <c r="A45" s="693"/>
      <c r="B45" s="32"/>
      <c r="C45" s="32" t="s">
        <v>161</v>
      </c>
      <c r="D45" s="35" t="s">
        <v>159</v>
      </c>
      <c r="E45" s="35">
        <v>7000</v>
      </c>
      <c r="F45" s="107" t="s">
        <v>286</v>
      </c>
      <c r="G45" s="107"/>
      <c r="H45" s="35"/>
      <c r="I45" s="98"/>
      <c r="J45" s="98"/>
      <c r="K45" s="35">
        <v>0</v>
      </c>
      <c r="L45" s="35"/>
      <c r="M45" s="110"/>
      <c r="N45" s="35"/>
      <c r="O45" s="20" t="s">
        <v>284</v>
      </c>
    </row>
    <row r="46" spans="1:15" ht="57.6">
      <c r="A46" s="693"/>
      <c r="B46" s="32" t="s">
        <v>161</v>
      </c>
      <c r="C46" s="35" t="s">
        <v>163</v>
      </c>
      <c r="D46" s="35"/>
      <c r="E46" s="35"/>
      <c r="F46" s="99" t="e">
        <f>CONCATENATE(ROUND(#REF!*0.5,0),"-",ROUND(#REF!*0.5,0))</f>
        <v>#REF!</v>
      </c>
      <c r="G46" s="99"/>
      <c r="H46" s="35"/>
      <c r="I46" s="98" t="s">
        <v>158</v>
      </c>
      <c r="J46" s="98"/>
      <c r="K46" s="35">
        <v>29000</v>
      </c>
      <c r="L46" s="35"/>
      <c r="M46" s="35"/>
      <c r="N46" s="35">
        <v>20000</v>
      </c>
      <c r="O46" s="20" t="s">
        <v>292</v>
      </c>
    </row>
    <row r="47" spans="1:15">
      <c r="A47" s="35" t="s">
        <v>162</v>
      </c>
      <c r="B47" s="35" t="s">
        <v>163</v>
      </c>
      <c r="C47" s="35"/>
      <c r="D47" s="35"/>
      <c r="E47" s="35">
        <v>0</v>
      </c>
      <c r="F47" s="99" t="e">
        <f>CONCATENATE(ROUND(#REF!*0.5,0),"-",ROUND(#REF!*0.5,0))</f>
        <v>#REF!</v>
      </c>
      <c r="G47" s="99"/>
      <c r="H47" s="35" t="s">
        <v>158</v>
      </c>
      <c r="I47" s="98" t="s">
        <v>158</v>
      </c>
      <c r="J47" s="98"/>
      <c r="K47" s="35" t="s">
        <v>158</v>
      </c>
      <c r="L47" s="35" t="s">
        <v>158</v>
      </c>
      <c r="M47" s="35" t="s">
        <v>158</v>
      </c>
      <c r="N47" s="35" t="s">
        <v>158</v>
      </c>
    </row>
  </sheetData>
  <mergeCells count="12">
    <mergeCell ref="A1:K4"/>
    <mergeCell ref="A8:A13"/>
    <mergeCell ref="A14:A15"/>
    <mergeCell ref="A6:D7"/>
    <mergeCell ref="E6:F6"/>
    <mergeCell ref="H6:J6"/>
    <mergeCell ref="K6:N6"/>
    <mergeCell ref="A40:A46"/>
    <mergeCell ref="A37:A39"/>
    <mergeCell ref="A31:A36"/>
    <mergeCell ref="O6:O7"/>
    <mergeCell ref="A16:A22"/>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118"/>
  <sheetViews>
    <sheetView topLeftCell="A26" zoomScaleNormal="100" workbookViewId="0">
      <selection activeCell="H53" sqref="H53"/>
    </sheetView>
  </sheetViews>
  <sheetFormatPr defaultRowHeight="14.4"/>
  <cols>
    <col min="2" max="2" width="11.109375" customWidth="1"/>
    <col min="3" max="3" width="8.44140625" customWidth="1"/>
    <col min="4" max="4" width="10.33203125" customWidth="1"/>
    <col min="5" max="5" width="10.44140625" customWidth="1"/>
    <col min="7" max="7" width="10.33203125" customWidth="1"/>
    <col min="12" max="12" width="11.5546875" bestFit="1" customWidth="1"/>
    <col min="13" max="13" width="9.21875" customWidth="1"/>
    <col min="19" max="19" width="13.21875" customWidth="1"/>
  </cols>
  <sheetData>
    <row r="1" spans="1:13">
      <c r="A1" s="686" t="s">
        <v>266</v>
      </c>
      <c r="B1" s="686"/>
      <c r="C1" s="686"/>
      <c r="D1" s="686"/>
      <c r="E1" s="686"/>
    </row>
    <row r="2" spans="1:13">
      <c r="A2" s="686"/>
      <c r="B2" s="686"/>
      <c r="C2" s="686"/>
      <c r="D2" s="686"/>
      <c r="E2" s="686"/>
    </row>
    <row r="3" spans="1:13">
      <c r="A3" s="686"/>
      <c r="B3" s="686"/>
      <c r="C3" s="686"/>
      <c r="D3" s="686"/>
      <c r="E3" s="686"/>
    </row>
    <row r="4" spans="1:13" ht="15" thickBot="1"/>
    <row r="5" spans="1:13" ht="15" thickBot="1">
      <c r="A5" s="704" t="s">
        <v>146</v>
      </c>
      <c r="B5" s="705"/>
      <c r="C5" s="706"/>
      <c r="D5" s="460" t="s">
        <v>165</v>
      </c>
      <c r="E5" s="695" t="s">
        <v>148</v>
      </c>
      <c r="F5" s="696"/>
      <c r="G5" s="697"/>
      <c r="H5" s="695" t="s">
        <v>149</v>
      </c>
      <c r="I5" s="696"/>
      <c r="J5" s="696"/>
      <c r="K5" s="696"/>
      <c r="L5" s="697"/>
    </row>
    <row r="6" spans="1:13" ht="31.2" thickBot="1">
      <c r="A6" s="707"/>
      <c r="B6" s="708"/>
      <c r="C6" s="709"/>
      <c r="D6" s="5" t="s">
        <v>150</v>
      </c>
      <c r="E6" s="5" t="s">
        <v>166</v>
      </c>
      <c r="F6" s="5" t="s">
        <v>167</v>
      </c>
      <c r="G6" s="5" t="s">
        <v>168</v>
      </c>
      <c r="H6" s="5" t="s">
        <v>169</v>
      </c>
      <c r="I6" s="5" t="s">
        <v>170</v>
      </c>
      <c r="J6" s="5"/>
      <c r="K6" s="5" t="s">
        <v>171</v>
      </c>
      <c r="L6" s="5" t="s">
        <v>155</v>
      </c>
    </row>
    <row r="7" spans="1:13" ht="19.8" customHeight="1" thickBot="1">
      <c r="A7" s="698" t="s">
        <v>172</v>
      </c>
      <c r="B7" s="701" t="s">
        <v>162</v>
      </c>
      <c r="C7" s="6" t="s">
        <v>173</v>
      </c>
      <c r="D7" s="6" t="s">
        <v>158</v>
      </c>
      <c r="E7" s="6" t="s">
        <v>158</v>
      </c>
      <c r="F7" s="6" t="s">
        <v>158</v>
      </c>
      <c r="G7" s="6" t="s">
        <v>158</v>
      </c>
      <c r="H7" s="6" t="s">
        <v>158</v>
      </c>
      <c r="I7" s="6" t="s">
        <v>158</v>
      </c>
      <c r="J7" s="6"/>
      <c r="K7" s="6" t="s">
        <v>158</v>
      </c>
      <c r="L7" s="17" t="s">
        <v>291</v>
      </c>
      <c r="M7" s="27" t="s">
        <v>329</v>
      </c>
    </row>
    <row r="8" spans="1:13" ht="29.4" thickBot="1">
      <c r="A8" s="699"/>
      <c r="B8" s="702"/>
      <c r="C8" s="6" t="s">
        <v>174</v>
      </c>
      <c r="D8" s="6" t="s">
        <v>158</v>
      </c>
      <c r="E8" s="6" t="s">
        <v>158</v>
      </c>
      <c r="F8" s="6" t="s">
        <v>158</v>
      </c>
      <c r="G8" s="6" t="s">
        <v>158</v>
      </c>
      <c r="H8" s="6" t="s">
        <v>158</v>
      </c>
      <c r="I8" s="6" t="s">
        <v>158</v>
      </c>
      <c r="J8" s="6"/>
      <c r="K8" s="6" t="s">
        <v>158</v>
      </c>
      <c r="L8" s="16" t="e">
        <f>#REF!</f>
        <v>#REF!</v>
      </c>
    </row>
    <row r="9" spans="1:13" ht="14.4" customHeight="1" thickBot="1">
      <c r="A9" s="699"/>
      <c r="B9" s="702"/>
      <c r="C9" s="6" t="s">
        <v>175</v>
      </c>
      <c r="D9" s="6" t="s">
        <v>158</v>
      </c>
      <c r="E9" s="6" t="s">
        <v>158</v>
      </c>
      <c r="F9" s="6" t="s">
        <v>158</v>
      </c>
      <c r="G9" s="6" t="s">
        <v>158</v>
      </c>
      <c r="H9" s="6" t="s">
        <v>158</v>
      </c>
      <c r="I9" s="6" t="s">
        <v>158</v>
      </c>
      <c r="J9" s="6"/>
      <c r="K9" s="6" t="s">
        <v>158</v>
      </c>
      <c r="L9" s="6" t="s">
        <v>158</v>
      </c>
    </row>
    <row r="10" spans="1:13" ht="15.6" customHeight="1" thickBot="1">
      <c r="A10" s="700"/>
      <c r="B10" s="703"/>
      <c r="C10" s="6" t="s">
        <v>176</v>
      </c>
      <c r="D10" s="6" t="s">
        <v>158</v>
      </c>
      <c r="E10" s="6" t="s">
        <v>158</v>
      </c>
      <c r="F10" s="6" t="s">
        <v>158</v>
      </c>
      <c r="G10" s="6" t="s">
        <v>158</v>
      </c>
      <c r="H10" s="6" t="s">
        <v>158</v>
      </c>
      <c r="I10" s="6" t="s">
        <v>158</v>
      </c>
      <c r="J10" s="6"/>
      <c r="K10" s="6" t="s">
        <v>158</v>
      </c>
      <c r="L10" s="6" t="s">
        <v>158</v>
      </c>
    </row>
    <row r="11" spans="1:13" ht="14.4" customHeight="1" thickBot="1">
      <c r="A11" s="698" t="s">
        <v>177</v>
      </c>
      <c r="B11" s="6" t="s">
        <v>178</v>
      </c>
      <c r="C11" s="6" t="s">
        <v>160</v>
      </c>
      <c r="D11" s="6">
        <v>5581</v>
      </c>
      <c r="E11" s="6" t="s">
        <v>158</v>
      </c>
      <c r="F11" s="6" t="s">
        <v>158</v>
      </c>
      <c r="G11" s="6" t="s">
        <v>158</v>
      </c>
      <c r="H11" s="6" t="s">
        <v>158</v>
      </c>
      <c r="I11" s="6" t="s">
        <v>158</v>
      </c>
      <c r="J11" s="6"/>
      <c r="K11" s="6" t="s">
        <v>158</v>
      </c>
      <c r="L11" s="16" t="e">
        <f>#REF!</f>
        <v>#REF!</v>
      </c>
      <c r="M11" s="27" t="s">
        <v>327</v>
      </c>
    </row>
    <row r="12" spans="1:13" ht="16.8" customHeight="1" thickBot="1">
      <c r="A12" s="699"/>
      <c r="B12" s="6" t="s">
        <v>179</v>
      </c>
      <c r="C12" s="6" t="s">
        <v>160</v>
      </c>
      <c r="D12" s="6">
        <f>1544+1516+199</f>
        <v>3259</v>
      </c>
      <c r="E12" s="6" t="s">
        <v>158</v>
      </c>
      <c r="F12" s="6" t="s">
        <v>158</v>
      </c>
      <c r="G12" s="6" t="s">
        <v>158</v>
      </c>
      <c r="H12" s="6" t="s">
        <v>158</v>
      </c>
      <c r="I12" s="6" t="s">
        <v>158</v>
      </c>
      <c r="J12" s="6"/>
      <c r="K12" s="6" t="s">
        <v>158</v>
      </c>
      <c r="L12" s="6" t="s">
        <v>158</v>
      </c>
      <c r="M12" s="27"/>
    </row>
    <row r="13" spans="1:13" ht="15" customHeight="1" thickBot="1">
      <c r="A13" s="699"/>
      <c r="B13" s="6" t="s">
        <v>180</v>
      </c>
      <c r="C13" s="6" t="s">
        <v>160</v>
      </c>
      <c r="D13" s="6">
        <v>20099</v>
      </c>
      <c r="E13" s="6" t="s">
        <v>158</v>
      </c>
      <c r="F13" s="6" t="s">
        <v>158</v>
      </c>
      <c r="G13" s="6" t="s">
        <v>158</v>
      </c>
      <c r="H13" s="6" t="s">
        <v>158</v>
      </c>
      <c r="I13" s="6" t="s">
        <v>158</v>
      </c>
      <c r="J13" s="6"/>
      <c r="K13" s="17" t="s">
        <v>330</v>
      </c>
      <c r="L13" s="6" t="s">
        <v>158</v>
      </c>
      <c r="M13" s="27" t="s">
        <v>331</v>
      </c>
    </row>
    <row r="14" spans="1:13" ht="13.2" customHeight="1" thickBot="1">
      <c r="A14" s="699"/>
      <c r="B14" s="6" t="s">
        <v>181</v>
      </c>
      <c r="C14" s="6" t="s">
        <v>160</v>
      </c>
      <c r="D14" s="6">
        <v>689</v>
      </c>
      <c r="E14" s="6" t="s">
        <v>158</v>
      </c>
      <c r="F14" s="6" t="s">
        <v>158</v>
      </c>
      <c r="G14" s="6" t="s">
        <v>158</v>
      </c>
      <c r="H14" s="6" t="s">
        <v>158</v>
      </c>
      <c r="I14" s="6" t="s">
        <v>158</v>
      </c>
      <c r="J14" s="6"/>
      <c r="K14" s="6" t="s">
        <v>158</v>
      </c>
      <c r="L14" s="6" t="s">
        <v>158</v>
      </c>
    </row>
    <row r="15" spans="1:13" ht="16.8" customHeight="1" thickBot="1">
      <c r="A15" s="699"/>
      <c r="B15" s="6" t="s">
        <v>182</v>
      </c>
      <c r="C15" s="6" t="s">
        <v>160</v>
      </c>
      <c r="D15" s="6">
        <v>3049</v>
      </c>
      <c r="E15" s="6" t="s">
        <v>158</v>
      </c>
      <c r="F15" s="6" t="s">
        <v>158</v>
      </c>
      <c r="G15" s="6" t="s">
        <v>158</v>
      </c>
      <c r="H15" s="6" t="s">
        <v>158</v>
      </c>
      <c r="I15" s="6" t="s">
        <v>158</v>
      </c>
      <c r="J15" s="6"/>
      <c r="K15" s="6" t="s">
        <v>158</v>
      </c>
      <c r="L15" s="6" t="s">
        <v>158</v>
      </c>
    </row>
    <row r="16" spans="1:13" ht="15" thickBot="1">
      <c r="A16" s="699"/>
      <c r="B16" s="6" t="s">
        <v>183</v>
      </c>
      <c r="C16" s="6" t="s">
        <v>160</v>
      </c>
      <c r="D16" s="6">
        <v>4102</v>
      </c>
      <c r="E16" s="6" t="s">
        <v>158</v>
      </c>
      <c r="F16" s="6" t="s">
        <v>158</v>
      </c>
      <c r="G16" s="6" t="s">
        <v>158</v>
      </c>
      <c r="H16" s="6" t="s">
        <v>158</v>
      </c>
      <c r="I16" s="6" t="s">
        <v>158</v>
      </c>
      <c r="J16" s="6"/>
      <c r="K16" s="6" t="s">
        <v>158</v>
      </c>
      <c r="L16" s="6" t="s">
        <v>158</v>
      </c>
    </row>
    <row r="17" spans="1:12" ht="15" thickBot="1">
      <c r="A17" s="699"/>
      <c r="B17" s="6" t="s">
        <v>184</v>
      </c>
      <c r="C17" s="6" t="s">
        <v>160</v>
      </c>
      <c r="D17" s="17">
        <f>6001+837</f>
        <v>6838</v>
      </c>
      <c r="E17" s="6" t="s">
        <v>158</v>
      </c>
      <c r="F17" s="6" t="s">
        <v>158</v>
      </c>
      <c r="G17" s="6" t="s">
        <v>158</v>
      </c>
      <c r="H17" s="6" t="s">
        <v>158</v>
      </c>
      <c r="I17" s="6" t="s">
        <v>158</v>
      </c>
      <c r="J17" s="6"/>
      <c r="K17" s="6" t="s">
        <v>158</v>
      </c>
      <c r="L17" s="6" t="s">
        <v>158</v>
      </c>
    </row>
    <row r="18" spans="1:12" ht="15" thickBot="1">
      <c r="A18" s="700"/>
      <c r="B18" s="6" t="s">
        <v>185</v>
      </c>
      <c r="C18" s="6" t="s">
        <v>160</v>
      </c>
      <c r="D18" s="6">
        <v>26879</v>
      </c>
      <c r="E18" s="6" t="s">
        <v>158</v>
      </c>
      <c r="F18" s="6" t="s">
        <v>158</v>
      </c>
      <c r="G18" s="6" t="s">
        <v>158</v>
      </c>
      <c r="H18" s="6" t="s">
        <v>158</v>
      </c>
      <c r="I18" s="6" t="s">
        <v>158</v>
      </c>
      <c r="J18" s="6"/>
      <c r="K18" s="6" t="s">
        <v>158</v>
      </c>
      <c r="L18" s="6" t="s">
        <v>158</v>
      </c>
    </row>
    <row r="20" spans="1:12" ht="16.2">
      <c r="A20" s="7" t="s">
        <v>199</v>
      </c>
    </row>
    <row r="21" spans="1:12" ht="16.2">
      <c r="A21" s="7" t="s">
        <v>200</v>
      </c>
    </row>
    <row r="22" spans="1:12" ht="16.2">
      <c r="A22" s="7" t="s">
        <v>201</v>
      </c>
    </row>
    <row r="25" spans="1:12">
      <c r="D25">
        <f>SUM(D11:D18)</f>
        <v>70496</v>
      </c>
    </row>
    <row r="35" spans="2:39">
      <c r="D35" s="510" t="s">
        <v>574</v>
      </c>
    </row>
    <row r="36" spans="2:39">
      <c r="K36" s="57" t="s">
        <v>385</v>
      </c>
    </row>
    <row r="37" spans="2:39">
      <c r="C37" t="s">
        <v>694</v>
      </c>
      <c r="D37" t="s">
        <v>700</v>
      </c>
      <c r="E37" t="s">
        <v>699</v>
      </c>
      <c r="F37" s="15"/>
      <c r="L37" s="58" t="s">
        <v>386</v>
      </c>
      <c r="M37" s="59" t="s">
        <v>387</v>
      </c>
      <c r="N37" s="60"/>
      <c r="O37" s="61" t="s">
        <v>388</v>
      </c>
      <c r="P37" s="62"/>
      <c r="Q37" s="711" t="s">
        <v>389</v>
      </c>
      <c r="R37" s="712"/>
      <c r="S37" s="713" t="s">
        <v>390</v>
      </c>
      <c r="T37" s="714"/>
      <c r="U37" s="713" t="s">
        <v>391</v>
      </c>
      <c r="V37" s="714"/>
      <c r="W37" s="63" t="s">
        <v>392</v>
      </c>
      <c r="X37" s="64" t="s">
        <v>393</v>
      </c>
      <c r="Y37" s="65" t="s">
        <v>389</v>
      </c>
      <c r="Z37" s="715" t="s">
        <v>394</v>
      </c>
      <c r="AA37" s="716"/>
      <c r="AB37" s="715" t="s">
        <v>395</v>
      </c>
      <c r="AC37" s="716"/>
      <c r="AD37" s="715" t="s">
        <v>396</v>
      </c>
      <c r="AE37" s="716"/>
      <c r="AF37" s="60"/>
      <c r="AG37" s="710" t="s">
        <v>397</v>
      </c>
      <c r="AH37" s="710"/>
      <c r="AI37" s="62"/>
    </row>
    <row r="38" spans="2:39">
      <c r="B38" t="s">
        <v>415</v>
      </c>
      <c r="D38" s="91">
        <f>E38</f>
        <v>0.1328</v>
      </c>
      <c r="E38" s="91">
        <f>SUM(N74:P74)</f>
        <v>0.1328</v>
      </c>
      <c r="K38" s="66"/>
      <c r="L38" s="67" t="s">
        <v>398</v>
      </c>
      <c r="M38" s="68" t="s">
        <v>399</v>
      </c>
      <c r="N38" s="69" t="s">
        <v>400</v>
      </c>
      <c r="O38" s="70" t="s">
        <v>401</v>
      </c>
      <c r="P38" s="71" t="s">
        <v>374</v>
      </c>
      <c r="Q38" s="69" t="s">
        <v>400</v>
      </c>
      <c r="R38" s="71" t="s">
        <v>374</v>
      </c>
      <c r="S38" s="69" t="s">
        <v>400</v>
      </c>
      <c r="T38" s="71" t="s">
        <v>374</v>
      </c>
      <c r="U38" s="72" t="s">
        <v>400</v>
      </c>
      <c r="V38" s="71" t="s">
        <v>374</v>
      </c>
      <c r="W38" s="69" t="s">
        <v>400</v>
      </c>
      <c r="X38" s="70" t="s">
        <v>401</v>
      </c>
      <c r="Y38" s="73" t="s">
        <v>374</v>
      </c>
      <c r="Z38" s="69" t="s">
        <v>400</v>
      </c>
      <c r="AA38" s="71" t="s">
        <v>374</v>
      </c>
      <c r="AB38" s="72" t="s">
        <v>400</v>
      </c>
      <c r="AC38" s="71" t="s">
        <v>374</v>
      </c>
      <c r="AD38" s="69" t="s">
        <v>401</v>
      </c>
      <c r="AE38" s="71" t="s">
        <v>374</v>
      </c>
      <c r="AF38" s="72" t="s">
        <v>400</v>
      </c>
      <c r="AG38" s="70" t="s">
        <v>401</v>
      </c>
      <c r="AH38" s="74" t="s">
        <v>374</v>
      </c>
      <c r="AI38" s="71" t="s">
        <v>402</v>
      </c>
      <c r="AJ38" s="67" t="s">
        <v>403</v>
      </c>
      <c r="AK38" s="75" t="s">
        <v>378</v>
      </c>
      <c r="AL38" s="75" t="s">
        <v>404</v>
      </c>
      <c r="AM38" s="75" t="s">
        <v>405</v>
      </c>
    </row>
    <row r="39" spans="2:39">
      <c r="B39" t="s">
        <v>393</v>
      </c>
      <c r="D39" s="91">
        <f>E39</f>
        <v>0.15640000000000001</v>
      </c>
      <c r="E39" s="91">
        <f>SUM(Q74:Y74)</f>
        <v>0.15640000000000001</v>
      </c>
      <c r="F39" s="488"/>
      <c r="K39" s="76">
        <v>1979</v>
      </c>
      <c r="L39" s="77">
        <v>196</v>
      </c>
      <c r="M39" s="78" t="s">
        <v>406</v>
      </c>
      <c r="N39" s="79">
        <v>0.153</v>
      </c>
      <c r="O39" s="79">
        <v>0</v>
      </c>
      <c r="P39" s="79">
        <v>0.01</v>
      </c>
      <c r="Q39" s="79">
        <v>8.2000000000000003E-2</v>
      </c>
      <c r="R39" s="79">
        <v>0</v>
      </c>
      <c r="S39" s="79">
        <v>0.17899999999999999</v>
      </c>
      <c r="T39" s="79">
        <v>0</v>
      </c>
      <c r="U39" s="79">
        <v>2.5999999999999999E-2</v>
      </c>
      <c r="V39" s="79">
        <v>4.5999999999999999E-2</v>
      </c>
      <c r="W39" s="80">
        <v>3.5999999999999997E-2</v>
      </c>
      <c r="X39" s="79">
        <v>0.10199999999999999</v>
      </c>
      <c r="Y39" s="79">
        <v>1.4999999999999999E-2</v>
      </c>
      <c r="Z39" s="79">
        <v>0</v>
      </c>
      <c r="AA39" s="79">
        <v>2.5999999999999999E-2</v>
      </c>
      <c r="AB39" s="79">
        <v>0</v>
      </c>
      <c r="AC39" s="79">
        <v>1.4999999999999999E-2</v>
      </c>
      <c r="AD39" s="79">
        <v>0</v>
      </c>
      <c r="AE39" s="79">
        <v>0</v>
      </c>
      <c r="AF39" s="79">
        <v>0</v>
      </c>
      <c r="AG39" s="79">
        <v>4.1000000000000002E-2</v>
      </c>
      <c r="AH39" s="79">
        <v>0</v>
      </c>
      <c r="AI39" s="79">
        <v>3.5999999999999997E-2</v>
      </c>
      <c r="AJ39" s="79">
        <v>0.23499999999999999</v>
      </c>
      <c r="AK39" s="81"/>
      <c r="AL39" s="81"/>
      <c r="AM39" s="81"/>
    </row>
    <row r="40" spans="2:39">
      <c r="B40" t="s">
        <v>184</v>
      </c>
      <c r="D40" s="91">
        <f>E40</f>
        <v>6.7299999999999999E-2</v>
      </c>
      <c r="E40" s="91">
        <f>SUM(Z74:AE74)</f>
        <v>6.7299999999999999E-2</v>
      </c>
      <c r="F40" s="488"/>
      <c r="K40" s="82">
        <v>1980</v>
      </c>
      <c r="L40" s="83">
        <v>333</v>
      </c>
      <c r="M40" s="84" t="s">
        <v>407</v>
      </c>
      <c r="N40" s="81">
        <v>0.33600000000000002</v>
      </c>
      <c r="O40" s="81">
        <v>0</v>
      </c>
      <c r="P40" s="81">
        <v>8.9999999999999993E-3</v>
      </c>
      <c r="Q40" s="81">
        <v>0.09</v>
      </c>
      <c r="R40" s="81">
        <v>0</v>
      </c>
      <c r="S40" s="81">
        <v>0.17699999999999999</v>
      </c>
      <c r="T40" s="81">
        <v>0</v>
      </c>
      <c r="U40" s="81">
        <v>0</v>
      </c>
      <c r="V40" s="81">
        <v>0</v>
      </c>
      <c r="W40" s="85">
        <v>4.2000000000000003E-2</v>
      </c>
      <c r="X40" s="81">
        <v>1.2E-2</v>
      </c>
      <c r="Y40" s="81">
        <v>0</v>
      </c>
      <c r="Z40" s="81">
        <v>1.7999999999999999E-2</v>
      </c>
      <c r="AA40" s="81">
        <v>0</v>
      </c>
      <c r="AB40" s="81">
        <v>0</v>
      </c>
      <c r="AC40" s="81">
        <v>0</v>
      </c>
      <c r="AD40" s="81">
        <v>0</v>
      </c>
      <c r="AE40" s="81">
        <v>0</v>
      </c>
      <c r="AF40" s="81">
        <v>0</v>
      </c>
      <c r="AG40" s="81">
        <v>6.0000000000000001E-3</v>
      </c>
      <c r="AH40" s="81">
        <v>0</v>
      </c>
      <c r="AI40" s="81">
        <v>1.7999999999999999E-2</v>
      </c>
      <c r="AJ40" s="81">
        <v>0.29099999999999998</v>
      </c>
      <c r="AK40" s="81"/>
      <c r="AL40" s="81"/>
      <c r="AM40" s="81"/>
    </row>
    <row r="41" spans="2:39">
      <c r="B41" t="s">
        <v>416</v>
      </c>
      <c r="C41" s="91">
        <f>run!$Y$46</f>
        <v>0.1014923196613909</v>
      </c>
      <c r="D41" s="91">
        <f>C41*(1-SUM(D$38:D$40))</f>
        <v>6.5310307702105039E-2</v>
      </c>
      <c r="E41" s="91">
        <f>AH74</f>
        <v>0.10599999999999998</v>
      </c>
      <c r="F41" s="15">
        <f>run!F46+run!L46+run!O46+run!U46</f>
        <v>7565</v>
      </c>
      <c r="G41" s="92"/>
      <c r="I41" s="92">
        <f>F41/SUM(F$41:F$44)</f>
        <v>0.24379815940177871</v>
      </c>
      <c r="J41" s="92"/>
      <c r="K41" s="82">
        <v>1981</v>
      </c>
      <c r="L41" s="83">
        <v>296</v>
      </c>
      <c r="M41" s="84" t="s">
        <v>408</v>
      </c>
      <c r="N41" s="86" t="s">
        <v>409</v>
      </c>
      <c r="O41" s="86" t="s">
        <v>410</v>
      </c>
      <c r="P41" s="86" t="s">
        <v>411</v>
      </c>
      <c r="Q41" s="86" t="s">
        <v>411</v>
      </c>
      <c r="R41" s="86" t="s">
        <v>411</v>
      </c>
      <c r="S41" s="86" t="s">
        <v>411</v>
      </c>
      <c r="T41" s="86" t="s">
        <v>411</v>
      </c>
      <c r="U41" s="86" t="s">
        <v>411</v>
      </c>
      <c r="V41" s="86" t="s">
        <v>411</v>
      </c>
      <c r="W41" s="87" t="s">
        <v>411</v>
      </c>
      <c r="X41" s="86" t="s">
        <v>411</v>
      </c>
      <c r="Y41" s="86" t="s">
        <v>411</v>
      </c>
      <c r="Z41" s="86" t="s">
        <v>411</v>
      </c>
      <c r="AA41" s="86" t="s">
        <v>411</v>
      </c>
      <c r="AB41" s="86" t="s">
        <v>411</v>
      </c>
      <c r="AC41" s="86" t="s">
        <v>411</v>
      </c>
      <c r="AD41" s="86" t="s">
        <v>411</v>
      </c>
      <c r="AE41" s="86" t="s">
        <v>411</v>
      </c>
      <c r="AF41" s="86" t="s">
        <v>411</v>
      </c>
      <c r="AG41" s="86" t="s">
        <v>411</v>
      </c>
      <c r="AH41" s="86" t="s">
        <v>411</v>
      </c>
      <c r="AI41" s="86" t="s">
        <v>411</v>
      </c>
      <c r="AJ41" s="86" t="s">
        <v>411</v>
      </c>
      <c r="AK41" s="86"/>
      <c r="AL41" s="86"/>
      <c r="AM41" s="86"/>
    </row>
    <row r="42" spans="2:39">
      <c r="B42" t="s">
        <v>417</v>
      </c>
      <c r="C42" s="91">
        <f>run!$Z$46</f>
        <v>3.6112320415720725E-2</v>
      </c>
      <c r="D42" s="91">
        <f>C42*(1-SUM(D$38:D$40))</f>
        <v>2.3238278187516285E-2</v>
      </c>
      <c r="E42" s="93">
        <f>G42*$AG$74</f>
        <v>1.5312869081729628E-2</v>
      </c>
      <c r="F42" s="15">
        <f>run!G46</f>
        <v>2693.5</v>
      </c>
      <c r="G42" s="92">
        <f>F42/SUM(F$42:F$44)</f>
        <v>0.1147891235511966</v>
      </c>
      <c r="I42" s="92">
        <f>F42/SUM(F$41:F$44)</f>
        <v>8.68037465100715E-2</v>
      </c>
      <c r="J42" s="92"/>
      <c r="K42" s="82">
        <v>1982</v>
      </c>
      <c r="L42" s="83">
        <v>23</v>
      </c>
      <c r="M42" s="88">
        <v>5</v>
      </c>
      <c r="N42" s="86" t="s">
        <v>409</v>
      </c>
      <c r="O42" s="86" t="s">
        <v>410</v>
      </c>
      <c r="P42" s="86" t="s">
        <v>411</v>
      </c>
      <c r="Q42" s="86" t="s">
        <v>411</v>
      </c>
      <c r="R42" s="86" t="s">
        <v>411</v>
      </c>
      <c r="S42" s="86" t="s">
        <v>411</v>
      </c>
      <c r="T42" s="86" t="s">
        <v>411</v>
      </c>
      <c r="U42" s="86" t="s">
        <v>411</v>
      </c>
      <c r="V42" s="86" t="s">
        <v>411</v>
      </c>
      <c r="W42" s="87" t="s">
        <v>411</v>
      </c>
      <c r="X42" s="86" t="s">
        <v>411</v>
      </c>
      <c r="Y42" s="86" t="s">
        <v>411</v>
      </c>
      <c r="Z42" s="86" t="s">
        <v>411</v>
      </c>
      <c r="AA42" s="86" t="s">
        <v>411</v>
      </c>
      <c r="AB42" s="86" t="s">
        <v>411</v>
      </c>
      <c r="AC42" s="86" t="s">
        <v>411</v>
      </c>
      <c r="AD42" s="86" t="s">
        <v>411</v>
      </c>
      <c r="AE42" s="86" t="s">
        <v>411</v>
      </c>
      <c r="AF42" s="86" t="s">
        <v>411</v>
      </c>
      <c r="AG42" s="86" t="s">
        <v>411</v>
      </c>
      <c r="AH42" s="86" t="s">
        <v>411</v>
      </c>
      <c r="AI42" s="86" t="s">
        <v>411</v>
      </c>
      <c r="AJ42" s="86" t="s">
        <v>411</v>
      </c>
      <c r="AK42" s="86"/>
      <c r="AL42" s="86"/>
      <c r="AM42" s="86"/>
    </row>
    <row r="43" spans="2:39">
      <c r="B43" t="s">
        <v>418</v>
      </c>
      <c r="C43" s="91">
        <f>run!$AD$46</f>
        <v>0.22171247391620724</v>
      </c>
      <c r="D43" s="91">
        <f>C43*(1-SUM(D$38:D$40))</f>
        <v>0.14267197696507936</v>
      </c>
      <c r="E43" s="93">
        <f>G43*$AG$74</f>
        <v>9.8906675114320358E-2</v>
      </c>
      <c r="F43" s="15">
        <f>run!I46+run!M46+run!P46</f>
        <v>17397.466666666671</v>
      </c>
      <c r="G43" s="92">
        <f>F43/SUM(F$42:F$44)</f>
        <v>0.7414293486830611</v>
      </c>
      <c r="I43" s="92">
        <f>F43/SUM(F$41:F$44)</f>
        <v>0.56067023814767114</v>
      </c>
      <c r="J43" s="92"/>
      <c r="K43" s="82">
        <v>1983</v>
      </c>
      <c r="L43" s="89" t="s">
        <v>412</v>
      </c>
      <c r="M43" s="90"/>
      <c r="N43" s="86" t="s">
        <v>411</v>
      </c>
      <c r="O43" s="86" t="s">
        <v>411</v>
      </c>
      <c r="P43" s="86" t="s">
        <v>411</v>
      </c>
      <c r="Q43" s="86" t="s">
        <v>411</v>
      </c>
      <c r="R43" s="86" t="s">
        <v>411</v>
      </c>
      <c r="S43" s="86" t="s">
        <v>411</v>
      </c>
      <c r="T43" s="86" t="s">
        <v>411</v>
      </c>
      <c r="U43" s="86" t="s">
        <v>411</v>
      </c>
      <c r="V43" s="86" t="s">
        <v>411</v>
      </c>
      <c r="W43" s="87" t="s">
        <v>411</v>
      </c>
      <c r="X43" s="86" t="s">
        <v>411</v>
      </c>
      <c r="Y43" s="86" t="s">
        <v>411</v>
      </c>
      <c r="Z43" s="86" t="s">
        <v>411</v>
      </c>
      <c r="AA43" s="86" t="s">
        <v>411</v>
      </c>
      <c r="AB43" s="86" t="s">
        <v>411</v>
      </c>
      <c r="AC43" s="86" t="s">
        <v>411</v>
      </c>
      <c r="AD43" s="86" t="s">
        <v>411</v>
      </c>
      <c r="AE43" s="86" t="s">
        <v>411</v>
      </c>
      <c r="AF43" s="86" t="s">
        <v>411</v>
      </c>
      <c r="AG43" s="86" t="s">
        <v>411</v>
      </c>
      <c r="AH43" s="86" t="s">
        <v>411</v>
      </c>
      <c r="AI43" s="86" t="s">
        <v>411</v>
      </c>
      <c r="AJ43" s="86" t="s">
        <v>411</v>
      </c>
      <c r="AK43" s="86"/>
      <c r="AL43" s="86"/>
      <c r="AM43" s="86"/>
    </row>
    <row r="44" spans="2:39">
      <c r="B44" t="s">
        <v>419</v>
      </c>
      <c r="C44" s="91">
        <f>run!$AA$46</f>
        <v>4.1849509148949152E-2</v>
      </c>
      <c r="D44" s="91">
        <f>C44*(1-SUM(D$38:D$40))</f>
        <v>2.6930159137348777E-2</v>
      </c>
      <c r="E44" s="93">
        <f>G44*$AG$74</f>
        <v>1.9180455803950038E-2</v>
      </c>
      <c r="F44" s="15">
        <f>run!V46</f>
        <v>3373.8</v>
      </c>
      <c r="G44" s="92">
        <f>F44/SUM(F$42:F$44)</f>
        <v>0.14378152776574238</v>
      </c>
      <c r="H44" s="91">
        <f>SUM(E42:E44)</f>
        <v>0.13340000000000002</v>
      </c>
      <c r="I44" s="92">
        <f>F44/SUM(F$41:F$44)</f>
        <v>0.10872785594047865</v>
      </c>
      <c r="J44" s="92"/>
      <c r="K44" s="82">
        <v>1984</v>
      </c>
      <c r="L44" s="89" t="s">
        <v>412</v>
      </c>
      <c r="M44" s="90"/>
      <c r="N44" s="86" t="s">
        <v>411</v>
      </c>
      <c r="O44" s="86" t="s">
        <v>411</v>
      </c>
      <c r="P44" s="86" t="s">
        <v>411</v>
      </c>
      <c r="Q44" s="86" t="s">
        <v>411</v>
      </c>
      <c r="R44" s="86" t="s">
        <v>411</v>
      </c>
      <c r="S44" s="86" t="s">
        <v>411</v>
      </c>
      <c r="T44" s="86" t="s">
        <v>411</v>
      </c>
      <c r="U44" s="86" t="s">
        <v>411</v>
      </c>
      <c r="V44" s="86" t="s">
        <v>411</v>
      </c>
      <c r="W44" s="87" t="s">
        <v>411</v>
      </c>
      <c r="X44" s="86" t="s">
        <v>411</v>
      </c>
      <c r="Y44" s="86" t="s">
        <v>411</v>
      </c>
      <c r="Z44" s="86" t="s">
        <v>411</v>
      </c>
      <c r="AA44" s="86" t="s">
        <v>411</v>
      </c>
      <c r="AB44" s="86" t="s">
        <v>411</v>
      </c>
      <c r="AC44" s="86" t="s">
        <v>411</v>
      </c>
      <c r="AD44" s="86" t="s">
        <v>411</v>
      </c>
      <c r="AE44" s="86" t="s">
        <v>411</v>
      </c>
      <c r="AF44" s="86" t="s">
        <v>411</v>
      </c>
      <c r="AG44" s="86" t="s">
        <v>411</v>
      </c>
      <c r="AH44" s="86" t="s">
        <v>411</v>
      </c>
      <c r="AI44" s="86" t="s">
        <v>411</v>
      </c>
      <c r="AJ44" s="86" t="s">
        <v>411</v>
      </c>
      <c r="AK44" s="86"/>
      <c r="AL44" s="86"/>
      <c r="AM44" s="86"/>
    </row>
    <row r="45" spans="2:39">
      <c r="K45" s="82">
        <v>1985</v>
      </c>
      <c r="L45" s="83">
        <v>6</v>
      </c>
      <c r="M45" s="88">
        <v>2</v>
      </c>
      <c r="N45" s="86" t="s">
        <v>409</v>
      </c>
      <c r="O45" s="86" t="s">
        <v>410</v>
      </c>
      <c r="P45" s="86" t="s">
        <v>411</v>
      </c>
      <c r="Q45" s="86" t="s">
        <v>411</v>
      </c>
      <c r="R45" s="86" t="s">
        <v>411</v>
      </c>
      <c r="S45" s="86" t="s">
        <v>411</v>
      </c>
      <c r="T45" s="86" t="s">
        <v>411</v>
      </c>
      <c r="U45" s="86" t="s">
        <v>411</v>
      </c>
      <c r="V45" s="86" t="s">
        <v>411</v>
      </c>
      <c r="W45" s="87" t="s">
        <v>411</v>
      </c>
      <c r="X45" s="86" t="s">
        <v>411</v>
      </c>
      <c r="Y45" s="86" t="s">
        <v>411</v>
      </c>
      <c r="Z45" s="86" t="s">
        <v>411</v>
      </c>
      <c r="AA45" s="86" t="s">
        <v>411</v>
      </c>
      <c r="AB45" s="86" t="s">
        <v>411</v>
      </c>
      <c r="AC45" s="86" t="s">
        <v>411</v>
      </c>
      <c r="AD45" s="86" t="s">
        <v>411</v>
      </c>
      <c r="AE45" s="86" t="s">
        <v>411</v>
      </c>
      <c r="AF45" s="86" t="s">
        <v>411</v>
      </c>
      <c r="AG45" s="86" t="s">
        <v>411</v>
      </c>
      <c r="AH45" s="86" t="s">
        <v>411</v>
      </c>
      <c r="AI45" s="86" t="s">
        <v>411</v>
      </c>
      <c r="AJ45" s="86" t="s">
        <v>411</v>
      </c>
      <c r="AK45" s="86"/>
      <c r="AL45" s="86"/>
      <c r="AM45" s="86"/>
    </row>
    <row r="46" spans="2:39">
      <c r="B46" t="s">
        <v>404</v>
      </c>
      <c r="D46" s="91">
        <f>SUM(D38:D40)</f>
        <v>0.35650000000000004</v>
      </c>
      <c r="E46" s="91">
        <f>E38+E39</f>
        <v>0.28920000000000001</v>
      </c>
      <c r="K46" s="82">
        <v>1986</v>
      </c>
      <c r="L46" s="83">
        <v>33</v>
      </c>
      <c r="M46" s="84" t="s">
        <v>413</v>
      </c>
      <c r="N46" s="86" t="s">
        <v>409</v>
      </c>
      <c r="O46" s="86" t="s">
        <v>410</v>
      </c>
      <c r="P46" s="86" t="s">
        <v>411</v>
      </c>
      <c r="Q46" s="86" t="s">
        <v>411</v>
      </c>
      <c r="R46" s="86" t="s">
        <v>411</v>
      </c>
      <c r="S46" s="86" t="s">
        <v>411</v>
      </c>
      <c r="T46" s="86" t="s">
        <v>411</v>
      </c>
      <c r="U46" s="86" t="s">
        <v>411</v>
      </c>
      <c r="V46" s="86" t="s">
        <v>411</v>
      </c>
      <c r="W46" s="87" t="s">
        <v>411</v>
      </c>
      <c r="X46" s="86" t="s">
        <v>411</v>
      </c>
      <c r="Y46" s="86" t="s">
        <v>411</v>
      </c>
      <c r="Z46" s="86" t="s">
        <v>411</v>
      </c>
      <c r="AA46" s="86" t="s">
        <v>411</v>
      </c>
      <c r="AB46" s="86" t="s">
        <v>411</v>
      </c>
      <c r="AC46" s="86" t="s">
        <v>411</v>
      </c>
      <c r="AD46" s="86" t="s">
        <v>411</v>
      </c>
      <c r="AE46" s="86" t="s">
        <v>411</v>
      </c>
      <c r="AF46" s="86" t="s">
        <v>411</v>
      </c>
      <c r="AG46" s="86" t="s">
        <v>411</v>
      </c>
      <c r="AH46" s="86" t="s">
        <v>411</v>
      </c>
      <c r="AI46" s="86" t="s">
        <v>411</v>
      </c>
      <c r="AJ46" s="86" t="s">
        <v>411</v>
      </c>
      <c r="AK46" s="86"/>
      <c r="AL46" s="86"/>
      <c r="AM46" s="86"/>
    </row>
    <row r="47" spans="2:39">
      <c r="B47" t="s">
        <v>643</v>
      </c>
      <c r="C47" s="91">
        <f>SUM(C41:C44)</f>
        <v>0.40116662314226803</v>
      </c>
      <c r="D47" s="91">
        <f>SUM(D41:D44)</f>
        <v>0.25815072199204941</v>
      </c>
      <c r="E47" s="91">
        <f>SUM(E41:E44)</f>
        <v>0.2394</v>
      </c>
      <c r="K47" s="82">
        <v>1987</v>
      </c>
      <c r="L47" s="83">
        <v>116</v>
      </c>
      <c r="M47" s="84" t="s">
        <v>406</v>
      </c>
      <c r="N47" s="81">
        <v>0.13800000000000001</v>
      </c>
      <c r="O47" s="81">
        <v>8.9999999999999993E-3</v>
      </c>
      <c r="P47" s="81">
        <v>0</v>
      </c>
      <c r="Q47" s="81">
        <v>5.1999999999999998E-2</v>
      </c>
      <c r="R47" s="81">
        <v>0</v>
      </c>
      <c r="S47" s="81">
        <v>0.112</v>
      </c>
      <c r="T47" s="81">
        <v>0</v>
      </c>
      <c r="U47" s="81">
        <v>0</v>
      </c>
      <c r="V47" s="81">
        <v>3.4000000000000002E-2</v>
      </c>
      <c r="W47" s="85">
        <v>2.5999999999999999E-2</v>
      </c>
      <c r="X47" s="81">
        <v>5.1999999999999998E-2</v>
      </c>
      <c r="Y47" s="81">
        <v>0</v>
      </c>
      <c r="Z47" s="81">
        <v>0.13800000000000001</v>
      </c>
      <c r="AA47" s="81">
        <v>8.9999999999999993E-3</v>
      </c>
      <c r="AB47" s="81">
        <v>8.5999999999999993E-2</v>
      </c>
      <c r="AC47" s="81">
        <v>0</v>
      </c>
      <c r="AD47" s="81">
        <v>0</v>
      </c>
      <c r="AE47" s="81">
        <v>0</v>
      </c>
      <c r="AF47" s="81">
        <v>0</v>
      </c>
      <c r="AG47" s="81">
        <v>6.9000000000000006E-2</v>
      </c>
      <c r="AH47" s="81">
        <v>0</v>
      </c>
      <c r="AI47" s="81">
        <v>3.4000000000000002E-2</v>
      </c>
      <c r="AJ47" s="81">
        <v>0.24099999999999999</v>
      </c>
      <c r="AK47" s="81"/>
      <c r="AL47" s="81"/>
      <c r="AM47" s="81"/>
    </row>
    <row r="48" spans="2:39">
      <c r="B48" t="s">
        <v>378</v>
      </c>
      <c r="D48" s="91">
        <f>D46+D47</f>
        <v>0.6146507219920494</v>
      </c>
      <c r="K48" s="82">
        <v>1988</v>
      </c>
      <c r="L48" s="83">
        <v>313</v>
      </c>
      <c r="M48" s="84" t="s">
        <v>414</v>
      </c>
      <c r="N48" s="81">
        <v>1.6E-2</v>
      </c>
      <c r="O48" s="81">
        <v>3.5000000000000003E-2</v>
      </c>
      <c r="P48" s="81">
        <v>0</v>
      </c>
      <c r="Q48" s="81">
        <v>9.2999999999999999E-2</v>
      </c>
      <c r="R48" s="81">
        <v>1.9E-2</v>
      </c>
      <c r="S48" s="81">
        <v>0.20399999999999999</v>
      </c>
      <c r="T48" s="81">
        <v>4.2000000000000003E-2</v>
      </c>
      <c r="U48" s="81">
        <v>0</v>
      </c>
      <c r="V48" s="81">
        <v>0</v>
      </c>
      <c r="W48" s="85">
        <v>0</v>
      </c>
      <c r="X48" s="81">
        <v>8.5999999999999993E-2</v>
      </c>
      <c r="Y48" s="81">
        <v>0</v>
      </c>
      <c r="Z48" s="81">
        <v>3.2000000000000001E-2</v>
      </c>
      <c r="AA48" s="81">
        <v>0</v>
      </c>
      <c r="AB48" s="81">
        <v>3.0000000000000001E-3</v>
      </c>
      <c r="AC48" s="81">
        <v>0</v>
      </c>
      <c r="AD48" s="81">
        <v>0</v>
      </c>
      <c r="AE48" s="81">
        <v>0</v>
      </c>
      <c r="AF48" s="81">
        <v>0</v>
      </c>
      <c r="AG48" s="81">
        <v>0.13400000000000001</v>
      </c>
      <c r="AH48" s="81">
        <v>2.5999999999999999E-2</v>
      </c>
      <c r="AI48" s="81">
        <v>0</v>
      </c>
      <c r="AJ48" s="81">
        <v>0.31</v>
      </c>
      <c r="AK48" s="81"/>
      <c r="AL48" s="81"/>
      <c r="AM48" s="81"/>
    </row>
    <row r="49" spans="2:39">
      <c r="E49" s="91">
        <f>SUM(E38:E44)</f>
        <v>0.59589999999999999</v>
      </c>
      <c r="K49" s="82">
        <v>1989</v>
      </c>
      <c r="L49" s="83">
        <v>702</v>
      </c>
      <c r="M49" s="84" t="s">
        <v>414</v>
      </c>
      <c r="N49" s="81">
        <v>7.6999999999999999E-2</v>
      </c>
      <c r="O49" s="81">
        <v>2.8000000000000001E-2</v>
      </c>
      <c r="P49" s="81">
        <v>6.0000000000000001E-3</v>
      </c>
      <c r="Q49" s="81">
        <v>5.6000000000000001E-2</v>
      </c>
      <c r="R49" s="81">
        <v>0</v>
      </c>
      <c r="S49" s="81">
        <v>0.16500000000000001</v>
      </c>
      <c r="T49" s="81">
        <v>2.3E-2</v>
      </c>
      <c r="U49" s="81">
        <v>0</v>
      </c>
      <c r="V49" s="81">
        <v>1.6E-2</v>
      </c>
      <c r="W49" s="85">
        <v>6.0000000000000001E-3</v>
      </c>
      <c r="X49" s="81">
        <v>2.3E-2</v>
      </c>
      <c r="Y49" s="81">
        <v>6.0000000000000001E-3</v>
      </c>
      <c r="Z49" s="81">
        <v>0.1</v>
      </c>
      <c r="AA49" s="81">
        <v>2.5999999999999999E-2</v>
      </c>
      <c r="AB49" s="81">
        <v>0.05</v>
      </c>
      <c r="AC49" s="81">
        <v>0</v>
      </c>
      <c r="AD49" s="81">
        <v>0</v>
      </c>
      <c r="AE49" s="81">
        <v>0</v>
      </c>
      <c r="AF49" s="81">
        <v>0</v>
      </c>
      <c r="AG49" s="81">
        <v>7.6999999999999999E-2</v>
      </c>
      <c r="AH49" s="81">
        <v>0</v>
      </c>
      <c r="AI49" s="81">
        <v>0</v>
      </c>
      <c r="AJ49" s="81">
        <v>0.34300000000000003</v>
      </c>
      <c r="AK49" s="81"/>
      <c r="AL49" s="81"/>
      <c r="AM49" s="81"/>
    </row>
    <row r="50" spans="2:39">
      <c r="K50" s="82">
        <v>1990</v>
      </c>
      <c r="L50" s="83">
        <v>861</v>
      </c>
      <c r="M50" s="84" t="s">
        <v>414</v>
      </c>
      <c r="N50" s="81">
        <v>0.108</v>
      </c>
      <c r="O50" s="81">
        <v>0</v>
      </c>
      <c r="P50" s="81">
        <v>0</v>
      </c>
      <c r="Q50" s="81">
        <v>7.8E-2</v>
      </c>
      <c r="R50" s="81">
        <v>0</v>
      </c>
      <c r="S50" s="81">
        <v>0.21099999999999999</v>
      </c>
      <c r="T50" s="81">
        <v>0</v>
      </c>
      <c r="U50" s="81">
        <v>0</v>
      </c>
      <c r="V50" s="81">
        <v>6.0000000000000001E-3</v>
      </c>
      <c r="W50" s="85">
        <v>1.2E-2</v>
      </c>
      <c r="X50" s="81">
        <v>1.6E-2</v>
      </c>
      <c r="Y50" s="81">
        <v>0</v>
      </c>
      <c r="Z50" s="81">
        <v>3.5999999999999997E-2</v>
      </c>
      <c r="AA50" s="81">
        <v>1.4E-2</v>
      </c>
      <c r="AB50" s="81">
        <v>2.4E-2</v>
      </c>
      <c r="AC50" s="81">
        <v>8.9999999999999993E-3</v>
      </c>
      <c r="AD50" s="81">
        <v>0</v>
      </c>
      <c r="AE50" s="81">
        <v>0</v>
      </c>
      <c r="AF50" s="81">
        <v>0</v>
      </c>
      <c r="AG50" s="81">
        <v>0.107</v>
      </c>
      <c r="AH50" s="81">
        <v>2E-3</v>
      </c>
      <c r="AI50" s="81">
        <v>5.0000000000000001E-3</v>
      </c>
      <c r="AJ50" s="81">
        <v>0.372</v>
      </c>
      <c r="AK50" s="81"/>
      <c r="AL50" s="81"/>
      <c r="AM50" s="81"/>
    </row>
    <row r="51" spans="2:39">
      <c r="K51" s="82">
        <v>1991</v>
      </c>
      <c r="L51" s="83">
        <v>599</v>
      </c>
      <c r="M51" s="84" t="s">
        <v>414</v>
      </c>
      <c r="N51" s="81">
        <v>5.2999999999999999E-2</v>
      </c>
      <c r="O51" s="81">
        <v>0</v>
      </c>
      <c r="P51" s="81">
        <v>0</v>
      </c>
      <c r="Q51" s="81">
        <v>2.8000000000000001E-2</v>
      </c>
      <c r="R51" s="81">
        <v>0</v>
      </c>
      <c r="S51" s="81">
        <v>7.6999999999999999E-2</v>
      </c>
      <c r="T51" s="81">
        <v>8.0000000000000002E-3</v>
      </c>
      <c r="U51" s="81">
        <v>0</v>
      </c>
      <c r="V51" s="81">
        <v>0</v>
      </c>
      <c r="W51" s="85">
        <v>7.0000000000000001E-3</v>
      </c>
      <c r="X51" s="81">
        <v>3.3000000000000002E-2</v>
      </c>
      <c r="Y51" s="81">
        <v>0</v>
      </c>
      <c r="Z51" s="81">
        <v>0.03</v>
      </c>
      <c r="AA51" s="81">
        <v>1.7000000000000001E-2</v>
      </c>
      <c r="AB51" s="81">
        <v>1.2999999999999999E-2</v>
      </c>
      <c r="AC51" s="81">
        <v>5.0000000000000001E-3</v>
      </c>
      <c r="AD51" s="81">
        <v>0</v>
      </c>
      <c r="AE51" s="81">
        <v>0</v>
      </c>
      <c r="AF51" s="81">
        <v>0</v>
      </c>
      <c r="AG51" s="81">
        <v>4.8000000000000001E-2</v>
      </c>
      <c r="AH51" s="81">
        <v>5.0000000000000001E-3</v>
      </c>
      <c r="AI51" s="81">
        <v>8.0000000000000002E-3</v>
      </c>
      <c r="AJ51" s="81">
        <v>0.66600000000000004</v>
      </c>
      <c r="AK51" s="81"/>
      <c r="AL51" s="81"/>
      <c r="AM51" s="81"/>
    </row>
    <row r="52" spans="2:39">
      <c r="K52" s="82">
        <v>1992</v>
      </c>
      <c r="L52" s="83">
        <v>305</v>
      </c>
      <c r="M52" s="84" t="s">
        <v>414</v>
      </c>
      <c r="N52" s="81">
        <v>0.18</v>
      </c>
      <c r="O52" s="81">
        <v>0</v>
      </c>
      <c r="P52" s="81">
        <v>0</v>
      </c>
      <c r="Q52" s="81">
        <v>3.3000000000000002E-2</v>
      </c>
      <c r="R52" s="81">
        <v>0</v>
      </c>
      <c r="S52" s="81">
        <v>0.16400000000000001</v>
      </c>
      <c r="T52" s="81">
        <v>0</v>
      </c>
      <c r="U52" s="81">
        <v>0</v>
      </c>
      <c r="V52" s="81">
        <v>7.0000000000000001E-3</v>
      </c>
      <c r="W52" s="85">
        <v>0.02</v>
      </c>
      <c r="X52" s="81">
        <v>0.01</v>
      </c>
      <c r="Y52" s="81">
        <v>0</v>
      </c>
      <c r="Z52" s="81">
        <v>3.9E-2</v>
      </c>
      <c r="AA52" s="81">
        <v>0</v>
      </c>
      <c r="AB52" s="81">
        <v>2.5999999999999999E-2</v>
      </c>
      <c r="AC52" s="81">
        <v>0</v>
      </c>
      <c r="AD52" s="81">
        <v>0</v>
      </c>
      <c r="AE52" s="81">
        <v>1.6E-2</v>
      </c>
      <c r="AF52" s="81">
        <v>0</v>
      </c>
      <c r="AG52" s="81">
        <v>1.2999999999999999E-2</v>
      </c>
      <c r="AH52" s="81">
        <v>0</v>
      </c>
      <c r="AI52" s="81">
        <v>7.0000000000000001E-3</v>
      </c>
      <c r="AJ52" s="81">
        <v>0.48499999999999999</v>
      </c>
      <c r="AK52" s="81"/>
      <c r="AL52" s="81"/>
      <c r="AM52" s="81"/>
    </row>
    <row r="53" spans="2:39">
      <c r="K53" s="82">
        <v>1993</v>
      </c>
      <c r="L53" s="83">
        <v>210</v>
      </c>
      <c r="M53" s="84" t="s">
        <v>414</v>
      </c>
      <c r="N53" s="81">
        <v>7.5999999999999998E-2</v>
      </c>
      <c r="O53" s="81">
        <v>0</v>
      </c>
      <c r="P53" s="81">
        <v>0</v>
      </c>
      <c r="Q53" s="81">
        <v>1.4E-2</v>
      </c>
      <c r="R53" s="81">
        <v>0</v>
      </c>
      <c r="S53" s="81">
        <v>0.16700000000000001</v>
      </c>
      <c r="T53" s="81">
        <v>1.9E-2</v>
      </c>
      <c r="U53" s="81">
        <v>0</v>
      </c>
      <c r="V53" s="81">
        <v>0</v>
      </c>
      <c r="W53" s="85">
        <v>0</v>
      </c>
      <c r="X53" s="81">
        <v>2.4E-2</v>
      </c>
      <c r="Y53" s="81">
        <v>0</v>
      </c>
      <c r="Z53" s="81">
        <v>3.3000000000000002E-2</v>
      </c>
      <c r="AA53" s="81">
        <v>1.4E-2</v>
      </c>
      <c r="AB53" s="81">
        <v>1.9E-2</v>
      </c>
      <c r="AC53" s="81">
        <v>0</v>
      </c>
      <c r="AD53" s="81">
        <v>0</v>
      </c>
      <c r="AE53" s="81">
        <v>0</v>
      </c>
      <c r="AF53" s="81">
        <v>0</v>
      </c>
      <c r="AG53" s="81">
        <v>3.3000000000000002E-2</v>
      </c>
      <c r="AH53" s="81">
        <v>0</v>
      </c>
      <c r="AI53" s="81">
        <v>5.0000000000000001E-3</v>
      </c>
      <c r="AJ53" s="81">
        <v>0.59499999999999997</v>
      </c>
      <c r="AK53" s="81"/>
      <c r="AL53" s="81"/>
      <c r="AM53" s="81"/>
    </row>
    <row r="54" spans="2:39">
      <c r="B54" s="91"/>
      <c r="D54" s="488"/>
      <c r="K54" s="82">
        <v>1994</v>
      </c>
      <c r="L54" s="83">
        <v>37</v>
      </c>
      <c r="M54" s="84" t="s">
        <v>414</v>
      </c>
      <c r="N54" s="81">
        <v>0.16200000000000001</v>
      </c>
      <c r="O54" s="81">
        <v>0</v>
      </c>
      <c r="P54" s="81">
        <v>0</v>
      </c>
      <c r="Q54" s="81">
        <v>0</v>
      </c>
      <c r="R54" s="81">
        <v>0</v>
      </c>
      <c r="S54" s="81">
        <v>0</v>
      </c>
      <c r="T54" s="81">
        <v>0</v>
      </c>
      <c r="U54" s="81">
        <v>0</v>
      </c>
      <c r="V54" s="81">
        <v>0</v>
      </c>
      <c r="W54" s="85">
        <v>0</v>
      </c>
      <c r="X54" s="81">
        <v>0</v>
      </c>
      <c r="Y54" s="81">
        <v>0.16200000000000001</v>
      </c>
      <c r="Z54" s="81">
        <v>0</v>
      </c>
      <c r="AA54" s="81">
        <v>0</v>
      </c>
      <c r="AB54" s="81">
        <v>0</v>
      </c>
      <c r="AC54" s="81">
        <v>0</v>
      </c>
      <c r="AD54" s="81">
        <v>0</v>
      </c>
      <c r="AE54" s="81">
        <v>0</v>
      </c>
      <c r="AF54" s="81">
        <v>0</v>
      </c>
      <c r="AG54" s="81">
        <v>0.108</v>
      </c>
      <c r="AH54" s="81">
        <v>0</v>
      </c>
      <c r="AI54" s="81">
        <v>0</v>
      </c>
      <c r="AJ54" s="81">
        <v>0.56799999999999995</v>
      </c>
      <c r="AK54" s="81"/>
      <c r="AL54" s="81"/>
      <c r="AM54" s="81"/>
    </row>
    <row r="55" spans="2:39">
      <c r="D55" s="488"/>
      <c r="K55" s="82">
        <v>1995</v>
      </c>
      <c r="L55" s="83">
        <v>158</v>
      </c>
      <c r="M55" s="84" t="s">
        <v>414</v>
      </c>
      <c r="N55" s="81">
        <v>3.2000000000000001E-2</v>
      </c>
      <c r="O55" s="81">
        <v>0</v>
      </c>
      <c r="P55" s="81">
        <v>0</v>
      </c>
      <c r="Q55" s="81">
        <v>0</v>
      </c>
      <c r="R55" s="81">
        <v>0</v>
      </c>
      <c r="S55" s="81">
        <v>7.5999999999999998E-2</v>
      </c>
      <c r="T55" s="81">
        <v>0</v>
      </c>
      <c r="U55" s="81">
        <v>0</v>
      </c>
      <c r="V55" s="81">
        <v>0</v>
      </c>
      <c r="W55" s="85">
        <v>0</v>
      </c>
      <c r="X55" s="81">
        <v>1.2999999999999999E-2</v>
      </c>
      <c r="Y55" s="81">
        <v>0</v>
      </c>
      <c r="Z55" s="81">
        <v>1.9E-2</v>
      </c>
      <c r="AA55" s="81">
        <v>0</v>
      </c>
      <c r="AB55" s="81">
        <v>0</v>
      </c>
      <c r="AC55" s="81">
        <v>0</v>
      </c>
      <c r="AD55" s="81">
        <v>2.5000000000000001E-2</v>
      </c>
      <c r="AE55" s="81">
        <v>0</v>
      </c>
      <c r="AF55" s="81">
        <v>0</v>
      </c>
      <c r="AG55" s="81">
        <v>0</v>
      </c>
      <c r="AH55" s="81">
        <v>0</v>
      </c>
      <c r="AI55" s="81">
        <v>0</v>
      </c>
      <c r="AJ55" s="81">
        <v>0.83499999999999996</v>
      </c>
      <c r="AK55" s="81"/>
      <c r="AL55" s="81"/>
      <c r="AM55" s="81"/>
    </row>
    <row r="56" spans="2:39">
      <c r="D56" s="488"/>
      <c r="K56" s="82">
        <v>1996</v>
      </c>
      <c r="L56" s="83">
        <v>373</v>
      </c>
      <c r="M56" s="84" t="s">
        <v>414</v>
      </c>
      <c r="N56" s="81">
        <v>0.107</v>
      </c>
      <c r="O56" s="81">
        <v>1.0999999999999999E-2</v>
      </c>
      <c r="P56" s="81">
        <v>0</v>
      </c>
      <c r="Q56" s="81">
        <v>2.1000000000000001E-2</v>
      </c>
      <c r="R56" s="81">
        <v>3.0000000000000001E-3</v>
      </c>
      <c r="S56" s="81">
        <v>2.9000000000000001E-2</v>
      </c>
      <c r="T56" s="81">
        <v>0</v>
      </c>
      <c r="U56" s="81">
        <v>0</v>
      </c>
      <c r="V56" s="81">
        <v>2.4E-2</v>
      </c>
      <c r="W56" s="85">
        <v>0</v>
      </c>
      <c r="X56" s="81">
        <v>3.7999999999999999E-2</v>
      </c>
      <c r="Y56" s="81">
        <v>0</v>
      </c>
      <c r="Z56" s="81">
        <v>5.0000000000000001E-3</v>
      </c>
      <c r="AA56" s="81">
        <v>0</v>
      </c>
      <c r="AB56" s="81">
        <v>2.4E-2</v>
      </c>
      <c r="AC56" s="81">
        <v>8.0000000000000002E-3</v>
      </c>
      <c r="AD56" s="81">
        <v>0</v>
      </c>
      <c r="AE56" s="81">
        <v>1.2999999999999999E-2</v>
      </c>
      <c r="AF56" s="81">
        <v>0</v>
      </c>
      <c r="AG56" s="81">
        <v>0</v>
      </c>
      <c r="AH56" s="81">
        <v>2.4E-2</v>
      </c>
      <c r="AI56" s="81">
        <v>1.2999999999999999E-2</v>
      </c>
      <c r="AJ56" s="81">
        <v>0.67800000000000005</v>
      </c>
      <c r="AK56" s="81"/>
      <c r="AL56" s="81"/>
      <c r="AM56" s="81"/>
    </row>
    <row r="57" spans="2:39">
      <c r="B57" s="91"/>
      <c r="D57" s="488"/>
      <c r="K57" s="82">
        <v>1997</v>
      </c>
      <c r="L57" s="83">
        <v>1275</v>
      </c>
      <c r="M57" s="84" t="s">
        <v>414</v>
      </c>
      <c r="N57" s="81">
        <v>9.2999999999999999E-2</v>
      </c>
      <c r="O57" s="81">
        <v>0</v>
      </c>
      <c r="P57" s="81">
        <v>3.7999999999999999E-2</v>
      </c>
      <c r="Q57" s="81">
        <v>2E-3</v>
      </c>
      <c r="R57" s="81">
        <v>1.2999999999999999E-2</v>
      </c>
      <c r="S57" s="81">
        <v>1.9E-2</v>
      </c>
      <c r="T57" s="81">
        <v>0</v>
      </c>
      <c r="U57" s="81">
        <v>0</v>
      </c>
      <c r="V57" s="81">
        <v>2E-3</v>
      </c>
      <c r="W57" s="85">
        <v>0</v>
      </c>
      <c r="X57" s="81">
        <v>4.0000000000000001E-3</v>
      </c>
      <c r="Y57" s="81">
        <v>0</v>
      </c>
      <c r="Z57" s="81">
        <v>0</v>
      </c>
      <c r="AA57" s="81">
        <v>0</v>
      </c>
      <c r="AB57" s="81">
        <v>3.2000000000000001E-2</v>
      </c>
      <c r="AC57" s="81">
        <v>0</v>
      </c>
      <c r="AD57" s="81">
        <v>0</v>
      </c>
      <c r="AE57" s="81">
        <v>2E-3</v>
      </c>
      <c r="AF57" s="81">
        <v>0</v>
      </c>
      <c r="AG57" s="81">
        <v>2E-3</v>
      </c>
      <c r="AH57" s="81">
        <v>5.0000000000000001E-3</v>
      </c>
      <c r="AI57" s="81">
        <v>2E-3</v>
      </c>
      <c r="AJ57" s="81">
        <v>0.78800000000000003</v>
      </c>
      <c r="AK57" s="81"/>
      <c r="AL57" s="81"/>
      <c r="AM57" s="81"/>
    </row>
    <row r="58" spans="2:39">
      <c r="K58" s="82">
        <v>1998</v>
      </c>
      <c r="L58" s="83">
        <v>1566</v>
      </c>
      <c r="M58" s="84" t="s">
        <v>414</v>
      </c>
      <c r="N58" s="81">
        <v>9.9000000000000005E-2</v>
      </c>
      <c r="O58" s="81">
        <v>2E-3</v>
      </c>
      <c r="P58" s="81">
        <v>1.0999999999999999E-2</v>
      </c>
      <c r="Q58" s="81">
        <v>1E-3</v>
      </c>
      <c r="R58" s="81">
        <v>2.1000000000000001E-2</v>
      </c>
      <c r="S58" s="81">
        <v>0</v>
      </c>
      <c r="T58" s="81">
        <v>6.0000000000000001E-3</v>
      </c>
      <c r="U58" s="81">
        <v>0</v>
      </c>
      <c r="V58" s="81">
        <v>0</v>
      </c>
      <c r="W58" s="85">
        <v>0</v>
      </c>
      <c r="X58" s="81">
        <v>1E-3</v>
      </c>
      <c r="Y58" s="81">
        <v>2E-3</v>
      </c>
      <c r="Z58" s="81">
        <v>6.0000000000000001E-3</v>
      </c>
      <c r="AA58" s="81">
        <v>0</v>
      </c>
      <c r="AB58" s="81">
        <v>1.0999999999999999E-2</v>
      </c>
      <c r="AC58" s="81">
        <v>0</v>
      </c>
      <c r="AD58" s="81">
        <v>0</v>
      </c>
      <c r="AE58" s="81">
        <v>0</v>
      </c>
      <c r="AF58" s="81">
        <v>0</v>
      </c>
      <c r="AG58" s="81">
        <v>1.0999999999999999E-2</v>
      </c>
      <c r="AH58" s="81">
        <v>8.9999999999999993E-3</v>
      </c>
      <c r="AI58" s="81">
        <v>3.0000000000000001E-3</v>
      </c>
      <c r="AJ58" s="81">
        <v>0.81699999999999995</v>
      </c>
      <c r="AK58" s="81"/>
      <c r="AL58" s="81"/>
      <c r="AM58" s="81"/>
    </row>
    <row r="59" spans="2:39">
      <c r="K59" s="82">
        <v>1999</v>
      </c>
      <c r="L59" s="83">
        <v>947</v>
      </c>
      <c r="M59" s="84" t="s">
        <v>414</v>
      </c>
      <c r="N59" s="81">
        <v>0.14299999999999999</v>
      </c>
      <c r="O59" s="81">
        <v>7.0000000000000001E-3</v>
      </c>
      <c r="P59" s="81">
        <v>3.1E-2</v>
      </c>
      <c r="Q59" s="81">
        <v>6.0000000000000001E-3</v>
      </c>
      <c r="R59" s="81">
        <v>1.0999999999999999E-2</v>
      </c>
      <c r="S59" s="81">
        <v>6.0000000000000001E-3</v>
      </c>
      <c r="T59" s="81">
        <v>5.1999999999999998E-2</v>
      </c>
      <c r="U59" s="81">
        <v>0</v>
      </c>
      <c r="V59" s="81">
        <v>6.0000000000000001E-3</v>
      </c>
      <c r="W59" s="85">
        <v>0</v>
      </c>
      <c r="X59" s="81">
        <v>5.0000000000000001E-3</v>
      </c>
      <c r="Y59" s="81">
        <v>1.2E-2</v>
      </c>
      <c r="Z59" s="81">
        <v>5.3999999999999999E-2</v>
      </c>
      <c r="AA59" s="81">
        <v>4.0000000000000001E-3</v>
      </c>
      <c r="AB59" s="81">
        <v>3.7999999999999999E-2</v>
      </c>
      <c r="AC59" s="81">
        <v>0</v>
      </c>
      <c r="AD59" s="81">
        <v>0</v>
      </c>
      <c r="AE59" s="81">
        <v>0</v>
      </c>
      <c r="AF59" s="81">
        <v>0</v>
      </c>
      <c r="AG59" s="81">
        <v>1.0999999999999999E-2</v>
      </c>
      <c r="AH59" s="81">
        <v>2.5999999999999999E-2</v>
      </c>
      <c r="AI59" s="81">
        <v>0</v>
      </c>
      <c r="AJ59" s="81">
        <v>0.58799999999999997</v>
      </c>
      <c r="AK59" s="81"/>
      <c r="AL59" s="81"/>
      <c r="AM59" s="81"/>
    </row>
    <row r="60" spans="2:39">
      <c r="K60" s="82">
        <v>2000</v>
      </c>
      <c r="L60" s="83">
        <v>2789</v>
      </c>
      <c r="M60" s="84" t="s">
        <v>414</v>
      </c>
      <c r="N60" s="81">
        <v>0.246</v>
      </c>
      <c r="O60" s="81">
        <v>1.6E-2</v>
      </c>
      <c r="P60" s="81">
        <v>3.3000000000000002E-2</v>
      </c>
      <c r="Q60" s="81">
        <v>6.0000000000000001E-3</v>
      </c>
      <c r="R60" s="81">
        <v>2.1999999999999999E-2</v>
      </c>
      <c r="S60" s="81">
        <v>4.3999999999999997E-2</v>
      </c>
      <c r="T60" s="81">
        <v>5.2999999999999999E-2</v>
      </c>
      <c r="U60" s="81">
        <v>0</v>
      </c>
      <c r="V60" s="81">
        <v>8.9999999999999993E-3</v>
      </c>
      <c r="W60" s="85">
        <v>0</v>
      </c>
      <c r="X60" s="81">
        <v>0</v>
      </c>
      <c r="Y60" s="81">
        <v>5.0000000000000001E-3</v>
      </c>
      <c r="Z60" s="81">
        <v>0.01</v>
      </c>
      <c r="AA60" s="81">
        <v>1.4E-2</v>
      </c>
      <c r="AB60" s="81">
        <v>2.1999999999999999E-2</v>
      </c>
      <c r="AC60" s="81">
        <v>0</v>
      </c>
      <c r="AD60" s="81">
        <v>1E-3</v>
      </c>
      <c r="AE60" s="81">
        <v>0</v>
      </c>
      <c r="AF60" s="81">
        <v>0</v>
      </c>
      <c r="AG60" s="81">
        <v>1.4E-2</v>
      </c>
      <c r="AH60" s="81">
        <v>0.02</v>
      </c>
      <c r="AI60" s="81">
        <v>4.0000000000000001E-3</v>
      </c>
      <c r="AJ60" s="81">
        <v>0.48199999999999998</v>
      </c>
      <c r="AK60" s="81"/>
      <c r="AL60" s="81"/>
      <c r="AM60" s="81"/>
    </row>
    <row r="61" spans="2:39">
      <c r="K61" s="82">
        <v>2001</v>
      </c>
      <c r="L61" s="83">
        <v>7369</v>
      </c>
      <c r="M61" s="84" t="s">
        <v>414</v>
      </c>
      <c r="N61" s="81">
        <v>0.156</v>
      </c>
      <c r="O61" s="81">
        <v>2.5000000000000001E-2</v>
      </c>
      <c r="P61" s="81">
        <v>1.2999999999999999E-2</v>
      </c>
      <c r="Q61" s="81">
        <v>5.0000000000000001E-3</v>
      </c>
      <c r="R61" s="81">
        <v>8.9999999999999993E-3</v>
      </c>
      <c r="S61" s="81">
        <v>0.13</v>
      </c>
      <c r="T61" s="81">
        <v>2.5999999999999999E-2</v>
      </c>
      <c r="U61" s="81">
        <v>0</v>
      </c>
      <c r="V61" s="81">
        <v>2E-3</v>
      </c>
      <c r="W61" s="85">
        <v>0</v>
      </c>
      <c r="X61" s="81">
        <v>0</v>
      </c>
      <c r="Y61" s="81">
        <v>6.0000000000000001E-3</v>
      </c>
      <c r="Z61" s="81">
        <v>7.0000000000000007E-2</v>
      </c>
      <c r="AA61" s="81">
        <v>2.3E-2</v>
      </c>
      <c r="AB61" s="81">
        <v>9.9000000000000005E-2</v>
      </c>
      <c r="AC61" s="81">
        <v>1.2999999999999999E-2</v>
      </c>
      <c r="AD61" s="81">
        <v>0</v>
      </c>
      <c r="AE61" s="81">
        <v>1.0999999999999999E-2</v>
      </c>
      <c r="AF61" s="81">
        <v>0</v>
      </c>
      <c r="AG61" s="81">
        <v>7.0000000000000001E-3</v>
      </c>
      <c r="AH61" s="81">
        <v>1.4999999999999999E-2</v>
      </c>
      <c r="AI61" s="81">
        <v>5.0000000000000001E-3</v>
      </c>
      <c r="AJ61" s="81">
        <v>0.38300000000000001</v>
      </c>
      <c r="AK61" s="81"/>
      <c r="AL61" s="81"/>
      <c r="AM61" s="81"/>
    </row>
    <row r="62" spans="2:39">
      <c r="K62" s="82">
        <v>2002</v>
      </c>
      <c r="L62" s="83">
        <v>11123</v>
      </c>
      <c r="M62" s="84" t="s">
        <v>414</v>
      </c>
      <c r="N62" s="81">
        <v>0.23200000000000001</v>
      </c>
      <c r="O62" s="81">
        <v>0</v>
      </c>
      <c r="P62" s="81">
        <v>1.4999999999999999E-2</v>
      </c>
      <c r="Q62" s="81">
        <v>0.128</v>
      </c>
      <c r="R62" s="81">
        <v>1.7000000000000001E-2</v>
      </c>
      <c r="S62" s="81">
        <v>0.14199999999999999</v>
      </c>
      <c r="T62" s="81">
        <v>1.2999999999999999E-2</v>
      </c>
      <c r="U62" s="81">
        <v>0</v>
      </c>
      <c r="V62" s="81">
        <v>1E-3</v>
      </c>
      <c r="W62" s="85">
        <v>0</v>
      </c>
      <c r="X62" s="81">
        <v>0</v>
      </c>
      <c r="Y62" s="81">
        <v>3.0000000000000001E-3</v>
      </c>
      <c r="Z62" s="81">
        <v>5.3999999999999999E-2</v>
      </c>
      <c r="AA62" s="81">
        <v>0.03</v>
      </c>
      <c r="AB62" s="81">
        <v>3.5000000000000003E-2</v>
      </c>
      <c r="AC62" s="81">
        <v>6.0000000000000001E-3</v>
      </c>
      <c r="AD62" s="81">
        <v>0</v>
      </c>
      <c r="AE62" s="81">
        <v>0</v>
      </c>
      <c r="AF62" s="81">
        <v>0</v>
      </c>
      <c r="AG62" s="81">
        <v>0.01</v>
      </c>
      <c r="AH62" s="81">
        <v>2.1999999999999999E-2</v>
      </c>
      <c r="AI62" s="81">
        <v>3.0000000000000001E-3</v>
      </c>
      <c r="AJ62" s="81">
        <v>0.28999999999999998</v>
      </c>
      <c r="AK62" s="81"/>
      <c r="AL62" s="81"/>
      <c r="AM62" s="81"/>
    </row>
    <row r="63" spans="2:39">
      <c r="K63" s="82">
        <v>2003</v>
      </c>
      <c r="L63" s="83">
        <v>7841</v>
      </c>
      <c r="M63" s="84" t="s">
        <v>414</v>
      </c>
      <c r="N63" s="81">
        <v>0.27900000000000003</v>
      </c>
      <c r="O63" s="81">
        <v>7.0000000000000001E-3</v>
      </c>
      <c r="P63" s="81">
        <v>1.0999999999999999E-2</v>
      </c>
      <c r="Q63" s="81">
        <v>0.12</v>
      </c>
      <c r="R63" s="81">
        <v>1.2999999999999999E-2</v>
      </c>
      <c r="S63" s="81">
        <v>0.113</v>
      </c>
      <c r="T63" s="81">
        <v>3.0000000000000001E-3</v>
      </c>
      <c r="U63" s="81">
        <v>0</v>
      </c>
      <c r="V63" s="81">
        <v>1E-3</v>
      </c>
      <c r="W63" s="85">
        <v>0</v>
      </c>
      <c r="X63" s="81">
        <v>0</v>
      </c>
      <c r="Y63" s="81">
        <v>8.9999999999999993E-3</v>
      </c>
      <c r="Z63" s="81">
        <v>2.9000000000000001E-2</v>
      </c>
      <c r="AA63" s="81">
        <v>4.0000000000000001E-3</v>
      </c>
      <c r="AB63" s="81">
        <v>3.7999999999999999E-2</v>
      </c>
      <c r="AC63" s="81">
        <v>6.0000000000000001E-3</v>
      </c>
      <c r="AD63" s="81">
        <v>0</v>
      </c>
      <c r="AE63" s="81">
        <v>1E-3</v>
      </c>
      <c r="AF63" s="81">
        <v>0</v>
      </c>
      <c r="AG63" s="81">
        <v>2.7E-2</v>
      </c>
      <c r="AH63" s="81">
        <v>5.6000000000000001E-2</v>
      </c>
      <c r="AI63" s="81">
        <v>3.0000000000000001E-3</v>
      </c>
      <c r="AJ63" s="81">
        <v>0.28000000000000003</v>
      </c>
      <c r="AK63" s="81"/>
      <c r="AL63" s="81"/>
      <c r="AM63" s="81"/>
    </row>
    <row r="64" spans="2:39">
      <c r="K64" s="82">
        <v>2004</v>
      </c>
      <c r="L64" s="83">
        <v>4861</v>
      </c>
      <c r="M64" s="84" t="s">
        <v>414</v>
      </c>
      <c r="N64" s="81">
        <v>0.14399999999999999</v>
      </c>
      <c r="O64" s="81">
        <v>4.0000000000000001E-3</v>
      </c>
      <c r="P64" s="81">
        <v>1.2E-2</v>
      </c>
      <c r="Q64" s="81">
        <v>5.3999999999999999E-2</v>
      </c>
      <c r="R64" s="81">
        <v>1.4999999999999999E-2</v>
      </c>
      <c r="S64" s="81">
        <v>0.125</v>
      </c>
      <c r="T64" s="81">
        <v>1.4E-2</v>
      </c>
      <c r="U64" s="81">
        <v>0</v>
      </c>
      <c r="V64" s="81">
        <v>2E-3</v>
      </c>
      <c r="W64" s="85">
        <v>0</v>
      </c>
      <c r="X64" s="81">
        <v>0</v>
      </c>
      <c r="Y64" s="81">
        <v>2E-3</v>
      </c>
      <c r="Z64" s="81">
        <v>4.9000000000000002E-2</v>
      </c>
      <c r="AA64" s="81">
        <v>6.0000000000000001E-3</v>
      </c>
      <c r="AB64" s="81">
        <v>5.8000000000000003E-2</v>
      </c>
      <c r="AC64" s="81">
        <v>8.9999999999999993E-3</v>
      </c>
      <c r="AD64" s="81">
        <v>0</v>
      </c>
      <c r="AE64" s="81">
        <v>3.0000000000000001E-3</v>
      </c>
      <c r="AF64" s="81">
        <v>0</v>
      </c>
      <c r="AG64" s="81">
        <v>7.3999999999999996E-2</v>
      </c>
      <c r="AH64" s="81">
        <v>0.14399999999999999</v>
      </c>
      <c r="AI64" s="81">
        <v>1E-3</v>
      </c>
      <c r="AJ64" s="81">
        <v>0.28399999999999997</v>
      </c>
      <c r="AK64" s="81"/>
      <c r="AL64" s="81"/>
      <c r="AM64" s="81"/>
    </row>
    <row r="65" spans="4:44">
      <c r="K65" s="82">
        <v>2005</v>
      </c>
      <c r="L65" s="83">
        <v>10031</v>
      </c>
      <c r="M65" s="84" t="s">
        <v>414</v>
      </c>
      <c r="N65" s="81">
        <v>9.0999999999999998E-2</v>
      </c>
      <c r="O65" s="81">
        <v>0</v>
      </c>
      <c r="P65" s="81">
        <v>6.0000000000000001E-3</v>
      </c>
      <c r="Q65" s="81">
        <v>0.06</v>
      </c>
      <c r="R65" s="81">
        <v>2.5000000000000001E-2</v>
      </c>
      <c r="S65" s="81">
        <v>0.104</v>
      </c>
      <c r="T65" s="81">
        <v>8.9999999999999993E-3</v>
      </c>
      <c r="U65" s="81">
        <v>0</v>
      </c>
      <c r="V65" s="81">
        <v>0</v>
      </c>
      <c r="W65" s="85">
        <v>0</v>
      </c>
      <c r="X65" s="81">
        <v>0</v>
      </c>
      <c r="Y65" s="81">
        <v>1E-3</v>
      </c>
      <c r="Z65" s="81">
        <v>2.5999999999999999E-2</v>
      </c>
      <c r="AA65" s="81">
        <v>3.0000000000000001E-3</v>
      </c>
      <c r="AB65" s="81">
        <v>3.6999999999999998E-2</v>
      </c>
      <c r="AC65" s="81">
        <v>2E-3</v>
      </c>
      <c r="AD65" s="81">
        <v>0</v>
      </c>
      <c r="AE65" s="81">
        <v>0</v>
      </c>
      <c r="AF65" s="81">
        <v>0</v>
      </c>
      <c r="AG65" s="81">
        <v>6.8000000000000005E-2</v>
      </c>
      <c r="AH65" s="81">
        <v>7.5999999999999998E-2</v>
      </c>
      <c r="AI65" s="81">
        <v>0</v>
      </c>
      <c r="AJ65" s="81">
        <v>0.49099999999999999</v>
      </c>
      <c r="AK65" s="81">
        <f>SUM(N65:AH65)</f>
        <v>0.50800000000000001</v>
      </c>
      <c r="AL65" s="81">
        <f>SUM(N65:AF65)</f>
        <v>0.36399999999999999</v>
      </c>
      <c r="AM65" s="81">
        <f>AG65+AH65</f>
        <v>0.14400000000000002</v>
      </c>
    </row>
    <row r="66" spans="4:44">
      <c r="K66" s="82">
        <v>2006</v>
      </c>
      <c r="L66" s="83">
        <v>3844</v>
      </c>
      <c r="M66" s="84" t="s">
        <v>414</v>
      </c>
      <c r="N66" s="81">
        <v>0.12</v>
      </c>
      <c r="O66" s="81">
        <v>1E-3</v>
      </c>
      <c r="P66" s="81">
        <v>5.0000000000000001E-3</v>
      </c>
      <c r="Q66" s="81">
        <v>3.6999999999999998E-2</v>
      </c>
      <c r="R66" s="81">
        <v>5.0000000000000001E-3</v>
      </c>
      <c r="S66" s="81">
        <v>0.113</v>
      </c>
      <c r="T66" s="81">
        <v>1.2999999999999999E-2</v>
      </c>
      <c r="U66" s="81">
        <v>0</v>
      </c>
      <c r="V66" s="81">
        <v>2E-3</v>
      </c>
      <c r="W66" s="85">
        <v>0</v>
      </c>
      <c r="X66" s="81">
        <v>1E-3</v>
      </c>
      <c r="Y66" s="81">
        <v>5.0000000000000001E-3</v>
      </c>
      <c r="Z66" s="81">
        <v>2.8000000000000001E-2</v>
      </c>
      <c r="AA66" s="81">
        <v>1E-3</v>
      </c>
      <c r="AB66" s="81">
        <v>4.0000000000000001E-3</v>
      </c>
      <c r="AC66" s="81">
        <v>3.0000000000000001E-3</v>
      </c>
      <c r="AD66" s="81">
        <v>2E-3</v>
      </c>
      <c r="AE66" s="81">
        <v>1E-3</v>
      </c>
      <c r="AF66" s="81">
        <v>0</v>
      </c>
      <c r="AG66" s="81">
        <v>0.129</v>
      </c>
      <c r="AH66" s="81">
        <v>0.10199999999999999</v>
      </c>
      <c r="AI66" s="81">
        <v>0</v>
      </c>
      <c r="AJ66" s="81">
        <v>0.42699999999999999</v>
      </c>
      <c r="AK66" s="81">
        <f>SUM(N66:AH66)</f>
        <v>0.57200000000000006</v>
      </c>
      <c r="AL66" s="81">
        <f>SUM(N66:AF66)</f>
        <v>0.34100000000000008</v>
      </c>
      <c r="AM66" s="81">
        <f>AG66+AH66</f>
        <v>0.23099999999999998</v>
      </c>
    </row>
    <row r="67" spans="4:44">
      <c r="K67" s="82">
        <v>2007</v>
      </c>
      <c r="L67" s="83">
        <v>5573</v>
      </c>
      <c r="M67" s="84" t="s">
        <v>414</v>
      </c>
      <c r="N67" s="81">
        <v>9.8000000000000004E-2</v>
      </c>
      <c r="O67" s="81">
        <v>1.9E-2</v>
      </c>
      <c r="P67" s="81">
        <v>1.2E-2</v>
      </c>
      <c r="Q67" s="81">
        <v>1.2E-2</v>
      </c>
      <c r="R67" s="81">
        <v>1.7000000000000001E-2</v>
      </c>
      <c r="S67" s="81">
        <v>5.2999999999999999E-2</v>
      </c>
      <c r="T67" s="81">
        <v>1.2E-2</v>
      </c>
      <c r="U67" s="81">
        <v>0</v>
      </c>
      <c r="V67" s="81">
        <v>3.0000000000000001E-3</v>
      </c>
      <c r="W67" s="85">
        <v>0</v>
      </c>
      <c r="X67" s="81">
        <v>8.0000000000000002E-3</v>
      </c>
      <c r="Y67" s="81">
        <v>3.0000000000000001E-3</v>
      </c>
      <c r="Z67" s="81">
        <v>2.5000000000000001E-2</v>
      </c>
      <c r="AA67" s="81">
        <v>1E-3</v>
      </c>
      <c r="AB67" s="81">
        <v>1.4E-2</v>
      </c>
      <c r="AC67" s="81">
        <v>4.0000000000000001E-3</v>
      </c>
      <c r="AD67" s="81">
        <v>0</v>
      </c>
      <c r="AE67" s="81">
        <v>5.0000000000000001E-3</v>
      </c>
      <c r="AF67" s="81">
        <v>0</v>
      </c>
      <c r="AG67" s="81">
        <v>8.6999999999999994E-2</v>
      </c>
      <c r="AH67" s="81">
        <v>0.158</v>
      </c>
      <c r="AI67" s="81">
        <v>4.0000000000000001E-3</v>
      </c>
      <c r="AJ67" s="81">
        <v>0.46400000000000002</v>
      </c>
      <c r="AK67" s="81">
        <f t="shared" ref="AK67:AK72" si="0">SUM(N67:AH67)</f>
        <v>0.53100000000000014</v>
      </c>
      <c r="AL67" s="81">
        <f t="shared" ref="AL67:AL72" si="1">SUM(N67:AF67)</f>
        <v>0.28600000000000009</v>
      </c>
      <c r="AM67" s="81">
        <f t="shared" ref="AM67:AM72" si="2">AG67+AH67</f>
        <v>0.245</v>
      </c>
    </row>
    <row r="68" spans="4:44">
      <c r="K68" s="82">
        <v>2008</v>
      </c>
      <c r="L68" s="83">
        <v>4742</v>
      </c>
      <c r="M68" s="84" t="s">
        <v>414</v>
      </c>
      <c r="N68" s="81">
        <v>8.7999999999999995E-2</v>
      </c>
      <c r="O68" s="81">
        <v>1E-3</v>
      </c>
      <c r="P68" s="81">
        <v>3.0000000000000001E-3</v>
      </c>
      <c r="Q68" s="81">
        <v>0.01</v>
      </c>
      <c r="R68" s="81">
        <v>6.0000000000000001E-3</v>
      </c>
      <c r="S68" s="81">
        <v>6.4000000000000001E-2</v>
      </c>
      <c r="T68" s="81">
        <v>3.2000000000000001E-2</v>
      </c>
      <c r="U68" s="81">
        <v>0</v>
      </c>
      <c r="V68" s="81">
        <v>0</v>
      </c>
      <c r="W68" s="85">
        <v>0</v>
      </c>
      <c r="X68" s="81">
        <v>1E-3</v>
      </c>
      <c r="Y68" s="81">
        <v>6.0000000000000001E-3</v>
      </c>
      <c r="Z68" s="81">
        <v>0.03</v>
      </c>
      <c r="AA68" s="81">
        <v>6.0000000000000001E-3</v>
      </c>
      <c r="AB68" s="81">
        <v>0</v>
      </c>
      <c r="AC68" s="81">
        <v>0</v>
      </c>
      <c r="AD68" s="81">
        <v>0</v>
      </c>
      <c r="AE68" s="81">
        <v>2E-3</v>
      </c>
      <c r="AF68" s="81">
        <v>0</v>
      </c>
      <c r="AG68" s="81">
        <v>0.193</v>
      </c>
      <c r="AH68" s="81">
        <v>0.105</v>
      </c>
      <c r="AI68" s="81">
        <v>2E-3</v>
      </c>
      <c r="AJ68" s="81">
        <v>0.45200000000000001</v>
      </c>
      <c r="AK68" s="81">
        <f t="shared" si="0"/>
        <v>0.54700000000000004</v>
      </c>
      <c r="AL68" s="81">
        <f t="shared" si="1"/>
        <v>0.249</v>
      </c>
      <c r="AM68" s="81">
        <f t="shared" si="2"/>
        <v>0.29799999999999999</v>
      </c>
    </row>
    <row r="69" spans="4:44">
      <c r="K69" s="82">
        <v>2009</v>
      </c>
      <c r="L69" s="83">
        <v>3797</v>
      </c>
      <c r="M69" s="84" t="s">
        <v>414</v>
      </c>
      <c r="N69" s="81">
        <v>8.6999999999999994E-2</v>
      </c>
      <c r="O69" s="81">
        <v>1E-3</v>
      </c>
      <c r="P69" s="81">
        <v>4.0000000000000001E-3</v>
      </c>
      <c r="Q69" s="81">
        <v>1.4E-2</v>
      </c>
      <c r="R69" s="81">
        <v>7.0000000000000001E-3</v>
      </c>
      <c r="S69" s="81">
        <v>6.2E-2</v>
      </c>
      <c r="T69" s="81">
        <v>4.1000000000000002E-2</v>
      </c>
      <c r="U69" s="81">
        <v>0</v>
      </c>
      <c r="V69" s="81">
        <v>0</v>
      </c>
      <c r="W69" s="85">
        <v>0</v>
      </c>
      <c r="X69" s="81">
        <v>0</v>
      </c>
      <c r="Y69" s="81">
        <v>1E-3</v>
      </c>
      <c r="Z69" s="81">
        <v>1.6E-2</v>
      </c>
      <c r="AA69" s="81">
        <v>2E-3</v>
      </c>
      <c r="AB69" s="81">
        <v>0</v>
      </c>
      <c r="AC69" s="81">
        <v>0</v>
      </c>
      <c r="AD69" s="81">
        <v>0</v>
      </c>
      <c r="AE69" s="81">
        <v>0</v>
      </c>
      <c r="AF69" s="81">
        <v>0</v>
      </c>
      <c r="AG69" s="81">
        <v>0.17499999999999999</v>
      </c>
      <c r="AH69" s="81">
        <v>6.5000000000000002E-2</v>
      </c>
      <c r="AI69" s="81">
        <v>0</v>
      </c>
      <c r="AJ69" s="81">
        <v>0.52500000000000002</v>
      </c>
      <c r="AK69" s="81">
        <f t="shared" si="0"/>
        <v>0.47499999999999998</v>
      </c>
      <c r="AL69" s="81">
        <f t="shared" si="1"/>
        <v>0.23499999999999999</v>
      </c>
      <c r="AM69" s="81">
        <f t="shared" si="2"/>
        <v>0.24</v>
      </c>
    </row>
    <row r="70" spans="4:44">
      <c r="K70" s="82">
        <v>2010</v>
      </c>
      <c r="L70" s="83">
        <v>2123</v>
      </c>
      <c r="M70" s="84" t="s">
        <v>414</v>
      </c>
      <c r="N70" s="81">
        <v>0.09</v>
      </c>
      <c r="O70" s="81">
        <v>1E-3</v>
      </c>
      <c r="P70" s="81">
        <v>5.0000000000000001E-3</v>
      </c>
      <c r="Q70" s="81">
        <v>1.7000000000000001E-2</v>
      </c>
      <c r="R70" s="81">
        <v>0.02</v>
      </c>
      <c r="S70" s="81">
        <v>3.3000000000000002E-2</v>
      </c>
      <c r="T70" s="81">
        <v>7.0000000000000001E-3</v>
      </c>
      <c r="U70" s="81">
        <v>0</v>
      </c>
      <c r="V70" s="81">
        <v>1.2E-2</v>
      </c>
      <c r="W70" s="85">
        <v>0</v>
      </c>
      <c r="X70" s="81">
        <v>0</v>
      </c>
      <c r="Y70" s="81">
        <v>1.0999999999999999E-2</v>
      </c>
      <c r="Z70" s="81">
        <v>2.4E-2</v>
      </c>
      <c r="AA70" s="81">
        <v>6.0000000000000001E-3</v>
      </c>
      <c r="AB70" s="81">
        <v>2.1999999999999999E-2</v>
      </c>
      <c r="AC70" s="81">
        <v>4.0000000000000001E-3</v>
      </c>
      <c r="AD70" s="81">
        <v>0</v>
      </c>
      <c r="AE70" s="81">
        <v>0</v>
      </c>
      <c r="AF70" s="81">
        <v>0</v>
      </c>
      <c r="AG70" s="81">
        <v>0.20300000000000001</v>
      </c>
      <c r="AH70" s="81">
        <v>9.0999999999999998E-2</v>
      </c>
      <c r="AI70" s="81">
        <v>1.4999999999999999E-2</v>
      </c>
      <c r="AJ70" s="81">
        <v>0.438</v>
      </c>
      <c r="AK70" s="81">
        <f t="shared" si="0"/>
        <v>0.54600000000000004</v>
      </c>
      <c r="AL70" s="81">
        <f t="shared" si="1"/>
        <v>0.252</v>
      </c>
      <c r="AM70" s="81">
        <f t="shared" si="2"/>
        <v>0.29400000000000004</v>
      </c>
    </row>
    <row r="71" spans="4:44">
      <c r="K71" s="82">
        <v>2011</v>
      </c>
      <c r="L71" s="83">
        <v>1846</v>
      </c>
      <c r="M71" s="84" t="s">
        <v>414</v>
      </c>
      <c r="N71" s="81">
        <v>0.121</v>
      </c>
      <c r="O71" s="81">
        <v>2E-3</v>
      </c>
      <c r="P71" s="81">
        <v>8.9999999999999993E-3</v>
      </c>
      <c r="Q71" s="81">
        <v>2.3E-2</v>
      </c>
      <c r="R71" s="81">
        <v>7.0000000000000001E-3</v>
      </c>
      <c r="S71" s="81">
        <v>4.2000000000000003E-2</v>
      </c>
      <c r="T71" s="81">
        <v>0.03</v>
      </c>
      <c r="U71" s="81">
        <v>0</v>
      </c>
      <c r="V71" s="81">
        <v>0</v>
      </c>
      <c r="W71" s="85">
        <v>0</v>
      </c>
      <c r="X71" s="81">
        <v>0</v>
      </c>
      <c r="Y71" s="81">
        <v>0</v>
      </c>
      <c r="Z71" s="81">
        <v>1.4999999999999999E-2</v>
      </c>
      <c r="AA71" s="81">
        <v>8.9999999999999993E-3</v>
      </c>
      <c r="AB71" s="81">
        <v>2.7E-2</v>
      </c>
      <c r="AC71" s="81">
        <v>3.0000000000000001E-3</v>
      </c>
      <c r="AD71" s="81">
        <v>0</v>
      </c>
      <c r="AE71" s="81">
        <v>0</v>
      </c>
      <c r="AF71" s="81">
        <v>0</v>
      </c>
      <c r="AG71" s="81">
        <v>0.23100000000000001</v>
      </c>
      <c r="AH71" s="81">
        <v>0.113</v>
      </c>
      <c r="AI71" s="81">
        <v>3.4000000000000002E-2</v>
      </c>
      <c r="AJ71" s="81">
        <v>0.33300000000000002</v>
      </c>
      <c r="AK71" s="81">
        <f t="shared" si="0"/>
        <v>0.63200000000000001</v>
      </c>
      <c r="AL71" s="81">
        <f t="shared" si="1"/>
        <v>0.28800000000000003</v>
      </c>
      <c r="AM71" s="81">
        <f t="shared" si="2"/>
        <v>0.34400000000000003</v>
      </c>
    </row>
    <row r="72" spans="4:44">
      <c r="K72" s="82">
        <v>2012</v>
      </c>
      <c r="L72" s="83">
        <v>1615</v>
      </c>
      <c r="M72" s="84" t="s">
        <v>414</v>
      </c>
      <c r="N72" s="81">
        <v>9.2999999999999999E-2</v>
      </c>
      <c r="O72" s="81">
        <v>1.4E-2</v>
      </c>
      <c r="P72" s="81">
        <v>0</v>
      </c>
      <c r="Q72" s="81">
        <v>0.02</v>
      </c>
      <c r="R72" s="81">
        <v>5.0000000000000001E-3</v>
      </c>
      <c r="S72" s="81">
        <v>0.08</v>
      </c>
      <c r="T72" s="81">
        <v>5.3999999999999999E-2</v>
      </c>
      <c r="U72" s="81">
        <v>0</v>
      </c>
      <c r="V72" s="81">
        <v>1E-3</v>
      </c>
      <c r="W72" s="85">
        <v>0</v>
      </c>
      <c r="X72" s="81">
        <v>0</v>
      </c>
      <c r="Y72" s="81">
        <v>4.0000000000000001E-3</v>
      </c>
      <c r="Z72" s="81">
        <v>6.8000000000000005E-2</v>
      </c>
      <c r="AA72" s="81">
        <v>2.4E-2</v>
      </c>
      <c r="AB72" s="81">
        <v>3.6999999999999998E-2</v>
      </c>
      <c r="AC72" s="81">
        <v>8.9999999999999993E-3</v>
      </c>
      <c r="AD72" s="81">
        <v>0</v>
      </c>
      <c r="AE72" s="81">
        <v>0.01</v>
      </c>
      <c r="AF72" s="81">
        <v>0</v>
      </c>
      <c r="AG72" s="81">
        <v>0.14699999999999999</v>
      </c>
      <c r="AH72" s="81">
        <v>0.15</v>
      </c>
      <c r="AI72" s="81">
        <v>4.2999999999999997E-2</v>
      </c>
      <c r="AJ72" s="81">
        <v>0.24</v>
      </c>
      <c r="AK72" s="81">
        <f t="shared" si="0"/>
        <v>0.71600000000000008</v>
      </c>
      <c r="AL72" s="81">
        <f t="shared" si="1"/>
        <v>0.41900000000000004</v>
      </c>
      <c r="AM72" s="81">
        <f t="shared" si="2"/>
        <v>0.29699999999999999</v>
      </c>
    </row>
    <row r="73" spans="4:44">
      <c r="AK73" s="91">
        <f>AVERAGE(AK65:AK72)</f>
        <v>0.56587500000000002</v>
      </c>
      <c r="AL73" s="91">
        <f>AVERAGE(AL65:AL72)</f>
        <v>0.30425000000000002</v>
      </c>
      <c r="AM73" s="91">
        <f>AVERAGE(AM65:AM72)</f>
        <v>0.261625</v>
      </c>
    </row>
    <row r="74" spans="4:44">
      <c r="K74" s="91"/>
      <c r="L74" s="91"/>
      <c r="M74" s="91"/>
      <c r="N74" s="91">
        <f t="shared" ref="N74:AJ74" si="3">AVERAGE(N63:N72)</f>
        <v>0.12109999999999999</v>
      </c>
      <c r="O74" s="91">
        <f t="shared" si="3"/>
        <v>5.0000000000000001E-3</v>
      </c>
      <c r="P74" s="91">
        <f t="shared" si="3"/>
        <v>6.7000000000000002E-3</v>
      </c>
      <c r="Q74" s="91">
        <f t="shared" si="3"/>
        <v>3.6700000000000003E-2</v>
      </c>
      <c r="R74" s="91">
        <f t="shared" si="3"/>
        <v>1.2000000000000002E-2</v>
      </c>
      <c r="S74" s="91">
        <f t="shared" si="3"/>
        <v>7.8900000000000012E-2</v>
      </c>
      <c r="T74" s="91">
        <f t="shared" si="3"/>
        <v>2.1499999999999998E-2</v>
      </c>
      <c r="U74" s="91">
        <f t="shared" si="3"/>
        <v>0</v>
      </c>
      <c r="V74" s="91">
        <f t="shared" si="3"/>
        <v>2.1000000000000003E-3</v>
      </c>
      <c r="W74" s="91">
        <f t="shared" si="3"/>
        <v>0</v>
      </c>
      <c r="X74" s="91">
        <f t="shared" si="3"/>
        <v>1.0000000000000002E-3</v>
      </c>
      <c r="Y74" s="91">
        <f t="shared" si="3"/>
        <v>4.2000000000000006E-3</v>
      </c>
      <c r="Z74" s="91">
        <f t="shared" si="3"/>
        <v>3.1E-2</v>
      </c>
      <c r="AA74" s="91">
        <f t="shared" si="3"/>
        <v>6.2000000000000006E-3</v>
      </c>
      <c r="AB74" s="91">
        <f t="shared" si="3"/>
        <v>2.3700000000000002E-2</v>
      </c>
      <c r="AC74" s="91">
        <f t="shared" si="3"/>
        <v>4.0000000000000001E-3</v>
      </c>
      <c r="AD74" s="91">
        <f t="shared" si="3"/>
        <v>2.0000000000000001E-4</v>
      </c>
      <c r="AE74" s="91">
        <f t="shared" si="3"/>
        <v>2.1999999999999997E-3</v>
      </c>
      <c r="AF74" s="91">
        <f t="shared" si="3"/>
        <v>0</v>
      </c>
      <c r="AG74" s="91">
        <f t="shared" si="3"/>
        <v>0.13340000000000002</v>
      </c>
      <c r="AH74" s="91">
        <f t="shared" si="3"/>
        <v>0.10599999999999998</v>
      </c>
      <c r="AI74" s="91">
        <f t="shared" si="3"/>
        <v>1.0200000000000001E-2</v>
      </c>
      <c r="AJ74" s="91">
        <f t="shared" si="3"/>
        <v>0.39340000000000003</v>
      </c>
      <c r="AK74" s="91">
        <f>AVERAGE(AK64:AK72)</f>
        <v>0.56587500000000002</v>
      </c>
      <c r="AL74" s="91">
        <f>AVERAGE(AL64:AL72)</f>
        <v>0.30425000000000002</v>
      </c>
      <c r="AM74" s="91">
        <f>AVERAGE(AM64:AM72)</f>
        <v>0.261625</v>
      </c>
    </row>
    <row r="75" spans="4:44" ht="15" thickBot="1"/>
    <row r="76" spans="4:44">
      <c r="K76" s="717" t="s">
        <v>717</v>
      </c>
      <c r="L76" s="511" t="s">
        <v>718</v>
      </c>
      <c r="M76" s="720" t="s">
        <v>387</v>
      </c>
      <c r="N76" s="724" t="s">
        <v>363</v>
      </c>
      <c r="O76" s="726" t="s">
        <v>363</v>
      </c>
      <c r="P76" s="726" t="s">
        <v>719</v>
      </c>
      <c r="Q76" s="726"/>
      <c r="R76" s="726"/>
      <c r="S76" s="726" t="s">
        <v>363</v>
      </c>
      <c r="T76" s="730" t="s">
        <v>363</v>
      </c>
      <c r="U76" s="724" t="s">
        <v>363</v>
      </c>
      <c r="V76" s="726" t="s">
        <v>363</v>
      </c>
      <c r="W76" s="726" t="s">
        <v>363</v>
      </c>
      <c r="X76" s="726" t="s">
        <v>363</v>
      </c>
      <c r="Y76" s="726" t="s">
        <v>363</v>
      </c>
      <c r="Z76" s="732" t="s">
        <v>720</v>
      </c>
      <c r="AA76" s="732"/>
      <c r="AB76" s="732"/>
      <c r="AC76" s="726" t="s">
        <v>363</v>
      </c>
      <c r="AD76" s="726" t="s">
        <v>363</v>
      </c>
      <c r="AE76" s="726" t="s">
        <v>363</v>
      </c>
      <c r="AF76" s="726" t="s">
        <v>363</v>
      </c>
      <c r="AG76" s="730" t="s">
        <v>363</v>
      </c>
      <c r="AH76" s="724" t="s">
        <v>363</v>
      </c>
      <c r="AI76" s="726" t="s">
        <v>363</v>
      </c>
      <c r="AJ76" s="726" t="s">
        <v>363</v>
      </c>
      <c r="AK76" s="734" t="s">
        <v>721</v>
      </c>
      <c r="AL76" s="734"/>
      <c r="AM76" s="734"/>
      <c r="AN76" s="726" t="s">
        <v>363</v>
      </c>
      <c r="AO76" s="730" t="s">
        <v>363</v>
      </c>
      <c r="AP76" s="736" t="s">
        <v>638</v>
      </c>
      <c r="AQ76" s="737"/>
    </row>
    <row r="77" spans="4:44" ht="15" thickBot="1">
      <c r="K77" s="718"/>
      <c r="L77" s="512" t="s">
        <v>386</v>
      </c>
      <c r="M77" s="721"/>
      <c r="N77" s="725"/>
      <c r="O77" s="727"/>
      <c r="P77" s="727"/>
      <c r="Q77" s="727"/>
      <c r="R77" s="727"/>
      <c r="S77" s="727"/>
      <c r="T77" s="731"/>
      <c r="U77" s="725"/>
      <c r="V77" s="727"/>
      <c r="W77" s="727"/>
      <c r="X77" s="727"/>
      <c r="Y77" s="727"/>
      <c r="Z77" s="733"/>
      <c r="AA77" s="733"/>
      <c r="AB77" s="733"/>
      <c r="AC77" s="727"/>
      <c r="AD77" s="727"/>
      <c r="AE77" s="727"/>
      <c r="AF77" s="727"/>
      <c r="AG77" s="731"/>
      <c r="AH77" s="725"/>
      <c r="AI77" s="727"/>
      <c r="AJ77" s="727"/>
      <c r="AK77" s="735"/>
      <c r="AL77" s="735"/>
      <c r="AM77" s="735"/>
      <c r="AN77" s="727"/>
      <c r="AO77" s="731"/>
      <c r="AP77" s="738"/>
      <c r="AQ77" s="739"/>
    </row>
    <row r="78" spans="4:44">
      <c r="K78" s="718"/>
      <c r="L78" s="513" t="s">
        <v>722</v>
      </c>
      <c r="M78" s="722"/>
      <c r="N78" s="728" t="s">
        <v>388</v>
      </c>
      <c r="O78" s="729"/>
      <c r="P78" s="729"/>
      <c r="Q78" s="729" t="s">
        <v>389</v>
      </c>
      <c r="R78" s="729"/>
      <c r="S78" s="729" t="s">
        <v>390</v>
      </c>
      <c r="T78" s="729"/>
      <c r="U78" s="728" t="s">
        <v>723</v>
      </c>
      <c r="V78" s="729"/>
      <c r="W78" s="729"/>
      <c r="X78" s="728" t="s">
        <v>724</v>
      </c>
      <c r="Y78" s="729"/>
      <c r="Z78" s="729"/>
      <c r="AA78" s="728" t="s">
        <v>394</v>
      </c>
      <c r="AB78" s="729"/>
      <c r="AC78" s="728" t="s">
        <v>395</v>
      </c>
      <c r="AD78" s="729"/>
      <c r="AE78" s="514" t="s">
        <v>725</v>
      </c>
      <c r="AF78" s="728" t="s">
        <v>726</v>
      </c>
      <c r="AG78" s="729"/>
      <c r="AH78" s="728" t="s">
        <v>388</v>
      </c>
      <c r="AI78" s="729"/>
      <c r="AJ78" s="729"/>
      <c r="AK78" s="728" t="s">
        <v>393</v>
      </c>
      <c r="AL78" s="729"/>
      <c r="AM78" s="728" t="s">
        <v>727</v>
      </c>
      <c r="AN78" s="729"/>
      <c r="AO78" s="729"/>
      <c r="AP78" s="743" t="s">
        <v>728</v>
      </c>
      <c r="AQ78" s="740" t="s">
        <v>403</v>
      </c>
      <c r="AR78" t="s">
        <v>378</v>
      </c>
    </row>
    <row r="79" spans="4:44" ht="15" thickBot="1">
      <c r="K79" s="719"/>
      <c r="L79" s="515"/>
      <c r="M79" s="723"/>
      <c r="N79" s="516" t="s">
        <v>729</v>
      </c>
      <c r="O79" s="517" t="s">
        <v>730</v>
      </c>
      <c r="P79" s="517" t="s">
        <v>731</v>
      </c>
      <c r="Q79" s="517" t="s">
        <v>729</v>
      </c>
      <c r="R79" s="517" t="s">
        <v>731</v>
      </c>
      <c r="S79" s="517" t="s">
        <v>729</v>
      </c>
      <c r="T79" s="518" t="s">
        <v>731</v>
      </c>
      <c r="U79" s="516" t="s">
        <v>729</v>
      </c>
      <c r="V79" s="519" t="s">
        <v>730</v>
      </c>
      <c r="W79" s="519" t="s">
        <v>731</v>
      </c>
      <c r="X79" s="519" t="s">
        <v>729</v>
      </c>
      <c r="Y79" s="519" t="s">
        <v>730</v>
      </c>
      <c r="Z79" s="519" t="s">
        <v>731</v>
      </c>
      <c r="AA79" s="519" t="s">
        <v>729</v>
      </c>
      <c r="AB79" s="519" t="s">
        <v>731</v>
      </c>
      <c r="AC79" s="519" t="s">
        <v>729</v>
      </c>
      <c r="AD79" s="519" t="s">
        <v>731</v>
      </c>
      <c r="AE79" s="519" t="s">
        <v>730</v>
      </c>
      <c r="AF79" s="519" t="s">
        <v>730</v>
      </c>
      <c r="AG79" s="520" t="s">
        <v>731</v>
      </c>
      <c r="AH79" s="516" t="s">
        <v>729</v>
      </c>
      <c r="AI79" s="519" t="s">
        <v>730</v>
      </c>
      <c r="AJ79" s="519" t="s">
        <v>731</v>
      </c>
      <c r="AK79" s="519" t="s">
        <v>730</v>
      </c>
      <c r="AL79" s="519" t="s">
        <v>731</v>
      </c>
      <c r="AM79" s="519" t="s">
        <v>729</v>
      </c>
      <c r="AN79" s="519" t="s">
        <v>730</v>
      </c>
      <c r="AO79" s="520" t="s">
        <v>731</v>
      </c>
      <c r="AP79" s="744"/>
      <c r="AQ79" s="741"/>
      <c r="AR79" s="18" t="s">
        <v>737</v>
      </c>
    </row>
    <row r="80" spans="4:44">
      <c r="D80" s="510" t="s">
        <v>716</v>
      </c>
      <c r="K80" s="521">
        <v>1985</v>
      </c>
      <c r="L80" s="522">
        <v>6</v>
      </c>
      <c r="M80" s="522">
        <v>2</v>
      </c>
      <c r="N80" s="742" t="s">
        <v>732</v>
      </c>
      <c r="O80" s="743"/>
      <c r="P80" s="743"/>
      <c r="Q80" s="523" t="s">
        <v>411</v>
      </c>
      <c r="R80" s="523" t="s">
        <v>411</v>
      </c>
      <c r="S80" s="523" t="s">
        <v>411</v>
      </c>
      <c r="T80" s="522" t="s">
        <v>411</v>
      </c>
      <c r="U80" s="523" t="s">
        <v>411</v>
      </c>
      <c r="V80" s="523" t="s">
        <v>411</v>
      </c>
      <c r="W80" s="523" t="s">
        <v>411</v>
      </c>
      <c r="X80" s="524" t="s">
        <v>411</v>
      </c>
      <c r="Y80" s="523" t="s">
        <v>411</v>
      </c>
      <c r="Z80" s="524" t="s">
        <v>411</v>
      </c>
      <c r="AA80" s="523" t="s">
        <v>411</v>
      </c>
      <c r="AB80" s="523" t="s">
        <v>411</v>
      </c>
      <c r="AC80" s="523" t="s">
        <v>411</v>
      </c>
      <c r="AD80" s="523" t="s">
        <v>411</v>
      </c>
      <c r="AE80" s="525" t="s">
        <v>363</v>
      </c>
      <c r="AF80" s="525" t="s">
        <v>363</v>
      </c>
      <c r="AG80" s="526" t="s">
        <v>363</v>
      </c>
      <c r="AH80" s="525" t="s">
        <v>363</v>
      </c>
      <c r="AI80" s="525" t="s">
        <v>363</v>
      </c>
      <c r="AJ80" s="525" t="s">
        <v>363</v>
      </c>
      <c r="AK80" s="525" t="s">
        <v>363</v>
      </c>
      <c r="AL80" s="525" t="s">
        <v>363</v>
      </c>
      <c r="AM80" s="525" t="s">
        <v>363</v>
      </c>
      <c r="AN80" s="525" t="s">
        <v>363</v>
      </c>
      <c r="AO80" s="526" t="s">
        <v>363</v>
      </c>
      <c r="AP80" s="523" t="s">
        <v>411</v>
      </c>
      <c r="AQ80" s="522" t="s">
        <v>411</v>
      </c>
    </row>
    <row r="81" spans="2:44">
      <c r="K81" s="527">
        <v>1986</v>
      </c>
      <c r="L81" s="528">
        <v>30</v>
      </c>
      <c r="M81" s="528" t="s">
        <v>413</v>
      </c>
      <c r="N81" s="529">
        <v>0</v>
      </c>
      <c r="O81" s="529">
        <v>0</v>
      </c>
      <c r="P81" s="529">
        <v>0</v>
      </c>
      <c r="Q81" s="529">
        <v>3.3</v>
      </c>
      <c r="R81" s="529">
        <v>0</v>
      </c>
      <c r="S81" s="529">
        <v>6.7</v>
      </c>
      <c r="T81" s="530">
        <v>0</v>
      </c>
      <c r="U81" s="529">
        <v>13.3</v>
      </c>
      <c r="V81" s="529">
        <v>13.3</v>
      </c>
      <c r="W81" s="529">
        <v>0</v>
      </c>
      <c r="X81" s="529">
        <v>0</v>
      </c>
      <c r="Y81" s="529">
        <v>0</v>
      </c>
      <c r="Z81" s="529">
        <v>0</v>
      </c>
      <c r="AA81" s="529">
        <v>3.3</v>
      </c>
      <c r="AB81" s="529">
        <v>6.7</v>
      </c>
      <c r="AC81" s="529">
        <v>0</v>
      </c>
      <c r="AD81" s="529">
        <v>0</v>
      </c>
      <c r="AE81" s="529">
        <v>0</v>
      </c>
      <c r="AF81" s="529">
        <v>0</v>
      </c>
      <c r="AG81" s="530">
        <v>0</v>
      </c>
      <c r="AH81" s="529">
        <v>0</v>
      </c>
      <c r="AI81" s="529">
        <v>0</v>
      </c>
      <c r="AJ81" s="529">
        <v>0</v>
      </c>
      <c r="AK81" s="529">
        <v>0</v>
      </c>
      <c r="AL81" s="529">
        <v>0</v>
      </c>
      <c r="AM81" s="529">
        <v>0</v>
      </c>
      <c r="AN81" s="529">
        <v>13.3</v>
      </c>
      <c r="AO81" s="530">
        <v>0</v>
      </c>
      <c r="AP81" s="529">
        <v>3.3</v>
      </c>
      <c r="AQ81" s="530">
        <v>36.700000000000003</v>
      </c>
      <c r="AR81" s="93">
        <f t="shared" ref="AR81:AR109" si="4">1-(AQ81-AP81)/100</f>
        <v>0.66599999999999993</v>
      </c>
    </row>
    <row r="82" spans="2:44">
      <c r="C82" t="s">
        <v>694</v>
      </c>
      <c r="D82" t="s">
        <v>700</v>
      </c>
      <c r="E82" t="s">
        <v>699</v>
      </c>
      <c r="K82" s="527">
        <v>1987</v>
      </c>
      <c r="L82" s="528">
        <v>110</v>
      </c>
      <c r="M82" s="528" t="s">
        <v>406</v>
      </c>
      <c r="N82" s="529">
        <v>14.5</v>
      </c>
      <c r="O82" s="529">
        <v>0.9</v>
      </c>
      <c r="P82" s="529">
        <v>0</v>
      </c>
      <c r="Q82" s="529">
        <v>5.5</v>
      </c>
      <c r="R82" s="529">
        <v>0</v>
      </c>
      <c r="S82" s="529">
        <v>11.8</v>
      </c>
      <c r="T82" s="530">
        <v>0.9</v>
      </c>
      <c r="U82" s="529">
        <v>2.7</v>
      </c>
      <c r="V82" s="529">
        <v>5.5</v>
      </c>
      <c r="W82" s="529">
        <v>0</v>
      </c>
      <c r="X82" s="529">
        <v>0</v>
      </c>
      <c r="Y82" s="529">
        <v>0</v>
      </c>
      <c r="Z82" s="529">
        <v>3.6</v>
      </c>
      <c r="AA82" s="529">
        <v>14.5</v>
      </c>
      <c r="AB82" s="529">
        <v>0.9</v>
      </c>
      <c r="AC82" s="529">
        <v>8.1999999999999993</v>
      </c>
      <c r="AD82" s="529">
        <v>0</v>
      </c>
      <c r="AE82" s="529">
        <v>0</v>
      </c>
      <c r="AF82" s="529">
        <v>0</v>
      </c>
      <c r="AG82" s="530">
        <v>0</v>
      </c>
      <c r="AH82" s="529">
        <v>0</v>
      </c>
      <c r="AI82" s="529">
        <v>0</v>
      </c>
      <c r="AJ82" s="529">
        <v>0</v>
      </c>
      <c r="AK82" s="529">
        <v>0</v>
      </c>
      <c r="AL82" s="529">
        <v>0</v>
      </c>
      <c r="AM82" s="529">
        <v>0</v>
      </c>
      <c r="AN82" s="529">
        <v>6.4</v>
      </c>
      <c r="AO82" s="530">
        <v>0</v>
      </c>
      <c r="AP82" s="529">
        <v>3.6</v>
      </c>
      <c r="AQ82" s="530">
        <v>20.9</v>
      </c>
      <c r="AR82" s="93">
        <f t="shared" si="4"/>
        <v>0.82700000000000007</v>
      </c>
    </row>
    <row r="83" spans="2:44">
      <c r="B83" t="s">
        <v>415</v>
      </c>
      <c r="D83" s="91">
        <f>E83</f>
        <v>0.12499999999999999</v>
      </c>
      <c r="E83" s="91">
        <f>SUM(N118:P118)</f>
        <v>0.12499999999999999</v>
      </c>
      <c r="K83" s="521">
        <v>1988</v>
      </c>
      <c r="L83" s="522">
        <v>291</v>
      </c>
      <c r="M83" s="522" t="s">
        <v>414</v>
      </c>
      <c r="N83" s="525">
        <v>1.7</v>
      </c>
      <c r="O83" s="525">
        <v>3.4</v>
      </c>
      <c r="P83" s="525">
        <v>0</v>
      </c>
      <c r="Q83" s="525">
        <v>10</v>
      </c>
      <c r="R83" s="525">
        <v>2.1</v>
      </c>
      <c r="S83" s="525">
        <v>22.3</v>
      </c>
      <c r="T83" s="526">
        <v>4.8</v>
      </c>
      <c r="U83" s="525">
        <v>0</v>
      </c>
      <c r="V83" s="525">
        <v>7.9</v>
      </c>
      <c r="W83" s="525">
        <v>0</v>
      </c>
      <c r="X83" s="525">
        <v>0</v>
      </c>
      <c r="Y83" s="525">
        <v>1.4</v>
      </c>
      <c r="Z83" s="525">
        <v>0</v>
      </c>
      <c r="AA83" s="525">
        <v>3.4</v>
      </c>
      <c r="AB83" s="525">
        <v>0</v>
      </c>
      <c r="AC83" s="525">
        <v>0.3</v>
      </c>
      <c r="AD83" s="525">
        <v>0</v>
      </c>
      <c r="AE83" s="525">
        <v>0</v>
      </c>
      <c r="AF83" s="525">
        <v>0</v>
      </c>
      <c r="AG83" s="526">
        <v>0</v>
      </c>
      <c r="AH83" s="525">
        <v>0</v>
      </c>
      <c r="AI83" s="525">
        <v>0</v>
      </c>
      <c r="AJ83" s="525">
        <v>0</v>
      </c>
      <c r="AK83" s="525">
        <v>0</v>
      </c>
      <c r="AL83" s="525">
        <v>0</v>
      </c>
      <c r="AM83" s="525">
        <v>0</v>
      </c>
      <c r="AN83" s="525">
        <v>13.7</v>
      </c>
      <c r="AO83" s="526">
        <v>2.7</v>
      </c>
      <c r="AP83" s="525">
        <v>0</v>
      </c>
      <c r="AQ83" s="526">
        <v>26.1</v>
      </c>
      <c r="AR83" s="93">
        <f t="shared" si="4"/>
        <v>0.73899999999999999</v>
      </c>
    </row>
    <row r="84" spans="2:44">
      <c r="B84" t="s">
        <v>393</v>
      </c>
      <c r="D84" s="91">
        <f t="shared" ref="D84:D85" si="5">E84</f>
        <v>0.12529999999999999</v>
      </c>
      <c r="E84" s="91">
        <f>SUM(Q118:Z118)</f>
        <v>0.12529999999999999</v>
      </c>
      <c r="K84" s="521">
        <v>1989</v>
      </c>
      <c r="L84" s="522">
        <v>707</v>
      </c>
      <c r="M84" s="522" t="s">
        <v>414</v>
      </c>
      <c r="N84" s="525">
        <v>7.1</v>
      </c>
      <c r="O84" s="525">
        <v>2</v>
      </c>
      <c r="P84" s="525">
        <v>0.6</v>
      </c>
      <c r="Q84" s="525">
        <v>5.4</v>
      </c>
      <c r="R84" s="525">
        <v>0</v>
      </c>
      <c r="S84" s="525">
        <v>16</v>
      </c>
      <c r="T84" s="526">
        <v>1.4</v>
      </c>
      <c r="U84" s="525">
        <v>0.6</v>
      </c>
      <c r="V84" s="525">
        <v>0.3</v>
      </c>
      <c r="W84" s="525">
        <v>0.6</v>
      </c>
      <c r="X84" s="525">
        <v>0</v>
      </c>
      <c r="Y84" s="525">
        <v>2</v>
      </c>
      <c r="Z84" s="525">
        <v>2.1</v>
      </c>
      <c r="AA84" s="525">
        <v>9.8000000000000007</v>
      </c>
      <c r="AB84" s="525">
        <v>2.4</v>
      </c>
      <c r="AC84" s="525">
        <v>4.7</v>
      </c>
      <c r="AD84" s="525">
        <v>0</v>
      </c>
      <c r="AE84" s="525">
        <v>0</v>
      </c>
      <c r="AF84" s="525">
        <v>0</v>
      </c>
      <c r="AG84" s="526">
        <v>0</v>
      </c>
      <c r="AH84" s="525">
        <v>0</v>
      </c>
      <c r="AI84" s="525">
        <v>0</v>
      </c>
      <c r="AJ84" s="525">
        <v>0</v>
      </c>
      <c r="AK84" s="525">
        <v>0</v>
      </c>
      <c r="AL84" s="525">
        <v>0</v>
      </c>
      <c r="AM84" s="525">
        <v>0</v>
      </c>
      <c r="AN84" s="525">
        <v>7.5</v>
      </c>
      <c r="AO84" s="526">
        <v>0</v>
      </c>
      <c r="AP84" s="525">
        <v>0</v>
      </c>
      <c r="AQ84" s="526">
        <v>37.799999999999997</v>
      </c>
      <c r="AR84" s="93">
        <f t="shared" si="4"/>
        <v>0.62200000000000011</v>
      </c>
    </row>
    <row r="85" spans="2:44">
      <c r="B85" t="s">
        <v>184</v>
      </c>
      <c r="D85" s="91">
        <f t="shared" si="5"/>
        <v>8.7300000000000003E-2</v>
      </c>
      <c r="E85" s="91">
        <f>SUM(AA118:AG118)</f>
        <v>8.7300000000000003E-2</v>
      </c>
      <c r="K85" s="521">
        <v>1990</v>
      </c>
      <c r="L85" s="522">
        <v>861</v>
      </c>
      <c r="M85" s="522" t="s">
        <v>414</v>
      </c>
      <c r="N85" s="525">
        <v>10.7</v>
      </c>
      <c r="O85" s="525">
        <v>0</v>
      </c>
      <c r="P85" s="525">
        <v>0</v>
      </c>
      <c r="Q85" s="525">
        <v>7.8</v>
      </c>
      <c r="R85" s="525">
        <v>0</v>
      </c>
      <c r="S85" s="525">
        <v>20.9</v>
      </c>
      <c r="T85" s="526">
        <v>0</v>
      </c>
      <c r="U85" s="525">
        <v>1.2</v>
      </c>
      <c r="V85" s="525">
        <v>1.4</v>
      </c>
      <c r="W85" s="525">
        <v>0</v>
      </c>
      <c r="X85" s="525">
        <v>0</v>
      </c>
      <c r="Y85" s="525">
        <v>0.3</v>
      </c>
      <c r="Z85" s="525">
        <v>0.6</v>
      </c>
      <c r="AA85" s="525">
        <v>3.5</v>
      </c>
      <c r="AB85" s="525">
        <v>1.4</v>
      </c>
      <c r="AC85" s="525">
        <v>2.4</v>
      </c>
      <c r="AD85" s="525">
        <v>0.9</v>
      </c>
      <c r="AE85" s="525">
        <v>0</v>
      </c>
      <c r="AF85" s="525">
        <v>0</v>
      </c>
      <c r="AG85" s="526">
        <v>0</v>
      </c>
      <c r="AH85" s="525">
        <v>0</v>
      </c>
      <c r="AI85" s="525">
        <v>0</v>
      </c>
      <c r="AJ85" s="525">
        <v>0</v>
      </c>
      <c r="AK85" s="525">
        <v>0</v>
      </c>
      <c r="AL85" s="525">
        <v>0</v>
      </c>
      <c r="AM85" s="525">
        <v>0</v>
      </c>
      <c r="AN85" s="525">
        <v>10.6</v>
      </c>
      <c r="AO85" s="526">
        <v>0.2</v>
      </c>
      <c r="AP85" s="525">
        <v>0.5</v>
      </c>
      <c r="AQ85" s="526">
        <v>37.6</v>
      </c>
      <c r="AR85" s="93">
        <f t="shared" si="4"/>
        <v>0.629</v>
      </c>
    </row>
    <row r="86" spans="2:44">
      <c r="B86" t="s">
        <v>416</v>
      </c>
      <c r="C86" s="91">
        <f>run!$Y$46</f>
        <v>0.1014923196613909</v>
      </c>
      <c r="D86" s="91">
        <f>C86*(1-SUM(D$83:D$85))</f>
        <v>6.7228512543705335E-2</v>
      </c>
      <c r="E86" s="91"/>
      <c r="K86" s="521">
        <v>1991</v>
      </c>
      <c r="L86" s="522">
        <v>558</v>
      </c>
      <c r="M86" s="522" t="s">
        <v>414</v>
      </c>
      <c r="N86" s="525">
        <v>5.6</v>
      </c>
      <c r="O86" s="525">
        <v>0</v>
      </c>
      <c r="P86" s="525">
        <v>0</v>
      </c>
      <c r="Q86" s="525">
        <v>3</v>
      </c>
      <c r="R86" s="525">
        <v>0</v>
      </c>
      <c r="S86" s="525">
        <v>8.4</v>
      </c>
      <c r="T86" s="526">
        <v>0.9</v>
      </c>
      <c r="U86" s="525">
        <v>0.7</v>
      </c>
      <c r="V86" s="525">
        <v>2.2000000000000002</v>
      </c>
      <c r="W86" s="525">
        <v>0</v>
      </c>
      <c r="X86" s="525">
        <v>0</v>
      </c>
      <c r="Y86" s="525">
        <v>1.4</v>
      </c>
      <c r="Z86" s="525">
        <v>0</v>
      </c>
      <c r="AA86" s="525">
        <v>3.2</v>
      </c>
      <c r="AB86" s="525">
        <v>1.8</v>
      </c>
      <c r="AC86" s="525">
        <v>1.4</v>
      </c>
      <c r="AD86" s="525">
        <v>0.5</v>
      </c>
      <c r="AE86" s="525">
        <v>0</v>
      </c>
      <c r="AF86" s="525">
        <v>0</v>
      </c>
      <c r="AG86" s="526">
        <v>0</v>
      </c>
      <c r="AH86" s="525">
        <v>0</v>
      </c>
      <c r="AI86" s="525">
        <v>0</v>
      </c>
      <c r="AJ86" s="525">
        <v>0</v>
      </c>
      <c r="AK86" s="525">
        <v>0</v>
      </c>
      <c r="AL86" s="525">
        <v>0</v>
      </c>
      <c r="AM86" s="525">
        <v>0</v>
      </c>
      <c r="AN86" s="525">
        <v>5.2</v>
      </c>
      <c r="AO86" s="526">
        <v>0.5</v>
      </c>
      <c r="AP86" s="525">
        <v>0.9</v>
      </c>
      <c r="AQ86" s="526">
        <v>64.2</v>
      </c>
      <c r="AR86" s="93">
        <f t="shared" si="4"/>
        <v>0.36699999999999999</v>
      </c>
    </row>
    <row r="87" spans="2:44">
      <c r="B87" t="s">
        <v>417</v>
      </c>
      <c r="C87" s="91">
        <f>run!$Z$46</f>
        <v>3.6112320415720725E-2</v>
      </c>
      <c r="D87" s="91">
        <f t="shared" ref="D87:D89" si="6">C87*(1-SUM(D$83:D$85))</f>
        <v>2.3920801043373411E-2</v>
      </c>
      <c r="E87" s="93">
        <f>SUM(AM118:AO118)</f>
        <v>0.31319999999999998</v>
      </c>
      <c r="K87" s="521">
        <v>1992</v>
      </c>
      <c r="L87" s="522">
        <v>323</v>
      </c>
      <c r="M87" s="522" t="s">
        <v>414</v>
      </c>
      <c r="N87" s="525">
        <v>16.100000000000001</v>
      </c>
      <c r="O87" s="525">
        <v>0</v>
      </c>
      <c r="P87" s="525">
        <v>0</v>
      </c>
      <c r="Q87" s="525">
        <v>3.1</v>
      </c>
      <c r="R87" s="525">
        <v>0</v>
      </c>
      <c r="S87" s="525">
        <v>14.2</v>
      </c>
      <c r="T87" s="526">
        <v>0</v>
      </c>
      <c r="U87" s="525">
        <v>1.9</v>
      </c>
      <c r="V87" s="525">
        <v>0.9</v>
      </c>
      <c r="W87" s="525">
        <v>0</v>
      </c>
      <c r="X87" s="525">
        <v>0</v>
      </c>
      <c r="Y87" s="525">
        <v>0</v>
      </c>
      <c r="Z87" s="525">
        <v>0.6</v>
      </c>
      <c r="AA87" s="525">
        <v>3.7</v>
      </c>
      <c r="AB87" s="525">
        <v>0</v>
      </c>
      <c r="AC87" s="525">
        <v>2.5</v>
      </c>
      <c r="AD87" s="525">
        <v>0</v>
      </c>
      <c r="AE87" s="525">
        <v>0</v>
      </c>
      <c r="AF87" s="525">
        <v>0</v>
      </c>
      <c r="AG87" s="526">
        <v>1.5</v>
      </c>
      <c r="AH87" s="525">
        <v>0</v>
      </c>
      <c r="AI87" s="525">
        <v>0</v>
      </c>
      <c r="AJ87" s="525">
        <v>0</v>
      </c>
      <c r="AK87" s="525">
        <v>0</v>
      </c>
      <c r="AL87" s="525">
        <v>0</v>
      </c>
      <c r="AM87" s="525">
        <v>0</v>
      </c>
      <c r="AN87" s="525">
        <v>1.2</v>
      </c>
      <c r="AO87" s="526">
        <v>0</v>
      </c>
      <c r="AP87" s="525">
        <v>0.6</v>
      </c>
      <c r="AQ87" s="526">
        <v>53.6</v>
      </c>
      <c r="AR87" s="93">
        <f t="shared" si="4"/>
        <v>0.47</v>
      </c>
    </row>
    <row r="88" spans="2:44">
      <c r="B88" t="s">
        <v>418</v>
      </c>
      <c r="C88" s="91">
        <f>run!$AD$46</f>
        <v>0.22171247391620724</v>
      </c>
      <c r="D88" s="91">
        <f t="shared" si="6"/>
        <v>0.1468623427220957</v>
      </c>
      <c r="E88" s="93"/>
      <c r="K88" s="521">
        <v>1993</v>
      </c>
      <c r="L88" s="522">
        <v>167</v>
      </c>
      <c r="M88" s="522" t="s">
        <v>414</v>
      </c>
      <c r="N88" s="525">
        <v>9.6</v>
      </c>
      <c r="O88" s="525">
        <v>0</v>
      </c>
      <c r="P88" s="525">
        <v>0</v>
      </c>
      <c r="Q88" s="525">
        <v>1.8</v>
      </c>
      <c r="R88" s="525">
        <v>0</v>
      </c>
      <c r="S88" s="525">
        <v>20.399999999999999</v>
      </c>
      <c r="T88" s="526">
        <v>2.4</v>
      </c>
      <c r="U88" s="525">
        <v>0</v>
      </c>
      <c r="V88" s="525">
        <v>3</v>
      </c>
      <c r="W88" s="525">
        <v>0</v>
      </c>
      <c r="X88" s="525">
        <v>0</v>
      </c>
      <c r="Y88" s="525">
        <v>0</v>
      </c>
      <c r="Z88" s="525">
        <v>0</v>
      </c>
      <c r="AA88" s="525">
        <v>4.2</v>
      </c>
      <c r="AB88" s="525">
        <v>1.8</v>
      </c>
      <c r="AC88" s="525">
        <v>2.4</v>
      </c>
      <c r="AD88" s="525">
        <v>0</v>
      </c>
      <c r="AE88" s="525">
        <v>0</v>
      </c>
      <c r="AF88" s="525">
        <v>0</v>
      </c>
      <c r="AG88" s="526">
        <v>0</v>
      </c>
      <c r="AH88" s="525">
        <v>0</v>
      </c>
      <c r="AI88" s="525">
        <v>0</v>
      </c>
      <c r="AJ88" s="525">
        <v>0</v>
      </c>
      <c r="AK88" s="525">
        <v>0</v>
      </c>
      <c r="AL88" s="525">
        <v>0</v>
      </c>
      <c r="AM88" s="525">
        <v>0</v>
      </c>
      <c r="AN88" s="525">
        <v>4.2</v>
      </c>
      <c r="AO88" s="526">
        <v>0</v>
      </c>
      <c r="AP88" s="525">
        <v>0.6</v>
      </c>
      <c r="AQ88" s="526">
        <v>49.7</v>
      </c>
      <c r="AR88" s="93">
        <f t="shared" si="4"/>
        <v>0.50900000000000001</v>
      </c>
    </row>
    <row r="89" spans="2:44">
      <c r="B89" t="s">
        <v>419</v>
      </c>
      <c r="C89" s="91">
        <f>run!$AA$46</f>
        <v>4.1849509148949152E-2</v>
      </c>
      <c r="D89" s="91">
        <f t="shared" si="6"/>
        <v>2.7721114860263921E-2</v>
      </c>
      <c r="E89" s="93"/>
      <c r="K89" s="527">
        <v>1994</v>
      </c>
      <c r="L89" s="528">
        <v>44</v>
      </c>
      <c r="M89" s="528" t="s">
        <v>414</v>
      </c>
      <c r="N89" s="529">
        <v>11.4</v>
      </c>
      <c r="O89" s="529">
        <v>0</v>
      </c>
      <c r="P89" s="529">
        <v>0</v>
      </c>
      <c r="Q89" s="529">
        <v>0</v>
      </c>
      <c r="R89" s="529">
        <v>0</v>
      </c>
      <c r="S89" s="529">
        <v>0</v>
      </c>
      <c r="T89" s="530">
        <v>0</v>
      </c>
      <c r="U89" s="529">
        <v>0</v>
      </c>
      <c r="V89" s="529">
        <v>0</v>
      </c>
      <c r="W89" s="529">
        <v>18.2</v>
      </c>
      <c r="X89" s="529">
        <v>0</v>
      </c>
      <c r="Y89" s="529">
        <v>0</v>
      </c>
      <c r="Z89" s="529">
        <v>0</v>
      </c>
      <c r="AA89" s="529">
        <v>0</v>
      </c>
      <c r="AB89" s="529">
        <v>0</v>
      </c>
      <c r="AC89" s="529">
        <v>0</v>
      </c>
      <c r="AD89" s="529">
        <v>0</v>
      </c>
      <c r="AE89" s="529">
        <v>0</v>
      </c>
      <c r="AF89" s="529">
        <v>0</v>
      </c>
      <c r="AG89" s="530">
        <v>0</v>
      </c>
      <c r="AH89" s="529">
        <v>0</v>
      </c>
      <c r="AI89" s="529">
        <v>0</v>
      </c>
      <c r="AJ89" s="529">
        <v>0</v>
      </c>
      <c r="AK89" s="529">
        <v>0</v>
      </c>
      <c r="AL89" s="529">
        <v>0</v>
      </c>
      <c r="AM89" s="529">
        <v>0</v>
      </c>
      <c r="AN89" s="529">
        <v>4.5</v>
      </c>
      <c r="AO89" s="530">
        <v>0</v>
      </c>
      <c r="AP89" s="529">
        <v>0</v>
      </c>
      <c r="AQ89" s="530">
        <v>65.900000000000006</v>
      </c>
      <c r="AR89" s="93">
        <f t="shared" si="4"/>
        <v>0.34099999999999997</v>
      </c>
    </row>
    <row r="90" spans="2:44">
      <c r="K90" s="521">
        <v>1995</v>
      </c>
      <c r="L90" s="522">
        <v>174</v>
      </c>
      <c r="M90" s="522" t="s">
        <v>414</v>
      </c>
      <c r="N90" s="525">
        <v>4.5999999999999996</v>
      </c>
      <c r="O90" s="525">
        <v>0</v>
      </c>
      <c r="P90" s="525">
        <v>0</v>
      </c>
      <c r="Q90" s="525">
        <v>0</v>
      </c>
      <c r="R90" s="525">
        <v>0</v>
      </c>
      <c r="S90" s="525">
        <v>9.8000000000000007</v>
      </c>
      <c r="T90" s="526">
        <v>0</v>
      </c>
      <c r="U90" s="525">
        <v>0</v>
      </c>
      <c r="V90" s="525">
        <v>0</v>
      </c>
      <c r="W90" s="525">
        <v>0</v>
      </c>
      <c r="X90" s="525">
        <v>0</v>
      </c>
      <c r="Y90" s="525">
        <v>1.1000000000000001</v>
      </c>
      <c r="Z90" s="525">
        <v>0</v>
      </c>
      <c r="AA90" s="525">
        <v>1.7</v>
      </c>
      <c r="AB90" s="525">
        <v>0</v>
      </c>
      <c r="AC90" s="525">
        <v>0</v>
      </c>
      <c r="AD90" s="525">
        <v>0</v>
      </c>
      <c r="AE90" s="525">
        <v>0</v>
      </c>
      <c r="AF90" s="525">
        <v>1.1000000000000001</v>
      </c>
      <c r="AG90" s="526">
        <v>0</v>
      </c>
      <c r="AH90" s="525">
        <v>0</v>
      </c>
      <c r="AI90" s="525">
        <v>0</v>
      </c>
      <c r="AJ90" s="525">
        <v>0</v>
      </c>
      <c r="AK90" s="525">
        <v>0</v>
      </c>
      <c r="AL90" s="525">
        <v>0</v>
      </c>
      <c r="AM90" s="525">
        <v>0</v>
      </c>
      <c r="AN90" s="525">
        <v>0</v>
      </c>
      <c r="AO90" s="526">
        <v>0</v>
      </c>
      <c r="AP90" s="525">
        <v>0</v>
      </c>
      <c r="AQ90" s="526">
        <v>81.599999999999994</v>
      </c>
      <c r="AR90" s="93">
        <f t="shared" si="4"/>
        <v>0.18400000000000005</v>
      </c>
    </row>
    <row r="91" spans="2:44">
      <c r="B91" t="s">
        <v>404</v>
      </c>
      <c r="D91" s="91">
        <f>SUM(D83:D85)</f>
        <v>0.33759999999999996</v>
      </c>
      <c r="E91" s="91">
        <f>SUM(E83:E85)</f>
        <v>0.33759999999999996</v>
      </c>
      <c r="K91" s="521">
        <v>1996</v>
      </c>
      <c r="L91" s="522">
        <v>359</v>
      </c>
      <c r="M91" s="522" t="s">
        <v>414</v>
      </c>
      <c r="N91" s="525">
        <v>12.5</v>
      </c>
      <c r="O91" s="525">
        <v>0.8</v>
      </c>
      <c r="P91" s="525">
        <v>0</v>
      </c>
      <c r="Q91" s="525">
        <v>2.2000000000000002</v>
      </c>
      <c r="R91" s="525">
        <v>0</v>
      </c>
      <c r="S91" s="525">
        <v>3.3</v>
      </c>
      <c r="T91" s="526">
        <v>0</v>
      </c>
      <c r="U91" s="525">
        <v>0</v>
      </c>
      <c r="V91" s="525">
        <v>3.6</v>
      </c>
      <c r="W91" s="525">
        <v>0</v>
      </c>
      <c r="X91" s="525">
        <v>0</v>
      </c>
      <c r="Y91" s="525">
        <v>0.3</v>
      </c>
      <c r="Z91" s="525">
        <v>2.5</v>
      </c>
      <c r="AA91" s="525">
        <v>0.6</v>
      </c>
      <c r="AB91" s="525">
        <v>0</v>
      </c>
      <c r="AC91" s="525">
        <v>2.8</v>
      </c>
      <c r="AD91" s="525">
        <v>0.8</v>
      </c>
      <c r="AE91" s="525">
        <v>0</v>
      </c>
      <c r="AF91" s="525">
        <v>0</v>
      </c>
      <c r="AG91" s="526">
        <v>0</v>
      </c>
      <c r="AH91" s="525">
        <v>0</v>
      </c>
      <c r="AI91" s="525">
        <v>0</v>
      </c>
      <c r="AJ91" s="525">
        <v>0</v>
      </c>
      <c r="AK91" s="525">
        <v>0</v>
      </c>
      <c r="AL91" s="525">
        <v>0.3</v>
      </c>
      <c r="AM91" s="525">
        <v>0</v>
      </c>
      <c r="AN91" s="525">
        <v>0</v>
      </c>
      <c r="AO91" s="526">
        <v>2.2000000000000002</v>
      </c>
      <c r="AP91" s="525">
        <v>1.4</v>
      </c>
      <c r="AQ91" s="526">
        <v>66.599999999999994</v>
      </c>
      <c r="AR91" s="93">
        <f t="shared" si="4"/>
        <v>0.34800000000000009</v>
      </c>
    </row>
    <row r="92" spans="2:44">
      <c r="B92" t="s">
        <v>643</v>
      </c>
      <c r="C92" s="91">
        <f>SUM(C86:C89)</f>
        <v>0.40116662314226803</v>
      </c>
      <c r="D92" s="91">
        <f>SUM(D86:D89)</f>
        <v>0.26573277116943833</v>
      </c>
      <c r="E92" s="91">
        <f>SUM(E86:E89)</f>
        <v>0.31319999999999998</v>
      </c>
      <c r="K92" s="521">
        <v>1997</v>
      </c>
      <c r="L92" s="522">
        <v>1183</v>
      </c>
      <c r="M92" s="522" t="s">
        <v>414</v>
      </c>
      <c r="N92" s="525">
        <v>9.9</v>
      </c>
      <c r="O92" s="525">
        <v>0.1</v>
      </c>
      <c r="P92" s="525">
        <v>4.0999999999999996</v>
      </c>
      <c r="Q92" s="525">
        <v>0.3</v>
      </c>
      <c r="R92" s="525">
        <v>1.4</v>
      </c>
      <c r="S92" s="525">
        <v>2</v>
      </c>
      <c r="T92" s="526">
        <v>0</v>
      </c>
      <c r="U92" s="525">
        <v>0</v>
      </c>
      <c r="V92" s="525">
        <v>0.4</v>
      </c>
      <c r="W92" s="525">
        <v>0</v>
      </c>
      <c r="X92" s="525">
        <v>0</v>
      </c>
      <c r="Y92" s="525">
        <v>0</v>
      </c>
      <c r="Z92" s="525">
        <v>0.2</v>
      </c>
      <c r="AA92" s="525">
        <v>0</v>
      </c>
      <c r="AB92" s="525">
        <v>0</v>
      </c>
      <c r="AC92" s="525">
        <v>3.6</v>
      </c>
      <c r="AD92" s="525">
        <v>0</v>
      </c>
      <c r="AE92" s="525">
        <v>0</v>
      </c>
      <c r="AF92" s="525">
        <v>0</v>
      </c>
      <c r="AG92" s="526">
        <v>0.2</v>
      </c>
      <c r="AH92" s="525">
        <v>0</v>
      </c>
      <c r="AI92" s="525">
        <v>0</v>
      </c>
      <c r="AJ92" s="525">
        <v>0</v>
      </c>
      <c r="AK92" s="525">
        <v>0</v>
      </c>
      <c r="AL92" s="525">
        <v>0</v>
      </c>
      <c r="AM92" s="525">
        <v>0</v>
      </c>
      <c r="AN92" s="525">
        <v>0.2</v>
      </c>
      <c r="AO92" s="526">
        <v>0.5</v>
      </c>
      <c r="AP92" s="525">
        <v>0.1</v>
      </c>
      <c r="AQ92" s="526">
        <v>77.099999999999994</v>
      </c>
      <c r="AR92" s="93">
        <f t="shared" si="4"/>
        <v>0.22999999999999998</v>
      </c>
    </row>
    <row r="93" spans="2:44">
      <c r="B93" t="s">
        <v>378</v>
      </c>
      <c r="D93" s="91">
        <f>D91+D92</f>
        <v>0.60333277116943829</v>
      </c>
      <c r="E93" s="91">
        <f>E91+E92</f>
        <v>0.65079999999999993</v>
      </c>
      <c r="K93" s="521">
        <v>1998</v>
      </c>
      <c r="L93" s="522">
        <v>1705</v>
      </c>
      <c r="M93" s="522" t="s">
        <v>414</v>
      </c>
      <c r="N93" s="525">
        <v>9</v>
      </c>
      <c r="O93" s="525">
        <v>0.3</v>
      </c>
      <c r="P93" s="525">
        <v>1</v>
      </c>
      <c r="Q93" s="525">
        <v>0.1</v>
      </c>
      <c r="R93" s="525">
        <v>1.9</v>
      </c>
      <c r="S93" s="525">
        <v>0</v>
      </c>
      <c r="T93" s="526">
        <v>0.4</v>
      </c>
      <c r="U93" s="525">
        <v>0</v>
      </c>
      <c r="V93" s="525">
        <v>0.1</v>
      </c>
      <c r="W93" s="525">
        <v>0.2</v>
      </c>
      <c r="X93" s="525">
        <v>0</v>
      </c>
      <c r="Y93" s="525">
        <v>0</v>
      </c>
      <c r="Z93" s="525">
        <v>0.1</v>
      </c>
      <c r="AA93" s="525">
        <v>0.6</v>
      </c>
      <c r="AB93" s="525">
        <v>0</v>
      </c>
      <c r="AC93" s="525">
        <v>1.1000000000000001</v>
      </c>
      <c r="AD93" s="525">
        <v>0</v>
      </c>
      <c r="AE93" s="525">
        <v>0</v>
      </c>
      <c r="AF93" s="525">
        <v>0</v>
      </c>
      <c r="AG93" s="526">
        <v>0</v>
      </c>
      <c r="AH93" s="525">
        <v>0</v>
      </c>
      <c r="AI93" s="525">
        <v>0</v>
      </c>
      <c r="AJ93" s="525">
        <v>0</v>
      </c>
      <c r="AK93" s="525">
        <v>0</v>
      </c>
      <c r="AL93" s="525">
        <v>0</v>
      </c>
      <c r="AM93" s="525">
        <v>0</v>
      </c>
      <c r="AN93" s="525">
        <v>1</v>
      </c>
      <c r="AO93" s="526">
        <v>0.8</v>
      </c>
      <c r="AP93" s="525">
        <v>0.2</v>
      </c>
      <c r="AQ93" s="526">
        <v>83.3</v>
      </c>
      <c r="AR93" s="93">
        <f t="shared" si="4"/>
        <v>0.16900000000000004</v>
      </c>
    </row>
    <row r="94" spans="2:44">
      <c r="E94" s="91"/>
      <c r="K94" s="521">
        <v>1999</v>
      </c>
      <c r="L94" s="522">
        <v>987</v>
      </c>
      <c r="M94" s="522" t="s">
        <v>414</v>
      </c>
      <c r="N94" s="525">
        <v>13.6</v>
      </c>
      <c r="O94" s="525">
        <v>0.6</v>
      </c>
      <c r="P94" s="525">
        <v>2.7</v>
      </c>
      <c r="Q94" s="525">
        <v>0.6</v>
      </c>
      <c r="R94" s="525">
        <v>1</v>
      </c>
      <c r="S94" s="525">
        <v>0.6</v>
      </c>
      <c r="T94" s="526">
        <v>4.4000000000000004</v>
      </c>
      <c r="U94" s="525">
        <v>0</v>
      </c>
      <c r="V94" s="525">
        <v>0.5</v>
      </c>
      <c r="W94" s="525">
        <v>1</v>
      </c>
      <c r="X94" s="525">
        <v>0</v>
      </c>
      <c r="Y94" s="525">
        <v>0</v>
      </c>
      <c r="Z94" s="525">
        <v>1.1000000000000001</v>
      </c>
      <c r="AA94" s="525">
        <v>5.2</v>
      </c>
      <c r="AB94" s="525">
        <v>0.4</v>
      </c>
      <c r="AC94" s="525">
        <v>3.5</v>
      </c>
      <c r="AD94" s="525">
        <v>0</v>
      </c>
      <c r="AE94" s="525">
        <v>0</v>
      </c>
      <c r="AF94" s="525">
        <v>0</v>
      </c>
      <c r="AG94" s="526">
        <v>0</v>
      </c>
      <c r="AH94" s="525">
        <v>0</v>
      </c>
      <c r="AI94" s="525">
        <v>0</v>
      </c>
      <c r="AJ94" s="525">
        <v>0</v>
      </c>
      <c r="AK94" s="525">
        <v>0</v>
      </c>
      <c r="AL94" s="525">
        <v>0</v>
      </c>
      <c r="AM94" s="525">
        <v>0</v>
      </c>
      <c r="AN94" s="525">
        <v>1</v>
      </c>
      <c r="AO94" s="526">
        <v>2.5</v>
      </c>
      <c r="AP94" s="525">
        <v>0</v>
      </c>
      <c r="AQ94" s="526">
        <v>61.2</v>
      </c>
      <c r="AR94" s="93">
        <f t="shared" si="4"/>
        <v>0.38800000000000001</v>
      </c>
    </row>
    <row r="95" spans="2:44">
      <c r="K95" s="521">
        <v>2000</v>
      </c>
      <c r="L95" s="522">
        <v>2976</v>
      </c>
      <c r="M95" s="522" t="s">
        <v>414</v>
      </c>
      <c r="N95" s="525">
        <v>22.8</v>
      </c>
      <c r="O95" s="525">
        <v>1.4</v>
      </c>
      <c r="P95" s="525">
        <v>2.9</v>
      </c>
      <c r="Q95" s="525">
        <v>0.6</v>
      </c>
      <c r="R95" s="525">
        <v>2</v>
      </c>
      <c r="S95" s="525">
        <v>4.2</v>
      </c>
      <c r="T95" s="526">
        <v>4.5999999999999996</v>
      </c>
      <c r="U95" s="525">
        <v>0</v>
      </c>
      <c r="V95" s="525">
        <v>0</v>
      </c>
      <c r="W95" s="525">
        <v>0.4</v>
      </c>
      <c r="X95" s="525">
        <v>0</v>
      </c>
      <c r="Y95" s="525">
        <v>0</v>
      </c>
      <c r="Z95" s="525">
        <v>1</v>
      </c>
      <c r="AA95" s="525">
        <v>0.9</v>
      </c>
      <c r="AB95" s="525">
        <v>1.3</v>
      </c>
      <c r="AC95" s="525">
        <v>1.9</v>
      </c>
      <c r="AD95" s="525">
        <v>0</v>
      </c>
      <c r="AE95" s="525">
        <v>0</v>
      </c>
      <c r="AF95" s="525">
        <v>0</v>
      </c>
      <c r="AG95" s="526">
        <v>0</v>
      </c>
      <c r="AH95" s="525">
        <v>0.1</v>
      </c>
      <c r="AI95" s="525">
        <v>0</v>
      </c>
      <c r="AJ95" s="525">
        <v>0</v>
      </c>
      <c r="AK95" s="525">
        <v>0.5</v>
      </c>
      <c r="AL95" s="525">
        <v>0</v>
      </c>
      <c r="AM95" s="525">
        <v>0</v>
      </c>
      <c r="AN95" s="525">
        <v>0.8</v>
      </c>
      <c r="AO95" s="526">
        <v>1.9</v>
      </c>
      <c r="AP95" s="525">
        <v>0.1</v>
      </c>
      <c r="AQ95" s="526">
        <v>52.7</v>
      </c>
      <c r="AR95" s="93">
        <f t="shared" si="4"/>
        <v>0.47399999999999998</v>
      </c>
    </row>
    <row r="96" spans="2:44">
      <c r="K96" s="521">
        <v>2001</v>
      </c>
      <c r="L96" s="522">
        <v>6994</v>
      </c>
      <c r="M96" s="522" t="s">
        <v>414</v>
      </c>
      <c r="N96" s="525">
        <v>16.3</v>
      </c>
      <c r="O96" s="525">
        <v>2.2000000000000002</v>
      </c>
      <c r="P96" s="525">
        <v>1.6</v>
      </c>
      <c r="Q96" s="525">
        <v>0.6</v>
      </c>
      <c r="R96" s="525">
        <v>1</v>
      </c>
      <c r="S96" s="525">
        <v>13.6</v>
      </c>
      <c r="T96" s="526">
        <v>2.5</v>
      </c>
      <c r="U96" s="525">
        <v>0</v>
      </c>
      <c r="V96" s="525">
        <v>0</v>
      </c>
      <c r="W96" s="525">
        <v>0.6</v>
      </c>
      <c r="X96" s="525">
        <v>0</v>
      </c>
      <c r="Y96" s="525">
        <v>0</v>
      </c>
      <c r="Z96" s="525">
        <v>0.4</v>
      </c>
      <c r="AA96" s="525">
        <v>7.4</v>
      </c>
      <c r="AB96" s="525">
        <v>2.4</v>
      </c>
      <c r="AC96" s="525">
        <v>10.1</v>
      </c>
      <c r="AD96" s="525">
        <v>1.3</v>
      </c>
      <c r="AE96" s="525">
        <v>0</v>
      </c>
      <c r="AF96" s="525">
        <v>0</v>
      </c>
      <c r="AG96" s="526">
        <v>1.1000000000000001</v>
      </c>
      <c r="AH96" s="525">
        <v>0</v>
      </c>
      <c r="AI96" s="525">
        <v>0</v>
      </c>
      <c r="AJ96" s="525">
        <v>0</v>
      </c>
      <c r="AK96" s="525">
        <v>0</v>
      </c>
      <c r="AL96" s="525">
        <v>0</v>
      </c>
      <c r="AM96" s="525">
        <v>0</v>
      </c>
      <c r="AN96" s="525">
        <v>0.7</v>
      </c>
      <c r="AO96" s="526">
        <v>1.6</v>
      </c>
      <c r="AP96" s="525">
        <v>0.3</v>
      </c>
      <c r="AQ96" s="526">
        <v>36.1</v>
      </c>
      <c r="AR96" s="93">
        <f t="shared" si="4"/>
        <v>0.6419999999999999</v>
      </c>
    </row>
    <row r="97" spans="11:44">
      <c r="K97" s="521">
        <v>2002</v>
      </c>
      <c r="L97" s="522">
        <v>10545</v>
      </c>
      <c r="M97" s="522" t="s">
        <v>414</v>
      </c>
      <c r="N97" s="525">
        <v>24.3</v>
      </c>
      <c r="O97" s="525">
        <v>0</v>
      </c>
      <c r="P97" s="525">
        <v>1.4</v>
      </c>
      <c r="Q97" s="525">
        <v>14.5</v>
      </c>
      <c r="R97" s="525">
        <v>1.7</v>
      </c>
      <c r="S97" s="525">
        <v>14.9</v>
      </c>
      <c r="T97" s="526">
        <v>1.4</v>
      </c>
      <c r="U97" s="525">
        <v>0</v>
      </c>
      <c r="V97" s="525">
        <v>0</v>
      </c>
      <c r="W97" s="525">
        <v>0.3</v>
      </c>
      <c r="X97" s="525">
        <v>0</v>
      </c>
      <c r="Y97" s="525">
        <v>0</v>
      </c>
      <c r="Z97" s="525">
        <v>0.1</v>
      </c>
      <c r="AA97" s="525">
        <v>5.7</v>
      </c>
      <c r="AB97" s="525">
        <v>3.2</v>
      </c>
      <c r="AC97" s="525">
        <v>3.6</v>
      </c>
      <c r="AD97" s="525">
        <v>0.6</v>
      </c>
      <c r="AE97" s="525">
        <v>0</v>
      </c>
      <c r="AF97" s="525">
        <v>0</v>
      </c>
      <c r="AG97" s="526">
        <v>0</v>
      </c>
      <c r="AH97" s="525">
        <v>0</v>
      </c>
      <c r="AI97" s="525">
        <v>0</v>
      </c>
      <c r="AJ97" s="525">
        <v>0</v>
      </c>
      <c r="AK97" s="525">
        <v>0</v>
      </c>
      <c r="AL97" s="525">
        <v>0</v>
      </c>
      <c r="AM97" s="525">
        <v>0</v>
      </c>
      <c r="AN97" s="525">
        <v>1</v>
      </c>
      <c r="AO97" s="526">
        <v>2.2999999999999998</v>
      </c>
      <c r="AP97" s="525">
        <v>0.3</v>
      </c>
      <c r="AQ97" s="526">
        <v>24.6</v>
      </c>
      <c r="AR97" s="93">
        <f t="shared" si="4"/>
        <v>0.75700000000000001</v>
      </c>
    </row>
    <row r="98" spans="11:44">
      <c r="K98" s="521">
        <v>2003</v>
      </c>
      <c r="L98" s="522">
        <v>7210</v>
      </c>
      <c r="M98" s="522" t="s">
        <v>414</v>
      </c>
      <c r="N98" s="525">
        <v>29.9</v>
      </c>
      <c r="O98" s="525">
        <v>0.7</v>
      </c>
      <c r="P98" s="525">
        <v>1.2</v>
      </c>
      <c r="Q98" s="525">
        <v>13</v>
      </c>
      <c r="R98" s="525">
        <v>1.5</v>
      </c>
      <c r="S98" s="525">
        <v>12.3</v>
      </c>
      <c r="T98" s="526">
        <v>0.4</v>
      </c>
      <c r="U98" s="525">
        <v>0</v>
      </c>
      <c r="V98" s="525">
        <v>0</v>
      </c>
      <c r="W98" s="525">
        <v>1</v>
      </c>
      <c r="X98" s="525">
        <v>0</v>
      </c>
      <c r="Y98" s="525">
        <v>0</v>
      </c>
      <c r="Z98" s="525">
        <v>0.1</v>
      </c>
      <c r="AA98" s="525">
        <v>3.2</v>
      </c>
      <c r="AB98" s="525">
        <v>0.5</v>
      </c>
      <c r="AC98" s="525">
        <v>4.3</v>
      </c>
      <c r="AD98" s="525">
        <v>0.6</v>
      </c>
      <c r="AE98" s="525">
        <v>0</v>
      </c>
      <c r="AF98" s="525">
        <v>0</v>
      </c>
      <c r="AG98" s="526">
        <v>0.1</v>
      </c>
      <c r="AH98" s="525">
        <v>0</v>
      </c>
      <c r="AI98" s="525">
        <v>0</v>
      </c>
      <c r="AJ98" s="525">
        <v>0</v>
      </c>
      <c r="AK98" s="525">
        <v>0</v>
      </c>
      <c r="AL98" s="525">
        <v>0</v>
      </c>
      <c r="AM98" s="525">
        <v>0</v>
      </c>
      <c r="AN98" s="525">
        <v>2.9</v>
      </c>
      <c r="AO98" s="526">
        <v>6.1</v>
      </c>
      <c r="AP98" s="525">
        <v>0.3</v>
      </c>
      <c r="AQ98" s="526">
        <v>22.1</v>
      </c>
      <c r="AR98" s="93">
        <f t="shared" si="4"/>
        <v>0.78200000000000003</v>
      </c>
    </row>
    <row r="99" spans="11:44">
      <c r="K99" s="521">
        <v>2004</v>
      </c>
      <c r="L99" s="522">
        <v>4340</v>
      </c>
      <c r="M99" s="522" t="s">
        <v>414</v>
      </c>
      <c r="N99" s="525">
        <v>16.100000000000001</v>
      </c>
      <c r="O99" s="525">
        <v>0.5</v>
      </c>
      <c r="P99" s="525">
        <v>1.2</v>
      </c>
      <c r="Q99" s="525">
        <v>6.1</v>
      </c>
      <c r="R99" s="525">
        <v>1.6</v>
      </c>
      <c r="S99" s="525">
        <v>14</v>
      </c>
      <c r="T99" s="526">
        <v>1.3</v>
      </c>
      <c r="U99" s="525">
        <v>0</v>
      </c>
      <c r="V99" s="525">
        <v>0</v>
      </c>
      <c r="W99" s="525">
        <v>0.2</v>
      </c>
      <c r="X99" s="525">
        <v>0</v>
      </c>
      <c r="Y99" s="525">
        <v>0</v>
      </c>
      <c r="Z99" s="525">
        <v>0.4</v>
      </c>
      <c r="AA99" s="525">
        <v>5.5</v>
      </c>
      <c r="AB99" s="525">
        <v>0.7</v>
      </c>
      <c r="AC99" s="525">
        <v>6.7</v>
      </c>
      <c r="AD99" s="525">
        <v>1</v>
      </c>
      <c r="AE99" s="525">
        <v>0</v>
      </c>
      <c r="AF99" s="525">
        <v>0</v>
      </c>
      <c r="AG99" s="526">
        <v>0.3</v>
      </c>
      <c r="AH99" s="525">
        <v>0</v>
      </c>
      <c r="AI99" s="525">
        <v>0</v>
      </c>
      <c r="AJ99" s="525">
        <v>0</v>
      </c>
      <c r="AK99" s="525">
        <v>0</v>
      </c>
      <c r="AL99" s="525">
        <v>0</v>
      </c>
      <c r="AM99" s="525">
        <v>0</v>
      </c>
      <c r="AN99" s="525">
        <v>8.1999999999999993</v>
      </c>
      <c r="AO99" s="526">
        <v>15.9</v>
      </c>
      <c r="AP99" s="525">
        <v>0.1</v>
      </c>
      <c r="AQ99" s="526">
        <v>20.2</v>
      </c>
      <c r="AR99" s="93">
        <f t="shared" si="4"/>
        <v>0.79900000000000004</v>
      </c>
    </row>
    <row r="100" spans="11:44">
      <c r="K100" s="521">
        <v>2005</v>
      </c>
      <c r="L100" s="522">
        <v>8458</v>
      </c>
      <c r="M100" s="522" t="s">
        <v>414</v>
      </c>
      <c r="N100" s="525">
        <v>10.8</v>
      </c>
      <c r="O100" s="525">
        <v>0</v>
      </c>
      <c r="P100" s="525">
        <v>0.8</v>
      </c>
      <c r="Q100" s="525">
        <v>7.1</v>
      </c>
      <c r="R100" s="525">
        <v>3</v>
      </c>
      <c r="S100" s="525">
        <v>12.3</v>
      </c>
      <c r="T100" s="526">
        <v>0.9</v>
      </c>
      <c r="U100" s="525">
        <v>0</v>
      </c>
      <c r="V100" s="525">
        <v>0</v>
      </c>
      <c r="W100" s="525">
        <v>0.1</v>
      </c>
      <c r="X100" s="525">
        <v>0</v>
      </c>
      <c r="Y100" s="525">
        <v>0</v>
      </c>
      <c r="Z100" s="525">
        <v>0.2</v>
      </c>
      <c r="AA100" s="525">
        <v>3.1</v>
      </c>
      <c r="AB100" s="525">
        <v>0.4</v>
      </c>
      <c r="AC100" s="525">
        <v>4.4000000000000004</v>
      </c>
      <c r="AD100" s="525">
        <v>0.2</v>
      </c>
      <c r="AE100" s="525">
        <v>0</v>
      </c>
      <c r="AF100" s="525">
        <v>0</v>
      </c>
      <c r="AG100" s="526">
        <v>0</v>
      </c>
      <c r="AH100" s="525">
        <v>0</v>
      </c>
      <c r="AI100" s="525">
        <v>0</v>
      </c>
      <c r="AJ100" s="525">
        <v>0</v>
      </c>
      <c r="AK100" s="525">
        <v>0</v>
      </c>
      <c r="AL100" s="525">
        <v>0</v>
      </c>
      <c r="AM100" s="525">
        <v>0</v>
      </c>
      <c r="AN100" s="525">
        <v>8</v>
      </c>
      <c r="AO100" s="526">
        <v>8.9</v>
      </c>
      <c r="AP100" s="525">
        <v>0</v>
      </c>
      <c r="AQ100" s="526">
        <v>39.700000000000003</v>
      </c>
      <c r="AR100" s="93">
        <f t="shared" si="4"/>
        <v>0.60299999999999998</v>
      </c>
    </row>
    <row r="101" spans="11:44">
      <c r="K101" s="521">
        <v>2006</v>
      </c>
      <c r="L101" s="522">
        <v>3612</v>
      </c>
      <c r="M101" s="522" t="s">
        <v>414</v>
      </c>
      <c r="N101" s="525">
        <v>12.9</v>
      </c>
      <c r="O101" s="525">
        <v>0.1</v>
      </c>
      <c r="P101" s="525">
        <v>0.7</v>
      </c>
      <c r="Q101" s="525">
        <v>4</v>
      </c>
      <c r="R101" s="525">
        <v>0.5</v>
      </c>
      <c r="S101" s="525">
        <v>12</v>
      </c>
      <c r="T101" s="526">
        <v>1.2</v>
      </c>
      <c r="U101" s="525">
        <v>0</v>
      </c>
      <c r="V101" s="525">
        <v>0.1</v>
      </c>
      <c r="W101" s="525">
        <v>0.5</v>
      </c>
      <c r="X101" s="525">
        <v>0</v>
      </c>
      <c r="Y101" s="525">
        <v>0</v>
      </c>
      <c r="Z101" s="525">
        <v>0.4</v>
      </c>
      <c r="AA101" s="525">
        <v>3</v>
      </c>
      <c r="AB101" s="525">
        <v>0.1</v>
      </c>
      <c r="AC101" s="525">
        <v>0.4</v>
      </c>
      <c r="AD101" s="525">
        <v>0.3</v>
      </c>
      <c r="AE101" s="525">
        <v>0</v>
      </c>
      <c r="AF101" s="525">
        <v>0.2</v>
      </c>
      <c r="AG101" s="526">
        <v>0.1</v>
      </c>
      <c r="AH101" s="525">
        <v>0</v>
      </c>
      <c r="AI101" s="525">
        <v>0</v>
      </c>
      <c r="AJ101" s="525">
        <v>0</v>
      </c>
      <c r="AK101" s="525">
        <v>0</v>
      </c>
      <c r="AL101" s="525">
        <v>0</v>
      </c>
      <c r="AM101" s="525">
        <v>0</v>
      </c>
      <c r="AN101" s="525">
        <v>13.5</v>
      </c>
      <c r="AO101" s="526">
        <v>10.8</v>
      </c>
      <c r="AP101" s="525">
        <v>0</v>
      </c>
      <c r="AQ101" s="526">
        <v>39.200000000000003</v>
      </c>
      <c r="AR101" s="93">
        <f t="shared" si="4"/>
        <v>0.60799999999999998</v>
      </c>
    </row>
    <row r="102" spans="11:44">
      <c r="K102" s="521">
        <v>2007</v>
      </c>
      <c r="L102" s="522">
        <v>4517</v>
      </c>
      <c r="M102" s="522" t="s">
        <v>414</v>
      </c>
      <c r="N102" s="525">
        <v>12</v>
      </c>
      <c r="O102" s="525">
        <v>2.4</v>
      </c>
      <c r="P102" s="525">
        <v>2.2999999999999998</v>
      </c>
      <c r="Q102" s="525">
        <v>1.5</v>
      </c>
      <c r="R102" s="525">
        <v>2.1</v>
      </c>
      <c r="S102" s="525">
        <v>6.6</v>
      </c>
      <c r="T102" s="526">
        <v>1.3</v>
      </c>
      <c r="U102" s="525">
        <v>0</v>
      </c>
      <c r="V102" s="525">
        <v>1</v>
      </c>
      <c r="W102" s="525">
        <v>0.4</v>
      </c>
      <c r="X102" s="525">
        <v>0</v>
      </c>
      <c r="Y102" s="525">
        <v>0</v>
      </c>
      <c r="Z102" s="525">
        <v>0.6</v>
      </c>
      <c r="AA102" s="525">
        <v>3.1</v>
      </c>
      <c r="AB102" s="525">
        <v>0.1</v>
      </c>
      <c r="AC102" s="525">
        <v>1.7</v>
      </c>
      <c r="AD102" s="525">
        <v>0.4</v>
      </c>
      <c r="AE102" s="525">
        <v>0</v>
      </c>
      <c r="AF102" s="525">
        <v>0</v>
      </c>
      <c r="AG102" s="526">
        <v>0.6</v>
      </c>
      <c r="AH102" s="525">
        <v>0</v>
      </c>
      <c r="AI102" s="525">
        <v>0</v>
      </c>
      <c r="AJ102" s="525">
        <v>0</v>
      </c>
      <c r="AK102" s="525">
        <v>0</v>
      </c>
      <c r="AL102" s="525">
        <v>0</v>
      </c>
      <c r="AM102" s="525">
        <v>0</v>
      </c>
      <c r="AN102" s="525">
        <v>10.4</v>
      </c>
      <c r="AO102" s="526">
        <v>19.100000000000001</v>
      </c>
      <c r="AP102" s="525">
        <v>0.4</v>
      </c>
      <c r="AQ102" s="526">
        <v>33.799999999999997</v>
      </c>
      <c r="AR102" s="93">
        <f t="shared" si="4"/>
        <v>0.66600000000000004</v>
      </c>
    </row>
    <row r="103" spans="11:44">
      <c r="K103" s="521">
        <v>2008</v>
      </c>
      <c r="L103" s="522">
        <v>5006</v>
      </c>
      <c r="M103" s="522" t="s">
        <v>414</v>
      </c>
      <c r="N103" s="525">
        <v>8.4</v>
      </c>
      <c r="O103" s="525">
        <v>0.1</v>
      </c>
      <c r="P103" s="525">
        <v>0.6</v>
      </c>
      <c r="Q103" s="525">
        <v>0.9</v>
      </c>
      <c r="R103" s="525">
        <v>0.6</v>
      </c>
      <c r="S103" s="525">
        <v>6.4</v>
      </c>
      <c r="T103" s="526">
        <v>2.7</v>
      </c>
      <c r="U103" s="525">
        <v>0</v>
      </c>
      <c r="V103" s="525">
        <v>0.1</v>
      </c>
      <c r="W103" s="525">
        <v>0.6</v>
      </c>
      <c r="X103" s="525">
        <v>0</v>
      </c>
      <c r="Y103" s="525">
        <v>0</v>
      </c>
      <c r="Z103" s="525">
        <v>0.5</v>
      </c>
      <c r="AA103" s="525">
        <v>2.9</v>
      </c>
      <c r="AB103" s="525">
        <v>0.6</v>
      </c>
      <c r="AC103" s="525">
        <v>0</v>
      </c>
      <c r="AD103" s="525">
        <v>0</v>
      </c>
      <c r="AE103" s="525">
        <v>0</v>
      </c>
      <c r="AF103" s="525">
        <v>0</v>
      </c>
      <c r="AG103" s="526">
        <v>0.3</v>
      </c>
      <c r="AH103" s="525">
        <v>0</v>
      </c>
      <c r="AI103" s="525">
        <v>0</v>
      </c>
      <c r="AJ103" s="525">
        <v>0</v>
      </c>
      <c r="AK103" s="525">
        <v>0</v>
      </c>
      <c r="AL103" s="525">
        <v>0</v>
      </c>
      <c r="AM103" s="525">
        <v>0</v>
      </c>
      <c r="AN103" s="525">
        <v>17.7</v>
      </c>
      <c r="AO103" s="526">
        <v>9.8000000000000007</v>
      </c>
      <c r="AP103" s="525">
        <v>0.2</v>
      </c>
      <c r="AQ103" s="526">
        <v>47.6</v>
      </c>
      <c r="AR103" s="93">
        <f t="shared" si="4"/>
        <v>0.52600000000000002</v>
      </c>
    </row>
    <row r="104" spans="11:44">
      <c r="K104" s="521">
        <v>2009</v>
      </c>
      <c r="L104" s="522">
        <v>4115</v>
      </c>
      <c r="M104" s="522" t="s">
        <v>414</v>
      </c>
      <c r="N104" s="525">
        <v>8.8000000000000007</v>
      </c>
      <c r="O104" s="525">
        <v>0.3</v>
      </c>
      <c r="P104" s="525">
        <v>0.5</v>
      </c>
      <c r="Q104" s="525">
        <v>1.5</v>
      </c>
      <c r="R104" s="525">
        <v>0.6</v>
      </c>
      <c r="S104" s="525">
        <v>5.8</v>
      </c>
      <c r="T104" s="526">
        <v>6.7</v>
      </c>
      <c r="U104" s="525">
        <v>0</v>
      </c>
      <c r="V104" s="525">
        <v>0</v>
      </c>
      <c r="W104" s="525">
        <v>0.3</v>
      </c>
      <c r="X104" s="525">
        <v>0</v>
      </c>
      <c r="Y104" s="525">
        <v>0</v>
      </c>
      <c r="Z104" s="525">
        <v>1.7</v>
      </c>
      <c r="AA104" s="525">
        <v>1.6</v>
      </c>
      <c r="AB104" s="525">
        <v>0.5</v>
      </c>
      <c r="AC104" s="525">
        <v>0</v>
      </c>
      <c r="AD104" s="525">
        <v>0</v>
      </c>
      <c r="AE104" s="525">
        <v>0</v>
      </c>
      <c r="AF104" s="525">
        <v>0</v>
      </c>
      <c r="AG104" s="526">
        <v>0.4</v>
      </c>
      <c r="AH104" s="525">
        <v>0</v>
      </c>
      <c r="AI104" s="525">
        <v>0</v>
      </c>
      <c r="AJ104" s="525">
        <v>0</v>
      </c>
      <c r="AK104" s="525">
        <v>0</v>
      </c>
      <c r="AL104" s="525">
        <v>0</v>
      </c>
      <c r="AM104" s="525">
        <v>0</v>
      </c>
      <c r="AN104" s="525">
        <v>16.8</v>
      </c>
      <c r="AO104" s="526">
        <v>8.5</v>
      </c>
      <c r="AP104" s="525">
        <v>0</v>
      </c>
      <c r="AQ104" s="526">
        <v>46.1</v>
      </c>
      <c r="AR104" s="93">
        <f t="shared" si="4"/>
        <v>0.53899999999999992</v>
      </c>
    </row>
    <row r="105" spans="11:44">
      <c r="K105" s="521">
        <v>2010</v>
      </c>
      <c r="L105" s="522">
        <v>6011</v>
      </c>
      <c r="M105" s="522" t="s">
        <v>414</v>
      </c>
      <c r="N105" s="525">
        <v>7.8</v>
      </c>
      <c r="O105" s="525">
        <v>0</v>
      </c>
      <c r="P105" s="525">
        <v>1</v>
      </c>
      <c r="Q105" s="525">
        <v>1.7</v>
      </c>
      <c r="R105" s="525">
        <v>1.1000000000000001</v>
      </c>
      <c r="S105" s="525">
        <v>6.1</v>
      </c>
      <c r="T105" s="526">
        <v>0.7</v>
      </c>
      <c r="U105" s="525">
        <v>0</v>
      </c>
      <c r="V105" s="525">
        <v>0</v>
      </c>
      <c r="W105" s="525">
        <v>0.5</v>
      </c>
      <c r="X105" s="525">
        <v>0</v>
      </c>
      <c r="Y105" s="525">
        <v>0</v>
      </c>
      <c r="Z105" s="525">
        <v>0.8</v>
      </c>
      <c r="AA105" s="525">
        <v>5</v>
      </c>
      <c r="AB105" s="525">
        <v>0.4</v>
      </c>
      <c r="AC105" s="525">
        <v>2.2000000000000002</v>
      </c>
      <c r="AD105" s="525">
        <v>0.2</v>
      </c>
      <c r="AE105" s="525">
        <v>0</v>
      </c>
      <c r="AF105" s="525">
        <v>0</v>
      </c>
      <c r="AG105" s="526">
        <v>0</v>
      </c>
      <c r="AH105" s="525">
        <v>0</v>
      </c>
      <c r="AI105" s="525">
        <v>0</v>
      </c>
      <c r="AJ105" s="525">
        <v>0</v>
      </c>
      <c r="AK105" s="525">
        <v>0</v>
      </c>
      <c r="AL105" s="525">
        <v>0</v>
      </c>
      <c r="AM105" s="525">
        <v>0</v>
      </c>
      <c r="AN105" s="525">
        <v>21.6</v>
      </c>
      <c r="AO105" s="526">
        <v>8.4</v>
      </c>
      <c r="AP105" s="525">
        <v>0</v>
      </c>
      <c r="AQ105" s="526">
        <v>42.5</v>
      </c>
      <c r="AR105" s="93">
        <f t="shared" si="4"/>
        <v>0.57499999999999996</v>
      </c>
    </row>
    <row r="106" spans="11:44">
      <c r="K106" s="521">
        <v>2011</v>
      </c>
      <c r="L106" s="522">
        <v>4816</v>
      </c>
      <c r="M106" s="522" t="s">
        <v>414</v>
      </c>
      <c r="N106" s="525">
        <v>10</v>
      </c>
      <c r="O106" s="525">
        <v>0.1</v>
      </c>
      <c r="P106" s="525">
        <v>0.4</v>
      </c>
      <c r="Q106" s="525">
        <v>1.3</v>
      </c>
      <c r="R106" s="525">
        <v>0.8</v>
      </c>
      <c r="S106" s="525">
        <v>3</v>
      </c>
      <c r="T106" s="526">
        <v>2</v>
      </c>
      <c r="U106" s="525">
        <v>0</v>
      </c>
      <c r="V106" s="525">
        <v>0</v>
      </c>
      <c r="W106" s="525">
        <v>0.3</v>
      </c>
      <c r="X106" s="525">
        <v>0</v>
      </c>
      <c r="Y106" s="525">
        <v>0</v>
      </c>
      <c r="Z106" s="525">
        <v>0.5</v>
      </c>
      <c r="AA106" s="525">
        <v>1.3</v>
      </c>
      <c r="AB106" s="525">
        <v>1.2</v>
      </c>
      <c r="AC106" s="525">
        <v>2.5</v>
      </c>
      <c r="AD106" s="525">
        <v>0.3</v>
      </c>
      <c r="AE106" s="525">
        <v>0</v>
      </c>
      <c r="AF106" s="525">
        <v>0</v>
      </c>
      <c r="AG106" s="526">
        <v>0.5</v>
      </c>
      <c r="AH106" s="525">
        <v>0.1</v>
      </c>
      <c r="AI106" s="525">
        <v>0</v>
      </c>
      <c r="AJ106" s="525">
        <v>0</v>
      </c>
      <c r="AK106" s="525">
        <v>0</v>
      </c>
      <c r="AL106" s="525">
        <v>0</v>
      </c>
      <c r="AM106" s="525">
        <v>0</v>
      </c>
      <c r="AN106" s="525">
        <v>22.4</v>
      </c>
      <c r="AO106" s="526">
        <v>13.6</v>
      </c>
      <c r="AP106" s="525">
        <v>0</v>
      </c>
      <c r="AQ106" s="526">
        <v>39.799999999999997</v>
      </c>
      <c r="AR106" s="93">
        <f t="shared" si="4"/>
        <v>0.60200000000000009</v>
      </c>
    </row>
    <row r="107" spans="11:44">
      <c r="K107" s="521">
        <v>2012</v>
      </c>
      <c r="L107" s="522">
        <v>4260</v>
      </c>
      <c r="M107" s="522" t="s">
        <v>414</v>
      </c>
      <c r="N107" s="525">
        <v>17.3</v>
      </c>
      <c r="O107" s="525">
        <v>0.9</v>
      </c>
      <c r="P107" s="525">
        <v>0.8</v>
      </c>
      <c r="Q107" s="525">
        <v>4.2</v>
      </c>
      <c r="R107" s="525">
        <v>1.1000000000000001</v>
      </c>
      <c r="S107" s="525">
        <v>6.9</v>
      </c>
      <c r="T107" s="526">
        <v>3.1</v>
      </c>
      <c r="U107" s="525">
        <v>0</v>
      </c>
      <c r="V107" s="525">
        <v>0</v>
      </c>
      <c r="W107" s="525">
        <v>0.5</v>
      </c>
      <c r="X107" s="525">
        <v>0</v>
      </c>
      <c r="Y107" s="525">
        <v>0</v>
      </c>
      <c r="Z107" s="525">
        <v>0.8</v>
      </c>
      <c r="AA107" s="525">
        <v>7.6</v>
      </c>
      <c r="AB107" s="525">
        <v>3.2</v>
      </c>
      <c r="AC107" s="525">
        <v>5.2</v>
      </c>
      <c r="AD107" s="525">
        <v>0.9</v>
      </c>
      <c r="AE107" s="525">
        <v>0</v>
      </c>
      <c r="AF107" s="525">
        <v>0</v>
      </c>
      <c r="AG107" s="526">
        <v>0.3</v>
      </c>
      <c r="AH107" s="525">
        <v>0</v>
      </c>
      <c r="AI107" s="525">
        <v>0</v>
      </c>
      <c r="AJ107" s="525">
        <v>0</v>
      </c>
      <c r="AK107" s="525">
        <v>0</v>
      </c>
      <c r="AL107" s="525">
        <v>0</v>
      </c>
      <c r="AM107" s="525">
        <v>0</v>
      </c>
      <c r="AN107" s="525">
        <v>12.1</v>
      </c>
      <c r="AO107" s="526">
        <v>13.4</v>
      </c>
      <c r="AP107" s="525">
        <v>0</v>
      </c>
      <c r="AQ107" s="526">
        <v>21.7</v>
      </c>
      <c r="AR107" s="93">
        <f t="shared" si="4"/>
        <v>0.78300000000000003</v>
      </c>
    </row>
    <row r="108" spans="11:44">
      <c r="K108" s="521">
        <v>2013</v>
      </c>
      <c r="L108" s="522">
        <v>5020</v>
      </c>
      <c r="M108" s="522" t="s">
        <v>414</v>
      </c>
      <c r="N108" s="525">
        <v>7.4</v>
      </c>
      <c r="O108" s="525">
        <v>0.4</v>
      </c>
      <c r="P108" s="525">
        <v>0.4</v>
      </c>
      <c r="Q108" s="525">
        <v>2.4</v>
      </c>
      <c r="R108" s="525">
        <v>0.9</v>
      </c>
      <c r="S108" s="525">
        <v>4.3</v>
      </c>
      <c r="T108" s="526">
        <v>2.2000000000000002</v>
      </c>
      <c r="U108" s="525">
        <v>0</v>
      </c>
      <c r="V108" s="525">
        <v>0</v>
      </c>
      <c r="W108" s="525">
        <v>0.4</v>
      </c>
      <c r="X108" s="525">
        <v>0</v>
      </c>
      <c r="Y108" s="525">
        <v>0</v>
      </c>
      <c r="Z108" s="525">
        <v>0.3</v>
      </c>
      <c r="AA108" s="525">
        <v>5.6</v>
      </c>
      <c r="AB108" s="525">
        <v>0.6</v>
      </c>
      <c r="AC108" s="525">
        <v>3.9</v>
      </c>
      <c r="AD108" s="525">
        <v>0.6</v>
      </c>
      <c r="AE108" s="525">
        <v>0</v>
      </c>
      <c r="AF108" s="525">
        <v>0</v>
      </c>
      <c r="AG108" s="526">
        <v>0.3</v>
      </c>
      <c r="AH108" s="525">
        <v>0</v>
      </c>
      <c r="AI108" s="525">
        <v>0</v>
      </c>
      <c r="AJ108" s="525">
        <v>0</v>
      </c>
      <c r="AK108" s="525">
        <v>0</v>
      </c>
      <c r="AL108" s="525">
        <v>0</v>
      </c>
      <c r="AM108" s="525">
        <v>0</v>
      </c>
      <c r="AN108" s="525">
        <v>15.1</v>
      </c>
      <c r="AO108" s="526">
        <v>13.8</v>
      </c>
      <c r="AP108" s="525">
        <v>0.3</v>
      </c>
      <c r="AQ108" s="526">
        <v>41.3</v>
      </c>
      <c r="AR108" s="93">
        <f t="shared" si="4"/>
        <v>0.59000000000000008</v>
      </c>
    </row>
    <row r="109" spans="11:44">
      <c r="K109" s="521">
        <v>2014</v>
      </c>
      <c r="L109" s="522">
        <v>3835</v>
      </c>
      <c r="M109" s="522" t="s">
        <v>414</v>
      </c>
      <c r="N109" s="525">
        <v>11</v>
      </c>
      <c r="O109" s="525">
        <v>0.8</v>
      </c>
      <c r="P109" s="525">
        <v>0.4</v>
      </c>
      <c r="Q109" s="525">
        <v>1</v>
      </c>
      <c r="R109" s="525">
        <v>0.4</v>
      </c>
      <c r="S109" s="525">
        <v>9.4</v>
      </c>
      <c r="T109" s="526">
        <v>0.3</v>
      </c>
      <c r="U109" s="525">
        <v>0</v>
      </c>
      <c r="V109" s="525">
        <v>0.1</v>
      </c>
      <c r="W109" s="525">
        <v>0.8</v>
      </c>
      <c r="X109" s="525">
        <v>0.1</v>
      </c>
      <c r="Y109" s="525">
        <v>0</v>
      </c>
      <c r="Z109" s="525">
        <v>0.3</v>
      </c>
      <c r="AA109" s="525">
        <v>5.3</v>
      </c>
      <c r="AB109" s="525">
        <v>1.3</v>
      </c>
      <c r="AC109" s="525">
        <v>4.9000000000000004</v>
      </c>
      <c r="AD109" s="525">
        <v>0.3</v>
      </c>
      <c r="AE109" s="525">
        <v>0</v>
      </c>
      <c r="AF109" s="525">
        <v>0</v>
      </c>
      <c r="AG109" s="526">
        <v>0</v>
      </c>
      <c r="AH109" s="525">
        <v>0</v>
      </c>
      <c r="AI109" s="525">
        <v>0</v>
      </c>
      <c r="AJ109" s="525">
        <v>0</v>
      </c>
      <c r="AK109" s="525">
        <v>0</v>
      </c>
      <c r="AL109" s="525">
        <v>0</v>
      </c>
      <c r="AM109" s="525">
        <v>0</v>
      </c>
      <c r="AN109" s="525">
        <v>23.5</v>
      </c>
      <c r="AO109" s="526">
        <v>14.9</v>
      </c>
      <c r="AP109" s="525">
        <v>0</v>
      </c>
      <c r="AQ109" s="526">
        <v>25.5</v>
      </c>
      <c r="AR109" s="93">
        <f t="shared" si="4"/>
        <v>0.745</v>
      </c>
    </row>
    <row r="110" spans="11:44">
      <c r="K110" s="521">
        <v>2015</v>
      </c>
      <c r="L110" s="522">
        <v>5672</v>
      </c>
      <c r="M110" s="522" t="s">
        <v>414</v>
      </c>
      <c r="N110" s="525">
        <v>15.5</v>
      </c>
      <c r="O110" s="525">
        <v>0.7</v>
      </c>
      <c r="P110" s="525">
        <v>1</v>
      </c>
      <c r="Q110" s="525">
        <v>1.9</v>
      </c>
      <c r="R110" s="525">
        <v>0.6</v>
      </c>
      <c r="S110" s="525">
        <v>2.5</v>
      </c>
      <c r="T110" s="526">
        <v>0.7</v>
      </c>
      <c r="U110" s="525">
        <v>0</v>
      </c>
      <c r="V110" s="525">
        <v>0</v>
      </c>
      <c r="W110" s="525">
        <v>0.7</v>
      </c>
      <c r="X110" s="525">
        <v>0</v>
      </c>
      <c r="Y110" s="525">
        <v>0</v>
      </c>
      <c r="Z110" s="525">
        <v>0</v>
      </c>
      <c r="AA110" s="525">
        <v>10.199999999999999</v>
      </c>
      <c r="AB110" s="525">
        <v>2.2000000000000002</v>
      </c>
      <c r="AC110" s="525">
        <v>4.7</v>
      </c>
      <c r="AD110" s="525">
        <v>0.1</v>
      </c>
      <c r="AE110" s="525">
        <v>0</v>
      </c>
      <c r="AF110" s="525">
        <v>0</v>
      </c>
      <c r="AG110" s="526">
        <v>0.2</v>
      </c>
      <c r="AH110" s="525">
        <v>0</v>
      </c>
      <c r="AI110" s="525">
        <v>0</v>
      </c>
      <c r="AJ110" s="525">
        <v>0</v>
      </c>
      <c r="AK110" s="525">
        <v>0</v>
      </c>
      <c r="AL110" s="525">
        <v>0</v>
      </c>
      <c r="AM110" s="525">
        <v>0</v>
      </c>
      <c r="AN110" s="525">
        <v>31.6</v>
      </c>
      <c r="AO110" s="526">
        <v>16.2</v>
      </c>
      <c r="AP110" s="525">
        <v>0</v>
      </c>
      <c r="AQ110" s="526">
        <v>11.2</v>
      </c>
      <c r="AR110" s="93">
        <f>1-(AQ110-AP110)/100</f>
        <v>0.88800000000000001</v>
      </c>
    </row>
    <row r="111" spans="11:44" ht="15" thickBot="1">
      <c r="K111" s="531">
        <v>2016</v>
      </c>
      <c r="L111" s="532" t="s">
        <v>272</v>
      </c>
      <c r="M111" s="533" t="s">
        <v>363</v>
      </c>
      <c r="N111" s="534" t="s">
        <v>411</v>
      </c>
      <c r="O111" s="534" t="s">
        <v>411</v>
      </c>
      <c r="P111" s="534" t="s">
        <v>411</v>
      </c>
      <c r="Q111" s="534" t="s">
        <v>411</v>
      </c>
      <c r="R111" s="534" t="s">
        <v>411</v>
      </c>
      <c r="S111" s="534" t="s">
        <v>411</v>
      </c>
      <c r="T111" s="532" t="s">
        <v>411</v>
      </c>
      <c r="U111" s="534" t="s">
        <v>411</v>
      </c>
      <c r="V111" s="534" t="s">
        <v>411</v>
      </c>
      <c r="W111" s="534" t="s">
        <v>411</v>
      </c>
      <c r="X111" s="535" t="s">
        <v>411</v>
      </c>
      <c r="Y111" s="534" t="s">
        <v>411</v>
      </c>
      <c r="Z111" s="535" t="s">
        <v>411</v>
      </c>
      <c r="AA111" s="534" t="s">
        <v>411</v>
      </c>
      <c r="AB111" s="534" t="s">
        <v>411</v>
      </c>
      <c r="AC111" s="534" t="s">
        <v>411</v>
      </c>
      <c r="AD111" s="534" t="s">
        <v>411</v>
      </c>
      <c r="AE111" s="536" t="s">
        <v>363</v>
      </c>
      <c r="AF111" s="536" t="s">
        <v>363</v>
      </c>
      <c r="AG111" s="533" t="s">
        <v>363</v>
      </c>
      <c r="AH111" s="536" t="s">
        <v>363</v>
      </c>
      <c r="AI111" s="536" t="s">
        <v>363</v>
      </c>
      <c r="AJ111" s="536" t="s">
        <v>363</v>
      </c>
      <c r="AK111" s="536" t="s">
        <v>363</v>
      </c>
      <c r="AL111" s="536" t="s">
        <v>363</v>
      </c>
      <c r="AM111" s="536" t="s">
        <v>363</v>
      </c>
      <c r="AN111" s="536" t="s">
        <v>363</v>
      </c>
      <c r="AO111" s="533" t="s">
        <v>363</v>
      </c>
      <c r="AP111" s="534" t="s">
        <v>411</v>
      </c>
      <c r="AQ111" s="532" t="s">
        <v>411</v>
      </c>
    </row>
    <row r="112" spans="11:44" ht="15" thickBot="1">
      <c r="K112" s="531" t="s">
        <v>733</v>
      </c>
      <c r="L112" s="532">
        <v>440</v>
      </c>
      <c r="M112" s="533" t="s">
        <v>363</v>
      </c>
      <c r="N112" s="536">
        <v>7.9</v>
      </c>
      <c r="O112" s="536">
        <v>0.8</v>
      </c>
      <c r="P112" s="536">
        <v>0.1</v>
      </c>
      <c r="Q112" s="536">
        <v>4.4000000000000004</v>
      </c>
      <c r="R112" s="536">
        <v>0.3</v>
      </c>
      <c r="S112" s="536">
        <v>16</v>
      </c>
      <c r="T112" s="533">
        <v>1.4</v>
      </c>
      <c r="U112" s="536">
        <v>0.6</v>
      </c>
      <c r="V112" s="536">
        <v>2.2000000000000002</v>
      </c>
      <c r="W112" s="536">
        <v>0.1</v>
      </c>
      <c r="X112" s="536">
        <v>0</v>
      </c>
      <c r="Y112" s="536">
        <v>0.9</v>
      </c>
      <c r="Z112" s="536">
        <v>0.5</v>
      </c>
      <c r="AA112" s="536">
        <v>4.2</v>
      </c>
      <c r="AB112" s="536">
        <v>1.1000000000000001</v>
      </c>
      <c r="AC112" s="536">
        <v>2</v>
      </c>
      <c r="AD112" s="536">
        <v>0.2</v>
      </c>
      <c r="AE112" s="536">
        <v>0</v>
      </c>
      <c r="AF112" s="536">
        <v>0.2</v>
      </c>
      <c r="AG112" s="533">
        <v>0.2</v>
      </c>
      <c r="AH112" s="536">
        <v>0</v>
      </c>
      <c r="AI112" s="536">
        <v>0</v>
      </c>
      <c r="AJ112" s="536">
        <v>0</v>
      </c>
      <c r="AK112" s="536">
        <v>0</v>
      </c>
      <c r="AL112" s="536">
        <v>0</v>
      </c>
      <c r="AM112" s="536">
        <v>0</v>
      </c>
      <c r="AN112" s="536">
        <v>6.1</v>
      </c>
      <c r="AO112" s="533">
        <v>0.5</v>
      </c>
      <c r="AP112" s="536">
        <v>0.4</v>
      </c>
      <c r="AQ112" s="533">
        <v>50.1</v>
      </c>
    </row>
    <row r="113" spans="11:44" ht="15" thickBot="1">
      <c r="K113" s="531" t="s">
        <v>734</v>
      </c>
      <c r="L113" s="532">
        <v>1082</v>
      </c>
      <c r="M113" s="533" t="s">
        <v>363</v>
      </c>
      <c r="N113" s="536">
        <v>10.5</v>
      </c>
      <c r="O113" s="536">
        <v>0.4</v>
      </c>
      <c r="P113" s="536">
        <v>1.7</v>
      </c>
      <c r="Q113" s="536">
        <v>0.9</v>
      </c>
      <c r="R113" s="536">
        <v>1.1000000000000001</v>
      </c>
      <c r="S113" s="536">
        <v>1.8</v>
      </c>
      <c r="T113" s="533">
        <v>0.1</v>
      </c>
      <c r="U113" s="536">
        <v>0</v>
      </c>
      <c r="V113" s="536">
        <v>1.4</v>
      </c>
      <c r="W113" s="536">
        <v>0.1</v>
      </c>
      <c r="X113" s="536">
        <v>0</v>
      </c>
      <c r="Y113" s="536">
        <v>0.1</v>
      </c>
      <c r="Z113" s="536">
        <v>0.9</v>
      </c>
      <c r="AA113" s="536">
        <v>0.4</v>
      </c>
      <c r="AB113" s="536">
        <v>0</v>
      </c>
      <c r="AC113" s="536">
        <v>2.5</v>
      </c>
      <c r="AD113" s="536">
        <v>0.3</v>
      </c>
      <c r="AE113" s="536">
        <v>0</v>
      </c>
      <c r="AF113" s="536">
        <v>0</v>
      </c>
      <c r="AG113" s="533">
        <v>0.1</v>
      </c>
      <c r="AH113" s="536">
        <v>0</v>
      </c>
      <c r="AI113" s="536">
        <v>0</v>
      </c>
      <c r="AJ113" s="536">
        <v>0</v>
      </c>
      <c r="AK113" s="536">
        <v>0</v>
      </c>
      <c r="AL113" s="536">
        <v>0.1</v>
      </c>
      <c r="AM113" s="536">
        <v>0</v>
      </c>
      <c r="AN113" s="536">
        <v>0.4</v>
      </c>
      <c r="AO113" s="533">
        <v>1.2</v>
      </c>
      <c r="AP113" s="536">
        <v>0.6</v>
      </c>
      <c r="AQ113" s="533">
        <v>75.7</v>
      </c>
    </row>
    <row r="114" spans="11:44" ht="15" thickBot="1">
      <c r="K114" s="531" t="s">
        <v>735</v>
      </c>
      <c r="L114" s="532">
        <v>5464</v>
      </c>
      <c r="M114" s="533" t="s">
        <v>363</v>
      </c>
      <c r="N114" s="536">
        <v>16.7</v>
      </c>
      <c r="O114" s="536">
        <v>0.8</v>
      </c>
      <c r="P114" s="536">
        <v>1.5</v>
      </c>
      <c r="Q114" s="536">
        <v>4.9000000000000004</v>
      </c>
      <c r="R114" s="536">
        <v>1.5</v>
      </c>
      <c r="S114" s="536">
        <v>9.6999999999999993</v>
      </c>
      <c r="T114" s="533">
        <v>2.1</v>
      </c>
      <c r="U114" s="536">
        <v>0</v>
      </c>
      <c r="V114" s="536">
        <v>0.2</v>
      </c>
      <c r="W114" s="536">
        <v>0.5</v>
      </c>
      <c r="X114" s="536">
        <v>0</v>
      </c>
      <c r="Y114" s="536">
        <v>0</v>
      </c>
      <c r="Z114" s="536">
        <v>0.5</v>
      </c>
      <c r="AA114" s="536">
        <v>4</v>
      </c>
      <c r="AB114" s="536">
        <v>1</v>
      </c>
      <c r="AC114" s="536">
        <v>3.6</v>
      </c>
      <c r="AD114" s="536">
        <v>0.5</v>
      </c>
      <c r="AE114" s="536">
        <v>0</v>
      </c>
      <c r="AF114" s="536">
        <v>0</v>
      </c>
      <c r="AG114" s="533">
        <v>0.3</v>
      </c>
      <c r="AH114" s="536">
        <v>0</v>
      </c>
      <c r="AI114" s="536">
        <v>0</v>
      </c>
      <c r="AJ114" s="536">
        <v>0</v>
      </c>
      <c r="AK114" s="536">
        <v>0</v>
      </c>
      <c r="AL114" s="536">
        <v>0</v>
      </c>
      <c r="AM114" s="536">
        <v>0</v>
      </c>
      <c r="AN114" s="536">
        <v>6.4</v>
      </c>
      <c r="AO114" s="533">
        <v>7.9</v>
      </c>
      <c r="AP114" s="536">
        <v>0.2</v>
      </c>
      <c r="AQ114" s="533">
        <v>37.700000000000003</v>
      </c>
    </row>
    <row r="115" spans="11:44" ht="15" thickBot="1">
      <c r="K115" s="531" t="s">
        <v>736</v>
      </c>
      <c r="L115" s="532">
        <v>4818</v>
      </c>
      <c r="M115" s="533" t="s">
        <v>363</v>
      </c>
      <c r="N115" s="536">
        <v>11.1</v>
      </c>
      <c r="O115" s="536">
        <v>0.5</v>
      </c>
      <c r="P115" s="536">
        <v>0.6</v>
      </c>
      <c r="Q115" s="536">
        <v>2</v>
      </c>
      <c r="R115" s="536">
        <v>0.8</v>
      </c>
      <c r="S115" s="536">
        <v>5.4</v>
      </c>
      <c r="T115" s="533">
        <v>2.2000000000000002</v>
      </c>
      <c r="U115" s="536">
        <v>0</v>
      </c>
      <c r="V115" s="536">
        <v>0</v>
      </c>
      <c r="W115" s="536">
        <v>0.5</v>
      </c>
      <c r="X115" s="536">
        <v>0</v>
      </c>
      <c r="Y115" s="536">
        <v>0</v>
      </c>
      <c r="Z115" s="536">
        <v>0.6</v>
      </c>
      <c r="AA115" s="536">
        <v>5.2</v>
      </c>
      <c r="AB115" s="536">
        <v>1.3</v>
      </c>
      <c r="AC115" s="536">
        <v>3.3</v>
      </c>
      <c r="AD115" s="536">
        <v>0.3</v>
      </c>
      <c r="AE115" s="536">
        <v>0</v>
      </c>
      <c r="AF115" s="536">
        <v>0</v>
      </c>
      <c r="AG115" s="533">
        <v>0.2</v>
      </c>
      <c r="AH115" s="536">
        <v>0</v>
      </c>
      <c r="AI115" s="536">
        <v>0</v>
      </c>
      <c r="AJ115" s="536">
        <v>0</v>
      </c>
      <c r="AK115" s="536">
        <v>0</v>
      </c>
      <c r="AL115" s="536">
        <v>0</v>
      </c>
      <c r="AM115" s="536">
        <v>0</v>
      </c>
      <c r="AN115" s="536">
        <v>20.399999999999999</v>
      </c>
      <c r="AO115" s="533">
        <v>12.7</v>
      </c>
      <c r="AP115" s="536">
        <v>0</v>
      </c>
      <c r="AQ115" s="533">
        <v>32.6</v>
      </c>
    </row>
    <row r="118" spans="11:44">
      <c r="N118" s="93">
        <f>AVERAGE(N101:N110)/100</f>
        <v>0.11109999999999999</v>
      </c>
      <c r="O118" s="93">
        <f t="shared" ref="O118:AQ118" si="7">AVERAGE(O101:O110)/100</f>
        <v>5.7999999999999996E-3</v>
      </c>
      <c r="P118" s="93">
        <f t="shared" si="7"/>
        <v>8.1000000000000013E-3</v>
      </c>
      <c r="Q118" s="93">
        <f t="shared" si="7"/>
        <v>2.0400000000000001E-2</v>
      </c>
      <c r="R118" s="93">
        <f t="shared" si="7"/>
        <v>8.7000000000000011E-3</v>
      </c>
      <c r="S118" s="93">
        <f t="shared" si="7"/>
        <v>6.2999999999999987E-2</v>
      </c>
      <c r="T118" s="93">
        <f t="shared" si="7"/>
        <v>2.0899999999999998E-2</v>
      </c>
      <c r="U118" s="93">
        <f t="shared" si="7"/>
        <v>0</v>
      </c>
      <c r="V118" s="93">
        <f t="shared" si="7"/>
        <v>1.3000000000000004E-3</v>
      </c>
      <c r="W118" s="93">
        <f t="shared" si="7"/>
        <v>5.0000000000000001E-3</v>
      </c>
      <c r="X118" s="93">
        <f t="shared" si="7"/>
        <v>1E-4</v>
      </c>
      <c r="Y118" s="93">
        <f t="shared" si="7"/>
        <v>0</v>
      </c>
      <c r="Z118" s="93">
        <f t="shared" si="7"/>
        <v>5.8999999999999999E-3</v>
      </c>
      <c r="AA118" s="93">
        <f t="shared" si="7"/>
        <v>4.5599999999999995E-2</v>
      </c>
      <c r="AB118" s="93">
        <f t="shared" si="7"/>
        <v>1.0200000000000001E-2</v>
      </c>
      <c r="AC118" s="93">
        <f t="shared" si="7"/>
        <v>2.5499999999999998E-2</v>
      </c>
      <c r="AD118" s="93">
        <f t="shared" si="7"/>
        <v>3.0999999999999999E-3</v>
      </c>
      <c r="AE118" s="93">
        <f t="shared" si="7"/>
        <v>0</v>
      </c>
      <c r="AF118" s="93">
        <f t="shared" si="7"/>
        <v>2.0000000000000001E-4</v>
      </c>
      <c r="AG118" s="93">
        <f t="shared" si="7"/>
        <v>2.6999999999999997E-3</v>
      </c>
      <c r="AH118" s="93">
        <f t="shared" si="7"/>
        <v>1E-4</v>
      </c>
      <c r="AI118" s="93">
        <f t="shared" si="7"/>
        <v>0</v>
      </c>
      <c r="AJ118" s="93">
        <f t="shared" si="7"/>
        <v>0</v>
      </c>
      <c r="AK118" s="93">
        <f t="shared" si="7"/>
        <v>0</v>
      </c>
      <c r="AL118" s="93">
        <f t="shared" si="7"/>
        <v>0</v>
      </c>
      <c r="AM118" s="93">
        <f t="shared" si="7"/>
        <v>0</v>
      </c>
      <c r="AN118" s="93">
        <f t="shared" si="7"/>
        <v>0.18469999999999998</v>
      </c>
      <c r="AO118" s="93">
        <f t="shared" si="7"/>
        <v>0.1285</v>
      </c>
      <c r="AP118" s="93">
        <f t="shared" si="7"/>
        <v>9.0000000000000008E-4</v>
      </c>
      <c r="AQ118" s="93">
        <f t="shared" si="7"/>
        <v>0.34869999999999995</v>
      </c>
      <c r="AR118" s="93">
        <f>AVERAGE(AR101:AR110)</f>
        <v>0.6522</v>
      </c>
    </row>
  </sheetData>
  <mergeCells count="53">
    <mergeCell ref="AQ78:AQ79"/>
    <mergeCell ref="N80:P80"/>
    <mergeCell ref="AF78:AG78"/>
    <mergeCell ref="AH78:AJ78"/>
    <mergeCell ref="AK78:AL78"/>
    <mergeCell ref="AM78:AO78"/>
    <mergeCell ref="AP78:AP79"/>
    <mergeCell ref="S78:T78"/>
    <mergeCell ref="U78:W78"/>
    <mergeCell ref="X78:Z78"/>
    <mergeCell ref="AA78:AB78"/>
    <mergeCell ref="AC78:AD78"/>
    <mergeCell ref="AJ76:AJ77"/>
    <mergeCell ref="AK76:AM77"/>
    <mergeCell ref="AN76:AN77"/>
    <mergeCell ref="AO76:AO77"/>
    <mergeCell ref="AP76:AQ77"/>
    <mergeCell ref="AE76:AE77"/>
    <mergeCell ref="AF76:AF77"/>
    <mergeCell ref="AG76:AG77"/>
    <mergeCell ref="AH76:AH77"/>
    <mergeCell ref="AI76:AI77"/>
    <mergeCell ref="X76:X77"/>
    <mergeCell ref="Y76:Y77"/>
    <mergeCell ref="Z76:AB77"/>
    <mergeCell ref="AC76:AC77"/>
    <mergeCell ref="AD76:AD77"/>
    <mergeCell ref="S76:S77"/>
    <mergeCell ref="T76:T77"/>
    <mergeCell ref="U76:U77"/>
    <mergeCell ref="V76:V77"/>
    <mergeCell ref="W76:W77"/>
    <mergeCell ref="K76:K79"/>
    <mergeCell ref="M76:M79"/>
    <mergeCell ref="N76:N77"/>
    <mergeCell ref="O76:O77"/>
    <mergeCell ref="P76:R77"/>
    <mergeCell ref="N78:P78"/>
    <mergeCell ref="Q78:R78"/>
    <mergeCell ref="AG37:AH37"/>
    <mergeCell ref="Q37:R37"/>
    <mergeCell ref="S37:T37"/>
    <mergeCell ref="U37:V37"/>
    <mergeCell ref="Z37:AA37"/>
    <mergeCell ref="AB37:AC37"/>
    <mergeCell ref="AD37:AE37"/>
    <mergeCell ref="H5:L5"/>
    <mergeCell ref="A7:A10"/>
    <mergeCell ref="B7:B10"/>
    <mergeCell ref="A11:A18"/>
    <mergeCell ref="A1:E3"/>
    <mergeCell ref="A5:C6"/>
    <mergeCell ref="E5:G5"/>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51"/>
  <sheetViews>
    <sheetView zoomScale="90" zoomScaleNormal="90" workbookViewId="0">
      <selection activeCell="J22" sqref="J22"/>
    </sheetView>
  </sheetViews>
  <sheetFormatPr defaultRowHeight="14.4"/>
  <cols>
    <col min="2" max="2" width="15.6640625" customWidth="1"/>
    <col min="3" max="3" width="12.6640625" customWidth="1"/>
    <col min="4" max="4" width="24.109375" customWidth="1"/>
    <col min="5" max="5" width="21.5546875" customWidth="1"/>
    <col min="6" max="6" width="22.33203125" customWidth="1"/>
    <col min="8" max="8" width="11.6640625" customWidth="1"/>
    <col min="9" max="9" width="95.33203125" customWidth="1"/>
  </cols>
  <sheetData>
    <row r="1" spans="1:9">
      <c r="A1" s="686" t="s">
        <v>267</v>
      </c>
      <c r="B1" s="686"/>
      <c r="C1" s="686"/>
      <c r="D1" s="686"/>
      <c r="E1" s="686"/>
      <c r="F1" s="686"/>
      <c r="H1" s="24" t="s">
        <v>326</v>
      </c>
      <c r="I1" s="24"/>
    </row>
    <row r="2" spans="1:9">
      <c r="A2" s="686"/>
      <c r="B2" s="686"/>
      <c r="C2" s="686"/>
      <c r="D2" s="686"/>
      <c r="E2" s="686"/>
      <c r="F2" s="686"/>
    </row>
    <row r="3" spans="1:9">
      <c r="A3" s="686"/>
      <c r="B3" s="686"/>
      <c r="C3" s="686"/>
      <c r="D3" s="686"/>
      <c r="E3" s="686"/>
      <c r="F3" s="686"/>
    </row>
    <row r="4" spans="1:9" ht="15" thickBot="1"/>
    <row r="5" spans="1:9" ht="15" thickBot="1">
      <c r="A5" s="704" t="s">
        <v>146</v>
      </c>
      <c r="B5" s="705"/>
      <c r="C5" s="706"/>
      <c r="D5" s="695" t="s">
        <v>165</v>
      </c>
      <c r="E5" s="697"/>
      <c r="F5" s="695" t="s">
        <v>149</v>
      </c>
      <c r="G5" s="696"/>
      <c r="H5" s="697"/>
    </row>
    <row r="6" spans="1:9" ht="15" thickBot="1">
      <c r="A6" s="707"/>
      <c r="B6" s="708"/>
      <c r="C6" s="709"/>
      <c r="D6" s="22" t="s">
        <v>150</v>
      </c>
      <c r="E6" s="22" t="s">
        <v>151</v>
      </c>
      <c r="F6" s="22" t="s">
        <v>186</v>
      </c>
      <c r="G6" s="22" t="s">
        <v>187</v>
      </c>
      <c r="H6" s="22" t="s">
        <v>188</v>
      </c>
    </row>
    <row r="7" spans="1:9" ht="15" thickBot="1">
      <c r="A7" s="698" t="s">
        <v>189</v>
      </c>
      <c r="B7" s="701" t="s">
        <v>190</v>
      </c>
      <c r="C7" s="25" t="s">
        <v>191</v>
      </c>
      <c r="D7" s="26" t="s">
        <v>43</v>
      </c>
      <c r="E7" s="26" t="s">
        <v>158</v>
      </c>
      <c r="F7" s="26" t="s">
        <v>43</v>
      </c>
      <c r="G7" s="26" t="s">
        <v>43</v>
      </c>
      <c r="H7" s="26" t="s">
        <v>43</v>
      </c>
    </row>
    <row r="8" spans="1:9" ht="15" thickBot="1">
      <c r="A8" s="699"/>
      <c r="B8" s="703"/>
      <c r="C8" s="25" t="s">
        <v>192</v>
      </c>
      <c r="D8" s="26" t="s">
        <v>43</v>
      </c>
      <c r="E8" s="26" t="s">
        <v>158</v>
      </c>
      <c r="F8" s="26" t="s">
        <v>43</v>
      </c>
      <c r="G8" s="26" t="s">
        <v>43</v>
      </c>
      <c r="H8" s="26" t="s">
        <v>43</v>
      </c>
    </row>
    <row r="9" spans="1:9" ht="29.4" thickBot="1">
      <c r="A9" s="699"/>
      <c r="B9" s="701" t="s">
        <v>193</v>
      </c>
      <c r="C9" s="25" t="s">
        <v>191</v>
      </c>
      <c r="D9" s="26" t="s">
        <v>43</v>
      </c>
      <c r="E9" s="26" t="s">
        <v>158</v>
      </c>
      <c r="F9" s="26" t="s">
        <v>43</v>
      </c>
      <c r="G9" s="26" t="s">
        <v>43</v>
      </c>
      <c r="H9" s="26" t="s">
        <v>43</v>
      </c>
      <c r="I9" s="27" t="s">
        <v>293</v>
      </c>
    </row>
    <row r="10" spans="1:9" ht="15" thickBot="1">
      <c r="A10" s="700"/>
      <c r="B10" s="703"/>
      <c r="C10" s="25" t="s">
        <v>192</v>
      </c>
      <c r="D10" s="26" t="s">
        <v>43</v>
      </c>
      <c r="E10" s="26" t="s">
        <v>158</v>
      </c>
      <c r="F10" s="26" t="s">
        <v>43</v>
      </c>
      <c r="G10" s="26" t="s">
        <v>43</v>
      </c>
      <c r="H10" s="26" t="s">
        <v>43</v>
      </c>
    </row>
    <row r="11" spans="1:9" ht="15" thickBot="1">
      <c r="A11" s="698" t="s">
        <v>194</v>
      </c>
      <c r="B11" s="745" t="s">
        <v>294</v>
      </c>
      <c r="C11" s="25" t="s">
        <v>195</v>
      </c>
      <c r="D11" s="28" t="s">
        <v>295</v>
      </c>
      <c r="E11" s="26" t="s">
        <v>158</v>
      </c>
      <c r="F11" s="28" t="s">
        <v>295</v>
      </c>
      <c r="G11" s="26" t="s">
        <v>43</v>
      </c>
      <c r="H11" s="26" t="s">
        <v>43</v>
      </c>
    </row>
    <row r="12" spans="1:9" ht="15" thickBot="1">
      <c r="A12" s="699"/>
      <c r="B12" s="702"/>
      <c r="C12" s="25" t="s">
        <v>196</v>
      </c>
      <c r="D12" s="29" t="s">
        <v>272</v>
      </c>
      <c r="E12" s="26" t="s">
        <v>158</v>
      </c>
      <c r="F12" s="26" t="s">
        <v>43</v>
      </c>
      <c r="G12" s="26" t="s">
        <v>43</v>
      </c>
      <c r="H12" s="26" t="s">
        <v>43</v>
      </c>
    </row>
    <row r="13" spans="1:9" ht="15" thickBot="1">
      <c r="A13" s="699"/>
      <c r="B13" s="703"/>
      <c r="C13" s="25" t="s">
        <v>188</v>
      </c>
      <c r="D13" s="30">
        <v>503</v>
      </c>
      <c r="E13" s="26" t="s">
        <v>158</v>
      </c>
      <c r="F13" s="26" t="s">
        <v>43</v>
      </c>
      <c r="G13" s="26" t="s">
        <v>43</v>
      </c>
      <c r="H13" s="30">
        <f>D13</f>
        <v>503</v>
      </c>
    </row>
    <row r="14" spans="1:9" ht="15.75" customHeight="1" thickBot="1">
      <c r="A14" s="699"/>
      <c r="B14" s="745" t="s">
        <v>296</v>
      </c>
      <c r="C14" s="25" t="s">
        <v>195</v>
      </c>
      <c r="D14" s="28" t="s">
        <v>297</v>
      </c>
      <c r="E14" s="26" t="s">
        <v>158</v>
      </c>
      <c r="F14" s="28" t="s">
        <v>297</v>
      </c>
      <c r="G14" s="26" t="s">
        <v>158</v>
      </c>
      <c r="H14" s="26" t="s">
        <v>158</v>
      </c>
    </row>
    <row r="15" spans="1:9" ht="15" thickBot="1">
      <c r="A15" s="699"/>
      <c r="B15" s="702"/>
      <c r="C15" s="25" t="s">
        <v>196</v>
      </c>
      <c r="D15" s="29" t="s">
        <v>298</v>
      </c>
      <c r="E15" s="26" t="s">
        <v>158</v>
      </c>
      <c r="F15" s="26" t="s">
        <v>158</v>
      </c>
      <c r="G15" s="26" t="s">
        <v>158</v>
      </c>
      <c r="H15" s="26" t="s">
        <v>158</v>
      </c>
      <c r="I15" t="s">
        <v>299</v>
      </c>
    </row>
    <row r="16" spans="1:9" ht="15" thickBot="1">
      <c r="A16" s="699"/>
      <c r="B16" s="703"/>
      <c r="C16" s="25" t="s">
        <v>188</v>
      </c>
      <c r="D16" s="30">
        <v>616</v>
      </c>
      <c r="E16" s="26" t="s">
        <v>158</v>
      </c>
      <c r="F16" s="31"/>
      <c r="G16" s="26" t="s">
        <v>158</v>
      </c>
      <c r="H16" s="30">
        <f>D16</f>
        <v>616</v>
      </c>
    </row>
    <row r="17" spans="1:9" ht="58.2" thickBot="1">
      <c r="A17" s="699"/>
      <c r="B17" s="21" t="s">
        <v>300</v>
      </c>
      <c r="C17" s="25" t="s">
        <v>195</v>
      </c>
      <c r="D17" s="26">
        <v>0</v>
      </c>
      <c r="E17" s="26" t="s">
        <v>158</v>
      </c>
      <c r="F17" s="26">
        <v>0</v>
      </c>
      <c r="G17" s="26">
        <v>0</v>
      </c>
      <c r="H17" s="26">
        <v>0</v>
      </c>
      <c r="I17" t="s">
        <v>332</v>
      </c>
    </row>
    <row r="18" spans="1:9" ht="15" thickBot="1">
      <c r="A18" s="699"/>
      <c r="B18" s="23"/>
      <c r="C18" s="25" t="s">
        <v>196</v>
      </c>
      <c r="D18" s="26">
        <v>0</v>
      </c>
      <c r="E18" s="26" t="s">
        <v>158</v>
      </c>
      <c r="F18" s="26">
        <v>0</v>
      </c>
      <c r="G18" s="26">
        <v>0</v>
      </c>
      <c r="H18" s="26">
        <v>0</v>
      </c>
    </row>
    <row r="19" spans="1:9" ht="15" thickBot="1">
      <c r="A19" s="699"/>
      <c r="B19" s="23"/>
      <c r="C19" s="25" t="s">
        <v>188</v>
      </c>
      <c r="D19" s="26">
        <v>0</v>
      </c>
      <c r="E19" s="26" t="s">
        <v>158</v>
      </c>
      <c r="F19" s="26">
        <v>0</v>
      </c>
      <c r="G19" s="26">
        <v>0</v>
      </c>
      <c r="H19" s="26">
        <v>0</v>
      </c>
    </row>
    <row r="20" spans="1:9" ht="15" thickBot="1">
      <c r="A20" s="699"/>
      <c r="B20" s="745" t="s">
        <v>301</v>
      </c>
      <c r="C20" s="25" t="s">
        <v>195</v>
      </c>
      <c r="D20" s="28" t="s">
        <v>302</v>
      </c>
      <c r="E20" s="26" t="s">
        <v>158</v>
      </c>
      <c r="F20" s="28" t="s">
        <v>302</v>
      </c>
      <c r="G20" s="26" t="s">
        <v>43</v>
      </c>
      <c r="H20" s="26" t="s">
        <v>43</v>
      </c>
    </row>
    <row r="21" spans="1:9" ht="15" thickBot="1">
      <c r="A21" s="699"/>
      <c r="B21" s="702"/>
      <c r="C21" s="25" t="s">
        <v>196</v>
      </c>
      <c r="D21" s="28" t="s">
        <v>303</v>
      </c>
      <c r="E21" s="26" t="s">
        <v>158</v>
      </c>
      <c r="F21" s="28"/>
      <c r="G21" s="26" t="s">
        <v>43</v>
      </c>
      <c r="H21" s="26" t="s">
        <v>43</v>
      </c>
      <c r="I21" s="32" t="s">
        <v>304</v>
      </c>
    </row>
    <row r="22" spans="1:9" ht="15" thickBot="1">
      <c r="A22" s="699"/>
      <c r="B22" s="703"/>
      <c r="C22" s="25" t="s">
        <v>188</v>
      </c>
      <c r="D22" s="28" t="s">
        <v>305</v>
      </c>
      <c r="E22" s="26" t="s">
        <v>158</v>
      </c>
      <c r="F22" s="28" t="s">
        <v>305</v>
      </c>
      <c r="G22" s="26" t="s">
        <v>43</v>
      </c>
      <c r="H22" s="26" t="s">
        <v>43</v>
      </c>
    </row>
    <row r="23" spans="1:9" ht="15" thickBot="1">
      <c r="A23" s="699"/>
      <c r="B23" s="745" t="s">
        <v>306</v>
      </c>
      <c r="C23" s="25" t="s">
        <v>195</v>
      </c>
      <c r="D23" s="28" t="s">
        <v>307</v>
      </c>
      <c r="E23" s="26" t="s">
        <v>158</v>
      </c>
      <c r="F23" s="28" t="s">
        <v>307</v>
      </c>
      <c r="G23" s="26" t="s">
        <v>158</v>
      </c>
      <c r="H23" s="26" t="s">
        <v>158</v>
      </c>
    </row>
    <row r="24" spans="1:9" ht="15" thickBot="1">
      <c r="A24" s="699"/>
      <c r="B24" s="702"/>
      <c r="C24" s="25" t="s">
        <v>196</v>
      </c>
      <c r="D24" s="26" t="s">
        <v>158</v>
      </c>
      <c r="E24" s="26" t="s">
        <v>158</v>
      </c>
      <c r="F24" s="28"/>
      <c r="G24" s="26" t="s">
        <v>158</v>
      </c>
      <c r="H24" s="26" t="s">
        <v>158</v>
      </c>
      <c r="I24" t="s">
        <v>308</v>
      </c>
    </row>
    <row r="25" spans="1:9" ht="15" thickBot="1">
      <c r="A25" s="699"/>
      <c r="B25" s="703"/>
      <c r="C25" s="25" t="s">
        <v>188</v>
      </c>
      <c r="D25" s="28" t="s">
        <v>309</v>
      </c>
      <c r="E25" s="26" t="s">
        <v>158</v>
      </c>
      <c r="F25" s="28" t="s">
        <v>309</v>
      </c>
      <c r="G25" s="26" t="s">
        <v>158</v>
      </c>
      <c r="H25" s="26" t="s">
        <v>158</v>
      </c>
    </row>
    <row r="26" spans="1:9" ht="29.4" thickBot="1">
      <c r="A26" s="699"/>
      <c r="B26" s="21" t="s">
        <v>310</v>
      </c>
      <c r="C26" s="25" t="s">
        <v>195</v>
      </c>
      <c r="D26" s="28" t="s">
        <v>311</v>
      </c>
      <c r="E26" s="26" t="s">
        <v>158</v>
      </c>
      <c r="F26" s="28" t="s">
        <v>311</v>
      </c>
      <c r="G26" s="26" t="s">
        <v>158</v>
      </c>
      <c r="H26" s="26" t="s">
        <v>158</v>
      </c>
    </row>
    <row r="27" spans="1:9" ht="15" thickBot="1">
      <c r="A27" s="699"/>
      <c r="B27" s="23"/>
      <c r="C27" s="25" t="s">
        <v>196</v>
      </c>
      <c r="D27" s="26" t="s">
        <v>158</v>
      </c>
      <c r="E27" s="26" t="s">
        <v>158</v>
      </c>
      <c r="F27" s="28"/>
      <c r="G27" s="26" t="s">
        <v>158</v>
      </c>
      <c r="H27" s="26" t="s">
        <v>158</v>
      </c>
      <c r="I27" t="s">
        <v>308</v>
      </c>
    </row>
    <row r="28" spans="1:9">
      <c r="A28" s="699"/>
      <c r="B28" s="33"/>
      <c r="C28" s="34" t="s">
        <v>188</v>
      </c>
      <c r="D28" s="28" t="s">
        <v>312</v>
      </c>
      <c r="E28" s="26" t="s">
        <v>158</v>
      </c>
      <c r="F28" s="28" t="s">
        <v>312</v>
      </c>
      <c r="G28" s="26" t="s">
        <v>158</v>
      </c>
      <c r="H28" s="26" t="s">
        <v>158</v>
      </c>
    </row>
    <row r="29" spans="1:9" ht="43.2">
      <c r="A29" s="699"/>
      <c r="B29" s="21" t="s">
        <v>313</v>
      </c>
      <c r="C29" s="35"/>
      <c r="D29" s="26" t="s">
        <v>158</v>
      </c>
      <c r="E29" s="26" t="s">
        <v>158</v>
      </c>
      <c r="F29" s="26" t="s">
        <v>158</v>
      </c>
      <c r="G29" s="26" t="s">
        <v>158</v>
      </c>
      <c r="H29" s="26" t="s">
        <v>158</v>
      </c>
      <c r="I29" t="s">
        <v>314</v>
      </c>
    </row>
    <row r="30" spans="1:9">
      <c r="A30" s="699"/>
      <c r="B30" s="23"/>
      <c r="C30" s="35"/>
      <c r="D30" s="26" t="s">
        <v>158</v>
      </c>
      <c r="E30" s="26" t="s">
        <v>158</v>
      </c>
      <c r="F30" s="26" t="s">
        <v>158</v>
      </c>
      <c r="G30" s="26" t="s">
        <v>158</v>
      </c>
      <c r="H30" s="26" t="s">
        <v>158</v>
      </c>
    </row>
    <row r="31" spans="1:9">
      <c r="A31" s="699"/>
      <c r="B31" s="33"/>
      <c r="C31" s="34"/>
      <c r="D31" s="26" t="s">
        <v>158</v>
      </c>
      <c r="E31" s="26" t="s">
        <v>158</v>
      </c>
      <c r="F31" s="26" t="s">
        <v>158</v>
      </c>
      <c r="G31" s="26"/>
      <c r="H31" s="26"/>
    </row>
    <row r="32" spans="1:9" ht="15.75" customHeight="1" thickBot="1">
      <c r="A32" s="699"/>
      <c r="B32" s="746" t="s">
        <v>261</v>
      </c>
      <c r="C32" s="25" t="s">
        <v>195</v>
      </c>
      <c r="D32" s="28" t="s">
        <v>315</v>
      </c>
      <c r="E32" s="26" t="s">
        <v>158</v>
      </c>
      <c r="F32" s="28" t="s">
        <v>315</v>
      </c>
      <c r="G32" s="26" t="s">
        <v>43</v>
      </c>
      <c r="H32" s="26" t="s">
        <v>43</v>
      </c>
    </row>
    <row r="33" spans="1:9" ht="15" thickBot="1">
      <c r="A33" s="699"/>
      <c r="B33" s="702"/>
      <c r="C33" s="25" t="s">
        <v>196</v>
      </c>
      <c r="D33" s="26" t="s">
        <v>158</v>
      </c>
      <c r="E33" s="26" t="s">
        <v>158</v>
      </c>
      <c r="F33" s="26" t="s">
        <v>158</v>
      </c>
      <c r="G33" s="26" t="s">
        <v>43</v>
      </c>
      <c r="H33" s="26" t="s">
        <v>43</v>
      </c>
    </row>
    <row r="34" spans="1:9" ht="15" thickBot="1">
      <c r="A34" s="699"/>
      <c r="B34" s="703"/>
      <c r="C34" s="25" t="s">
        <v>188</v>
      </c>
      <c r="D34" s="26" t="s">
        <v>158</v>
      </c>
      <c r="E34" s="26" t="s">
        <v>158</v>
      </c>
      <c r="F34" s="26" t="s">
        <v>158</v>
      </c>
      <c r="G34" s="26" t="s">
        <v>43</v>
      </c>
      <c r="H34" s="26" t="s">
        <v>43</v>
      </c>
    </row>
    <row r="35" spans="1:9" ht="58.2" thickBot="1">
      <c r="A35" s="699"/>
      <c r="B35" s="21" t="s">
        <v>316</v>
      </c>
      <c r="C35" s="25" t="s">
        <v>195</v>
      </c>
      <c r="D35" s="28">
        <v>0</v>
      </c>
      <c r="E35" s="26" t="s">
        <v>158</v>
      </c>
      <c r="F35" s="28">
        <v>0</v>
      </c>
      <c r="G35" s="26">
        <v>0</v>
      </c>
      <c r="H35" s="26">
        <v>0</v>
      </c>
    </row>
    <row r="36" spans="1:9" ht="15" thickBot="1">
      <c r="A36" s="699"/>
      <c r="B36" s="23"/>
      <c r="C36" s="25" t="s">
        <v>196</v>
      </c>
      <c r="D36" s="28">
        <v>0</v>
      </c>
      <c r="E36" s="26" t="s">
        <v>158</v>
      </c>
      <c r="F36" s="28">
        <v>0</v>
      </c>
      <c r="G36" s="26">
        <v>0</v>
      </c>
      <c r="H36" s="26">
        <v>0</v>
      </c>
    </row>
    <row r="37" spans="1:9" ht="15" thickBot="1">
      <c r="A37" s="699"/>
      <c r="B37" s="23"/>
      <c r="C37" s="25" t="s">
        <v>188</v>
      </c>
      <c r="D37" s="28">
        <v>0</v>
      </c>
      <c r="E37" s="26" t="s">
        <v>158</v>
      </c>
      <c r="F37" s="28">
        <v>0</v>
      </c>
      <c r="G37" s="26">
        <v>0</v>
      </c>
      <c r="H37" s="26">
        <v>0</v>
      </c>
    </row>
    <row r="38" spans="1:9" ht="15" thickBot="1">
      <c r="A38" s="699"/>
      <c r="B38" s="745" t="s">
        <v>317</v>
      </c>
      <c r="C38" s="25" t="s">
        <v>195</v>
      </c>
      <c r="D38" s="28" t="s">
        <v>318</v>
      </c>
      <c r="E38" s="26" t="s">
        <v>158</v>
      </c>
      <c r="F38" s="28" t="s">
        <v>318</v>
      </c>
      <c r="G38" s="26" t="s">
        <v>43</v>
      </c>
      <c r="H38" s="26" t="s">
        <v>43</v>
      </c>
    </row>
    <row r="39" spans="1:9" ht="15" thickBot="1">
      <c r="A39" s="699"/>
      <c r="B39" s="702"/>
      <c r="C39" s="25" t="s">
        <v>196</v>
      </c>
      <c r="D39" s="28" t="s">
        <v>319</v>
      </c>
      <c r="E39" s="26" t="s">
        <v>158</v>
      </c>
      <c r="F39" s="26" t="s">
        <v>158</v>
      </c>
      <c r="G39" s="26" t="s">
        <v>43</v>
      </c>
      <c r="H39" s="26" t="s">
        <v>43</v>
      </c>
      <c r="I39" s="32" t="s">
        <v>320</v>
      </c>
    </row>
    <row r="40" spans="1:9" ht="15" thickBot="1">
      <c r="A40" s="699"/>
      <c r="B40" s="703"/>
      <c r="C40" s="25" t="s">
        <v>188</v>
      </c>
      <c r="D40" s="28" t="s">
        <v>321</v>
      </c>
      <c r="E40" s="26" t="s">
        <v>158</v>
      </c>
      <c r="F40" s="28" t="s">
        <v>321</v>
      </c>
      <c r="G40" s="26" t="s">
        <v>43</v>
      </c>
      <c r="H40" s="26" t="s">
        <v>43</v>
      </c>
    </row>
    <row r="41" spans="1:9" ht="15" thickBot="1">
      <c r="A41" s="699"/>
      <c r="B41" s="747" t="s">
        <v>333</v>
      </c>
      <c r="C41" s="36" t="s">
        <v>195</v>
      </c>
      <c r="D41" s="37">
        <v>15000</v>
      </c>
      <c r="E41" s="30">
        <v>0</v>
      </c>
      <c r="F41" s="38"/>
      <c r="G41" s="30"/>
      <c r="H41" s="30"/>
      <c r="I41" s="24" t="s">
        <v>334</v>
      </c>
    </row>
    <row r="42" spans="1:9" ht="15" thickBot="1">
      <c r="A42" s="699"/>
      <c r="B42" s="748"/>
      <c r="C42" s="36" t="s">
        <v>196</v>
      </c>
      <c r="D42" s="39" t="s">
        <v>272</v>
      </c>
      <c r="E42" s="30">
        <v>0</v>
      </c>
      <c r="F42" s="38"/>
      <c r="G42" s="30"/>
      <c r="H42" s="30"/>
      <c r="I42" s="24"/>
    </row>
    <row r="43" spans="1:9" ht="15" thickBot="1">
      <c r="A43" s="699"/>
      <c r="B43" s="749"/>
      <c r="C43" s="36" t="s">
        <v>188</v>
      </c>
      <c r="D43" s="38">
        <v>6</v>
      </c>
      <c r="E43" s="30">
        <v>0</v>
      </c>
      <c r="F43" s="38"/>
      <c r="G43" s="30"/>
      <c r="H43" s="30"/>
      <c r="I43" s="24"/>
    </row>
    <row r="44" spans="1:9" ht="15" thickBot="1">
      <c r="A44" s="700"/>
      <c r="B44" s="6" t="s">
        <v>197</v>
      </c>
      <c r="C44" s="25" t="s">
        <v>160</v>
      </c>
      <c r="D44" s="26" t="s">
        <v>43</v>
      </c>
      <c r="E44" s="26" t="s">
        <v>158</v>
      </c>
      <c r="F44" s="26" t="s">
        <v>43</v>
      </c>
      <c r="G44" s="26" t="s">
        <v>43</v>
      </c>
      <c r="H44" s="26" t="s">
        <v>43</v>
      </c>
    </row>
    <row r="46" spans="1:9" ht="16.2">
      <c r="A46" s="7" t="s">
        <v>198</v>
      </c>
    </row>
    <row r="48" spans="1:9">
      <c r="A48" t="s">
        <v>322</v>
      </c>
    </row>
    <row r="49" spans="1:1">
      <c r="A49" t="s">
        <v>323</v>
      </c>
    </row>
    <row r="50" spans="1:1">
      <c r="A50" t="s">
        <v>324</v>
      </c>
    </row>
    <row r="51" spans="1:1">
      <c r="A51" t="s">
        <v>325</v>
      </c>
    </row>
  </sheetData>
  <mergeCells count="15">
    <mergeCell ref="B14:B16"/>
    <mergeCell ref="B20:B22"/>
    <mergeCell ref="A11:A44"/>
    <mergeCell ref="B23:B25"/>
    <mergeCell ref="B32:B34"/>
    <mergeCell ref="B38:B40"/>
    <mergeCell ref="B11:B13"/>
    <mergeCell ref="B41:B43"/>
    <mergeCell ref="A1:F3"/>
    <mergeCell ref="A5:C6"/>
    <mergeCell ref="D5:E5"/>
    <mergeCell ref="F5:H5"/>
    <mergeCell ref="A7:A10"/>
    <mergeCell ref="B7:B8"/>
    <mergeCell ref="B9:B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Summary</vt:lpstr>
      <vt:lpstr>Documentation</vt:lpstr>
      <vt:lpstr>run</vt:lpstr>
      <vt:lpstr>Conv</vt:lpstr>
      <vt:lpstr>HistoricAbund_Calcs.</vt:lpstr>
      <vt:lpstr>HarvestGoals_Calc</vt:lpstr>
      <vt:lpstr>Spawners</vt:lpstr>
      <vt:lpstr>Fishery</vt:lpstr>
      <vt:lpstr>Hatchery</vt:lpstr>
      <vt:lpstr>Pops</vt:lpstr>
      <vt:lpstr>MetaData</vt:lpstr>
      <vt:lpstr>NPCC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binh</dc:creator>
  <cp:lastModifiedBy>xxx</cp:lastModifiedBy>
  <cp:lastPrinted>2018-01-18T00:45:05Z</cp:lastPrinted>
  <dcterms:created xsi:type="dcterms:W3CDTF">2017-07-24T20:09:35Z</dcterms:created>
  <dcterms:modified xsi:type="dcterms:W3CDTF">2020-08-13T16:49:32Z</dcterms:modified>
</cp:coreProperties>
</file>