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mc:AlternateContent xmlns:mc="http://schemas.openxmlformats.org/markup-compatibility/2006">
    <mc:Choice Requires="x15">
      <x15ac:absPath xmlns:x15ac="http://schemas.microsoft.com/office/spreadsheetml/2010/11/ac" url="C:\Users\beame\Documents\NMFS Columbia Basin\10. Quantitative goals\Willamette Chinook Spring\"/>
    </mc:Choice>
  </mc:AlternateContent>
  <xr:revisionPtr revIDLastSave="0" documentId="8_{AEA75D2A-C4F3-4018-A9AC-09305418A3BD}" xr6:coauthVersionLast="45" xr6:coauthVersionMax="45" xr10:uidLastSave="{00000000-0000-0000-0000-000000000000}"/>
  <bookViews>
    <workbookView xWindow="28680" yWindow="-120" windowWidth="29040" windowHeight="15840" xr2:uid="{00000000-000D-0000-FFFF-FFFF00000000}"/>
  </bookViews>
  <sheets>
    <sheet name="Summary" sheetId="2" r:id="rId1"/>
    <sheet name="Spawners" sheetId="3" r:id="rId2"/>
    <sheet name="Hatchery" sheetId="4" r:id="rId3"/>
    <sheet name="Fishery" sheetId="5" r:id="rId4"/>
    <sheet name="Run" sheetId="1" r:id="rId5"/>
    <sheet name="Conv" sheetId="8" r:id="rId6"/>
    <sheet name="Background" sheetId="6" r:id="rId7"/>
    <sheet name="Documentation" sheetId="7" r:id="rId8"/>
  </sheets>
  <definedNames>
    <definedName name="_Toc485835426" localSheetId="4">Run!$W$1</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7" i="2" l="1"/>
  <c r="Y9" i="2"/>
  <c r="Y10" i="2"/>
  <c r="Y8" i="2"/>
  <c r="Y5" i="2"/>
  <c r="Y4" i="2"/>
  <c r="W9" i="2"/>
  <c r="W8" i="2"/>
  <c r="W7" i="2"/>
  <c r="W6" i="2"/>
  <c r="W5" i="2"/>
  <c r="W4" i="2"/>
  <c r="X41" i="2" l="1"/>
  <c r="W41" i="2"/>
  <c r="FA18" i="1" l="1"/>
  <c r="IG53" i="1" l="1"/>
  <c r="IF53" i="1"/>
  <c r="IE53" i="1"/>
  <c r="IH53" i="1" s="1"/>
  <c r="IG61" i="1"/>
  <c r="IF61" i="1"/>
  <c r="IE61" i="1"/>
  <c r="IG60" i="1"/>
  <c r="IF60" i="1"/>
  <c r="IE60" i="1"/>
  <c r="IG59" i="1"/>
  <c r="IF59" i="1"/>
  <c r="IE59" i="1"/>
  <c r="IH59" i="1" s="1"/>
  <c r="IG58" i="1"/>
  <c r="IF58" i="1"/>
  <c r="IE58" i="1"/>
  <c r="IG57" i="1"/>
  <c r="IF57" i="1"/>
  <c r="IE57" i="1"/>
  <c r="IG56" i="1"/>
  <c r="IF56" i="1"/>
  <c r="IE56" i="1"/>
  <c r="IG55" i="1"/>
  <c r="IF55" i="1"/>
  <c r="IE55" i="1"/>
  <c r="IG54" i="1"/>
  <c r="IF54" i="1"/>
  <c r="IE54" i="1"/>
  <c r="IY45" i="1"/>
  <c r="IX45" i="1"/>
  <c r="IW45" i="1"/>
  <c r="IV45" i="1"/>
  <c r="IU45" i="1"/>
  <c r="IT45" i="1"/>
  <c r="IS45" i="1"/>
  <c r="IR45" i="1"/>
  <c r="IQ45" i="1"/>
  <c r="IP45" i="1"/>
  <c r="IO45" i="1"/>
  <c r="IN45" i="1"/>
  <c r="IM45" i="1"/>
  <c r="IL45" i="1"/>
  <c r="IK45" i="1"/>
  <c r="IJ45" i="1"/>
  <c r="II45" i="1"/>
  <c r="IH45" i="1"/>
  <c r="IG45" i="1"/>
  <c r="IF45" i="1"/>
  <c r="IH56" i="1" l="1"/>
  <c r="IH61" i="1"/>
  <c r="IH54" i="1"/>
  <c r="IH57" i="1"/>
  <c r="IH55" i="1"/>
  <c r="IH60" i="1"/>
  <c r="IF47" i="1"/>
  <c r="IH58" i="1"/>
  <c r="II47" i="1"/>
  <c r="IS47" i="1"/>
  <c r="IE63" i="1"/>
  <c r="IF63" i="1"/>
  <c r="IG63" i="1"/>
  <c r="U27" i="2" l="1"/>
  <c r="U35" i="2"/>
  <c r="U34" i="2"/>
  <c r="U26" i="2"/>
  <c r="AC28" i="2" s="1"/>
  <c r="U36" i="2"/>
  <c r="U28" i="2"/>
  <c r="IH63" i="1"/>
  <c r="I4" i="8" s="1"/>
  <c r="I7" i="8" l="1"/>
  <c r="I8" i="8"/>
  <c r="F13" i="8"/>
  <c r="I9" i="8"/>
  <c r="HO15" i="1"/>
  <c r="HN15" i="1"/>
  <c r="HO14" i="1"/>
  <c r="HN14" i="1"/>
  <c r="HO13" i="1"/>
  <c r="HN13" i="1"/>
  <c r="HO12" i="1"/>
  <c r="HN12" i="1"/>
  <c r="HO11" i="1"/>
  <c r="HN11" i="1"/>
  <c r="HO10" i="1"/>
  <c r="HN10" i="1"/>
  <c r="HO9" i="1"/>
  <c r="HN9" i="1"/>
  <c r="HK9" i="1"/>
  <c r="HO8" i="1"/>
  <c r="HN8" i="1"/>
  <c r="HO7" i="1"/>
  <c r="HN7" i="1"/>
  <c r="HO6" i="1"/>
  <c r="HO17" i="1" s="1"/>
  <c r="HN6" i="1"/>
  <c r="Q9" i="8" l="1"/>
  <c r="G9" i="8"/>
  <c r="F18" i="8"/>
  <c r="J18" i="8" s="1"/>
  <c r="F16" i="8"/>
  <c r="F17" i="8"/>
  <c r="HN17" i="1"/>
  <c r="HD15" i="1"/>
  <c r="HT15" i="1" s="1"/>
  <c r="HD14" i="1"/>
  <c r="HT14" i="1" s="1"/>
  <c r="HD13" i="1"/>
  <c r="HT13" i="1" s="1"/>
  <c r="HD12" i="1"/>
  <c r="HT12" i="1" s="1"/>
  <c r="HD11" i="1"/>
  <c r="HT11" i="1" s="1"/>
  <c r="HD10" i="1"/>
  <c r="HT10" i="1" s="1"/>
  <c r="HD9" i="1"/>
  <c r="HT9" i="1" s="1"/>
  <c r="HD8" i="1"/>
  <c r="HT8" i="1" s="1"/>
  <c r="HD7" i="1"/>
  <c r="HT7" i="1" s="1"/>
  <c r="HD6" i="1"/>
  <c r="HT6" i="1" s="1"/>
  <c r="HE15" i="1"/>
  <c r="HU15" i="1" s="1"/>
  <c r="HE14" i="1"/>
  <c r="HU14" i="1" s="1"/>
  <c r="HE13" i="1"/>
  <c r="HU13" i="1" s="1"/>
  <c r="HE12" i="1"/>
  <c r="HU12" i="1" s="1"/>
  <c r="HE11" i="1"/>
  <c r="HU11" i="1" s="1"/>
  <c r="HE10" i="1"/>
  <c r="HU10" i="1" s="1"/>
  <c r="HE9" i="1"/>
  <c r="HU9" i="1" s="1"/>
  <c r="HE8" i="1"/>
  <c r="HU8" i="1" s="1"/>
  <c r="HE7" i="1"/>
  <c r="HU7" i="1" s="1"/>
  <c r="HE6" i="1"/>
  <c r="HU6" i="1" s="1"/>
  <c r="HB13" i="1"/>
  <c r="HX13" i="1" s="1"/>
  <c r="HB15" i="1"/>
  <c r="HX15" i="1" s="1"/>
  <c r="HB14" i="1"/>
  <c r="HX14" i="1" s="1"/>
  <c r="HB12" i="1"/>
  <c r="HX12" i="1" s="1"/>
  <c r="HB11" i="1"/>
  <c r="HX11" i="1" s="1"/>
  <c r="HB10" i="1"/>
  <c r="HX10" i="1" s="1"/>
  <c r="HB9" i="1"/>
  <c r="HX9" i="1" s="1"/>
  <c r="HB8" i="1"/>
  <c r="HX8" i="1" s="1"/>
  <c r="HB7" i="1"/>
  <c r="HX7" i="1" s="1"/>
  <c r="HB6" i="1"/>
  <c r="HX6" i="1" s="1"/>
  <c r="HX17" i="1" l="1"/>
  <c r="Y30" i="2" s="1"/>
  <c r="HU17" i="1"/>
  <c r="Y29" i="2" s="1"/>
  <c r="HT17" i="1"/>
  <c r="Y37" i="2" s="1"/>
  <c r="GQ15" i="1"/>
  <c r="HQ15" i="1" s="1"/>
  <c r="GQ14" i="1"/>
  <c r="HQ14" i="1" s="1"/>
  <c r="GQ13" i="1"/>
  <c r="HQ13" i="1" s="1"/>
  <c r="GQ12" i="1"/>
  <c r="HQ12" i="1" s="1"/>
  <c r="GQ11" i="1"/>
  <c r="HQ11" i="1" s="1"/>
  <c r="GQ10" i="1"/>
  <c r="HQ10" i="1" s="1"/>
  <c r="GQ9" i="1"/>
  <c r="HQ9" i="1" s="1"/>
  <c r="GQ8" i="1"/>
  <c r="HQ8" i="1" s="1"/>
  <c r="GQ7" i="1"/>
  <c r="HQ7" i="1" s="1"/>
  <c r="GQ6" i="1"/>
  <c r="HQ6" i="1" s="1"/>
  <c r="GR15" i="1"/>
  <c r="HR15" i="1" s="1"/>
  <c r="GR14" i="1"/>
  <c r="HR14" i="1" s="1"/>
  <c r="GR13" i="1"/>
  <c r="HR13" i="1" s="1"/>
  <c r="GR12" i="1"/>
  <c r="HR12" i="1" s="1"/>
  <c r="GR11" i="1"/>
  <c r="HR11" i="1" s="1"/>
  <c r="GR10" i="1"/>
  <c r="HR10" i="1" s="1"/>
  <c r="GR9" i="1"/>
  <c r="HR9" i="1" s="1"/>
  <c r="GR8" i="1"/>
  <c r="HR8" i="1" s="1"/>
  <c r="GR7" i="1"/>
  <c r="HR7" i="1" s="1"/>
  <c r="GR6" i="1"/>
  <c r="HR6" i="1" s="1"/>
  <c r="FE51" i="1"/>
  <c r="FE52" i="1"/>
  <c r="FE53" i="1"/>
  <c r="FE54" i="1"/>
  <c r="FE55" i="1"/>
  <c r="GL15" i="1"/>
  <c r="GK15" i="1"/>
  <c r="GL14" i="1"/>
  <c r="GK14" i="1"/>
  <c r="GL13" i="1"/>
  <c r="GK13" i="1"/>
  <c r="GL12" i="1"/>
  <c r="GK12" i="1"/>
  <c r="GL11" i="1"/>
  <c r="GK11" i="1"/>
  <c r="GL10" i="1"/>
  <c r="GK10" i="1"/>
  <c r="GL9" i="1"/>
  <c r="GK9" i="1"/>
  <c r="GL8" i="1"/>
  <c r="GK8" i="1"/>
  <c r="GL7" i="1"/>
  <c r="GK7" i="1"/>
  <c r="GL6" i="1"/>
  <c r="GK6" i="1"/>
  <c r="DT48" i="1"/>
  <c r="DS48" i="1"/>
  <c r="DR48" i="1"/>
  <c r="DQ48" i="1"/>
  <c r="DP48" i="1"/>
  <c r="DO48" i="1"/>
  <c r="DN48" i="1"/>
  <c r="DM48" i="1"/>
  <c r="DL48" i="1"/>
  <c r="DK48" i="1"/>
  <c r="DU46" i="1"/>
  <c r="DT39" i="1"/>
  <c r="DS39" i="1"/>
  <c r="DR39" i="1"/>
  <c r="DQ39" i="1"/>
  <c r="DP39" i="1"/>
  <c r="DO39" i="1"/>
  <c r="DN39" i="1"/>
  <c r="DM39" i="1"/>
  <c r="DL39" i="1"/>
  <c r="DK39" i="1"/>
  <c r="DT31" i="1"/>
  <c r="DS31" i="1"/>
  <c r="DR31" i="1"/>
  <c r="DQ31" i="1"/>
  <c r="DP31" i="1"/>
  <c r="DO31" i="1"/>
  <c r="DN31" i="1"/>
  <c r="DM31" i="1"/>
  <c r="DL31" i="1"/>
  <c r="DK31" i="1"/>
  <c r="DT26" i="1"/>
  <c r="DS26" i="1"/>
  <c r="DR26" i="1"/>
  <c r="DQ26" i="1"/>
  <c r="DP26" i="1"/>
  <c r="DO26" i="1"/>
  <c r="DN26" i="1"/>
  <c r="DM26" i="1"/>
  <c r="DL26" i="1"/>
  <c r="DK26" i="1"/>
  <c r="DT21" i="1"/>
  <c r="DS21" i="1"/>
  <c r="DR21" i="1"/>
  <c r="DQ21" i="1"/>
  <c r="DP21" i="1"/>
  <c r="DO21" i="1"/>
  <c r="DN21" i="1"/>
  <c r="DM21" i="1"/>
  <c r="DL21" i="1"/>
  <c r="DK21" i="1"/>
  <c r="DU17" i="1"/>
  <c r="DV17" i="1" s="1"/>
  <c r="DT13" i="1"/>
  <c r="DS13" i="1"/>
  <c r="DR13" i="1"/>
  <c r="DQ13" i="1"/>
  <c r="DP13" i="1"/>
  <c r="DO13" i="1"/>
  <c r="DN13" i="1"/>
  <c r="DM13" i="1"/>
  <c r="DL13" i="1"/>
  <c r="DK13" i="1"/>
  <c r="EW12" i="1"/>
  <c r="EW15" i="1"/>
  <c r="EW14" i="1"/>
  <c r="EW13" i="1"/>
  <c r="EW11" i="1"/>
  <c r="EW10" i="1"/>
  <c r="EW9" i="1"/>
  <c r="EW8" i="1"/>
  <c r="EW7" i="1"/>
  <c r="EW6" i="1"/>
  <c r="ES15" i="1"/>
  <c r="ES14" i="1"/>
  <c r="ES13" i="1"/>
  <c r="ES12" i="1"/>
  <c r="ES11" i="1"/>
  <c r="ES10" i="1"/>
  <c r="ES9" i="1"/>
  <c r="ES8" i="1"/>
  <c r="ES7" i="1"/>
  <c r="ES6" i="1"/>
  <c r="DY57" i="1"/>
  <c r="DY56" i="1"/>
  <c r="DY55" i="1"/>
  <c r="DY54" i="1"/>
  <c r="DY53" i="1"/>
  <c r="DY52" i="1"/>
  <c r="DY51" i="1"/>
  <c r="DY50" i="1"/>
  <c r="DY49" i="1"/>
  <c r="DY48" i="1"/>
  <c r="DY15" i="1"/>
  <c r="DY14" i="1"/>
  <c r="DY13" i="1"/>
  <c r="DY12" i="1"/>
  <c r="DY11" i="1"/>
  <c r="DY10" i="1"/>
  <c r="DY9" i="1"/>
  <c r="DY8" i="1"/>
  <c r="DY7" i="1"/>
  <c r="DY6" i="1"/>
  <c r="HR17" i="1" l="1"/>
  <c r="Y31" i="2" s="1"/>
  <c r="HQ17" i="1"/>
  <c r="Y39" i="2" s="1"/>
  <c r="DU21" i="1"/>
  <c r="DV21" i="1" s="1"/>
  <c r="DO44" i="1"/>
  <c r="DO47" i="1" s="1"/>
  <c r="DP44" i="1"/>
  <c r="DQ44" i="1"/>
  <c r="DU13" i="1"/>
  <c r="DV13" i="1" s="1"/>
  <c r="DS44" i="1"/>
  <c r="DU31" i="1"/>
  <c r="DV31" i="1" s="1"/>
  <c r="DL44" i="1"/>
  <c r="DT44" i="1"/>
  <c r="DM44" i="1"/>
  <c r="DU39" i="1"/>
  <c r="DV39" i="1" s="1"/>
  <c r="DN44" i="1"/>
  <c r="DN47" i="1" s="1"/>
  <c r="DR44" i="1"/>
  <c r="DU26" i="1"/>
  <c r="DV26" i="1" s="1"/>
  <c r="DK44" i="1"/>
  <c r="EN6" i="1" s="1"/>
  <c r="HK6" i="1" s="1"/>
  <c r="EN10" i="1" l="1"/>
  <c r="DL47" i="1"/>
  <c r="EN7" i="1"/>
  <c r="DS47" i="1"/>
  <c r="EN14" i="1"/>
  <c r="DV44" i="1"/>
  <c r="DR47" i="1"/>
  <c r="EN13" i="1"/>
  <c r="DQ47" i="1"/>
  <c r="EN12" i="1"/>
  <c r="DT47" i="1"/>
  <c r="EN15" i="1"/>
  <c r="DM47" i="1"/>
  <c r="EN8" i="1"/>
  <c r="DP47" i="1"/>
  <c r="EN11" i="1"/>
  <c r="DK47" i="1"/>
  <c r="DU44" i="1"/>
  <c r="HK12" i="1" l="1"/>
  <c r="HK10" i="1"/>
  <c r="HK13" i="1"/>
  <c r="HK8" i="1"/>
  <c r="HK14" i="1"/>
  <c r="HK7" i="1"/>
  <c r="HK11" i="1"/>
  <c r="HK15" i="1"/>
  <c r="EC44" i="1"/>
  <c r="EC57" i="1" s="1"/>
  <c r="EB44" i="1"/>
  <c r="EB57" i="1" s="1"/>
  <c r="EA44" i="1"/>
  <c r="DZ44" i="1"/>
  <c r="DZ57" i="1" s="1"/>
  <c r="EC40" i="1"/>
  <c r="EC56" i="1" s="1"/>
  <c r="EB40" i="1"/>
  <c r="EB56" i="1" s="1"/>
  <c r="EA40" i="1"/>
  <c r="DZ40" i="1"/>
  <c r="DZ56" i="1" s="1"/>
  <c r="EC39" i="1"/>
  <c r="EC55" i="1" s="1"/>
  <c r="EB39" i="1"/>
  <c r="EB55" i="1" s="1"/>
  <c r="EA39" i="1"/>
  <c r="EA55" i="1" s="1"/>
  <c r="DZ39" i="1"/>
  <c r="DZ55" i="1" s="1"/>
  <c r="EC38" i="1"/>
  <c r="EC54" i="1" s="1"/>
  <c r="EB38" i="1"/>
  <c r="EB54" i="1" s="1"/>
  <c r="EA38" i="1"/>
  <c r="EA54" i="1" s="1"/>
  <c r="DZ38" i="1"/>
  <c r="EC37" i="1"/>
  <c r="EC53" i="1" s="1"/>
  <c r="EB37" i="1"/>
  <c r="EB53" i="1" s="1"/>
  <c r="EA37" i="1"/>
  <c r="EA53" i="1" s="1"/>
  <c r="DZ37" i="1"/>
  <c r="DZ53" i="1" s="1"/>
  <c r="EC36" i="1"/>
  <c r="EC52" i="1" s="1"/>
  <c r="EB36" i="1"/>
  <c r="EB52" i="1" s="1"/>
  <c r="EA36" i="1"/>
  <c r="EA52" i="1" s="1"/>
  <c r="DZ36" i="1"/>
  <c r="DZ52" i="1" s="1"/>
  <c r="EC35" i="1"/>
  <c r="EC51" i="1" s="1"/>
  <c r="EB35" i="1"/>
  <c r="EB51" i="1" s="1"/>
  <c r="EA35" i="1"/>
  <c r="DZ35" i="1"/>
  <c r="DZ51" i="1" s="1"/>
  <c r="EC34" i="1"/>
  <c r="EB34" i="1"/>
  <c r="EB50" i="1" s="1"/>
  <c r="EA34" i="1"/>
  <c r="EA50" i="1" s="1"/>
  <c r="DZ34" i="1"/>
  <c r="DZ50" i="1" s="1"/>
  <c r="EC33" i="1"/>
  <c r="EC49" i="1" s="1"/>
  <c r="EB33" i="1"/>
  <c r="EB49" i="1" s="1"/>
  <c r="EA33" i="1"/>
  <c r="DZ33" i="1"/>
  <c r="DZ49" i="1" s="1"/>
  <c r="EC32" i="1"/>
  <c r="EC48" i="1" s="1"/>
  <c r="EB32" i="1"/>
  <c r="EB48" i="1" s="1"/>
  <c r="EA32" i="1"/>
  <c r="EA48" i="1" s="1"/>
  <c r="DZ32" i="1"/>
  <c r="DZ48" i="1" s="1"/>
  <c r="ED15" i="1"/>
  <c r="EI15" i="1" s="1"/>
  <c r="ED14" i="1"/>
  <c r="EI14" i="1" s="1"/>
  <c r="ED13" i="1"/>
  <c r="EI13" i="1" s="1"/>
  <c r="ED12" i="1"/>
  <c r="EI12" i="1" s="1"/>
  <c r="ED11" i="1"/>
  <c r="EI11" i="1" s="1"/>
  <c r="ED10" i="1"/>
  <c r="EI10" i="1" s="1"/>
  <c r="ED9" i="1"/>
  <c r="EI9" i="1" s="1"/>
  <c r="ED8" i="1"/>
  <c r="EI8" i="1" s="1"/>
  <c r="ED7" i="1"/>
  <c r="EI7" i="1" s="1"/>
  <c r="ED6" i="1"/>
  <c r="EI6" i="1" s="1"/>
  <c r="HK17" i="1" l="1"/>
  <c r="Y40" i="2" s="1"/>
  <c r="ED32" i="1"/>
  <c r="EI17" i="1"/>
  <c r="ED40" i="1"/>
  <c r="ED33" i="1"/>
  <c r="ED39" i="1"/>
  <c r="ED52" i="1"/>
  <c r="EH10" i="1" s="1"/>
  <c r="EJ10" i="1" s="1"/>
  <c r="EK10" i="1" s="1"/>
  <c r="ED55" i="1"/>
  <c r="EH13" i="1" s="1"/>
  <c r="EJ13" i="1" s="1"/>
  <c r="EK13" i="1" s="1"/>
  <c r="ED34" i="1"/>
  <c r="EA56" i="1"/>
  <c r="ED56" i="1" s="1"/>
  <c r="EH14" i="1" s="1"/>
  <c r="EJ14" i="1" s="1"/>
  <c r="EK14" i="1" s="1"/>
  <c r="ED35" i="1"/>
  <c r="ED37" i="1"/>
  <c r="ED44" i="1"/>
  <c r="EC50" i="1"/>
  <c r="ED50" i="1" s="1"/>
  <c r="EH8" i="1" s="1"/>
  <c r="EJ8" i="1" s="1"/>
  <c r="EK8" i="1" s="1"/>
  <c r="ED36" i="1"/>
  <c r="ED38" i="1"/>
  <c r="EA49" i="1"/>
  <c r="ED49" i="1" s="1"/>
  <c r="EH7" i="1" s="1"/>
  <c r="EJ7" i="1" s="1"/>
  <c r="DZ54" i="1"/>
  <c r="ED54" i="1" s="1"/>
  <c r="EH12" i="1" s="1"/>
  <c r="EJ12" i="1" s="1"/>
  <c r="EK12" i="1" s="1"/>
  <c r="EA57" i="1"/>
  <c r="ED57" i="1" s="1"/>
  <c r="EH15" i="1" s="1"/>
  <c r="EJ15" i="1" s="1"/>
  <c r="EK15" i="1" s="1"/>
  <c r="EA51" i="1"/>
  <c r="ED51" i="1" s="1"/>
  <c r="EH9" i="1" s="1"/>
  <c r="EJ9" i="1" s="1"/>
  <c r="EK9" i="1" s="1"/>
  <c r="ED53" i="1"/>
  <c r="EH11" i="1" s="1"/>
  <c r="EJ11" i="1" s="1"/>
  <c r="EK11" i="1" s="1"/>
  <c r="ED48" i="1"/>
  <c r="EH6" i="1" s="1"/>
  <c r="EJ6" i="1" s="1"/>
  <c r="EK6" i="1" s="1"/>
  <c r="U50" i="2" l="1"/>
  <c r="D4" i="8"/>
  <c r="EJ17" i="1"/>
  <c r="U51" i="2" s="1"/>
  <c r="U49" i="2" s="1"/>
  <c r="U52" i="2" s="1"/>
  <c r="EK7" i="1"/>
  <c r="F4" i="7"/>
  <c r="AX45" i="4" l="1"/>
  <c r="AZ37" i="4"/>
  <c r="AX35" i="4"/>
  <c r="AZ28" i="4"/>
  <c r="AX26" i="4"/>
  <c r="AZ18" i="4"/>
  <c r="AX16" i="4"/>
  <c r="AZ8" i="4"/>
  <c r="AV4" i="4" s="1"/>
  <c r="V21" i="2" s="1"/>
  <c r="BM10" i="4" l="1"/>
  <c r="V15" i="2" s="1"/>
  <c r="V22" i="2" s="1"/>
  <c r="U27" i="4"/>
  <c r="U20" i="4"/>
  <c r="U15" i="4"/>
  <c r="U9" i="4"/>
  <c r="U4" i="4" l="1"/>
  <c r="D13" i="8"/>
  <c r="D16" i="8" s="1"/>
  <c r="M68" i="2"/>
  <c r="F51" i="7"/>
  <c r="F44" i="7" l="1"/>
  <c r="F49" i="7" l="1"/>
  <c r="X20" i="2"/>
  <c r="X22" i="2" s="1"/>
  <c r="D18" i="8" s="1"/>
  <c r="D17" i="8" s="1"/>
  <c r="F43" i="7"/>
  <c r="F50" i="7" l="1"/>
  <c r="W10" i="2"/>
  <c r="X8" i="2" l="1"/>
  <c r="X4" i="2"/>
  <c r="X9" i="2"/>
  <c r="X7" i="2"/>
  <c r="X10" i="2"/>
  <c r="X5" i="2"/>
  <c r="Y6" i="2"/>
  <c r="X6" i="2" s="1"/>
  <c r="FH43" i="5"/>
  <c r="FH42" i="5"/>
  <c r="FH41" i="5"/>
  <c r="FH40" i="5"/>
  <c r="FH39" i="5"/>
  <c r="FH38" i="5"/>
  <c r="FH37" i="5"/>
  <c r="FH36" i="5"/>
  <c r="FH35" i="5"/>
  <c r="FH34" i="5"/>
  <c r="FF22" i="5"/>
  <c r="FF21" i="5"/>
  <c r="FF20" i="5"/>
  <c r="FF19" i="5"/>
  <c r="FF18" i="5"/>
  <c r="FF17" i="5"/>
  <c r="FF16" i="5"/>
  <c r="FF15" i="5"/>
  <c r="FF14" i="5"/>
  <c r="FF13" i="5"/>
  <c r="FC18" i="5"/>
  <c r="FI22" i="5"/>
  <c r="FI21" i="5"/>
  <c r="FI20" i="5"/>
  <c r="FI19" i="5"/>
  <c r="FI18" i="5"/>
  <c r="FI17" i="5"/>
  <c r="FI16" i="5"/>
  <c r="FI15" i="5"/>
  <c r="FI14" i="5"/>
  <c r="FH22" i="5"/>
  <c r="FJ22" i="5" s="1"/>
  <c r="FH21" i="5"/>
  <c r="FH20" i="5"/>
  <c r="FH19" i="5"/>
  <c r="FH18" i="5"/>
  <c r="FJ18" i="5" s="1"/>
  <c r="FH17" i="5"/>
  <c r="FH16" i="5"/>
  <c r="FH15" i="5"/>
  <c r="FH14" i="5"/>
  <c r="FI13" i="5"/>
  <c r="FH13" i="5"/>
  <c r="FF34" i="5"/>
  <c r="HA15" i="1" s="1"/>
  <c r="HW15" i="1" s="1"/>
  <c r="HZ15" i="1" s="1"/>
  <c r="FJ19" i="5" l="1"/>
  <c r="FJ16" i="5"/>
  <c r="FJ13" i="5"/>
  <c r="FJ21" i="5"/>
  <c r="FJ14" i="5"/>
  <c r="FJ20" i="5"/>
  <c r="FJ15" i="5"/>
  <c r="FJ17" i="5"/>
  <c r="EZ87" i="5" l="1"/>
  <c r="EZ86" i="5"/>
  <c r="EZ85" i="5"/>
  <c r="EZ84" i="5"/>
  <c r="EZ83" i="5"/>
  <c r="EZ82" i="5"/>
  <c r="EZ81" i="5"/>
  <c r="EZ80" i="5"/>
  <c r="EZ79" i="5"/>
  <c r="EZ78" i="5"/>
  <c r="EY87" i="5"/>
  <c r="EY86" i="5"/>
  <c r="EY85" i="5"/>
  <c r="EY84" i="5"/>
  <c r="EY83" i="5"/>
  <c r="EY82" i="5"/>
  <c r="EY81" i="5"/>
  <c r="EY80" i="5"/>
  <c r="EY79" i="5"/>
  <c r="EY78" i="5"/>
  <c r="FA65" i="5"/>
  <c r="FA64" i="5"/>
  <c r="FA63" i="5"/>
  <c r="FA62" i="5"/>
  <c r="FA61" i="5"/>
  <c r="FA60" i="5"/>
  <c r="FA59" i="5"/>
  <c r="FA58" i="5"/>
  <c r="FA57" i="5"/>
  <c r="FA56" i="5"/>
  <c r="FA24" i="5"/>
  <c r="FD45" i="5"/>
  <c r="FU60" i="1" l="1"/>
  <c r="FU59" i="1"/>
  <c r="FU58" i="1"/>
  <c r="FU57" i="1"/>
  <c r="FU56" i="1"/>
  <c r="FU55" i="1"/>
  <c r="FU54" i="1"/>
  <c r="FU53" i="1"/>
  <c r="FU52" i="1"/>
  <c r="FS60" i="1"/>
  <c r="FS59" i="1"/>
  <c r="FS58" i="1"/>
  <c r="FS57" i="1"/>
  <c r="FS56" i="1"/>
  <c r="FS55" i="1"/>
  <c r="FS54" i="1"/>
  <c r="FS53" i="1"/>
  <c r="FS52" i="1"/>
  <c r="FR60" i="1"/>
  <c r="FR59" i="1"/>
  <c r="FR58" i="1"/>
  <c r="FR57" i="1"/>
  <c r="FR56" i="1"/>
  <c r="FR55" i="1"/>
  <c r="FR54" i="1"/>
  <c r="FR53" i="1"/>
  <c r="FR52" i="1"/>
  <c r="FU51" i="1"/>
  <c r="FS51" i="1"/>
  <c r="FR51" i="1"/>
  <c r="FK60" i="1"/>
  <c r="FK59" i="1"/>
  <c r="FK58" i="1"/>
  <c r="FK57" i="1"/>
  <c r="FK56" i="1"/>
  <c r="FK55" i="1"/>
  <c r="FK54" i="1"/>
  <c r="FK53" i="1"/>
  <c r="FK52" i="1"/>
  <c r="FK51" i="1"/>
  <c r="GC16" i="1"/>
  <c r="GC15" i="1"/>
  <c r="GC14" i="1"/>
  <c r="GC13" i="1"/>
  <c r="GC12" i="1"/>
  <c r="GC11" i="1"/>
  <c r="GC10" i="1"/>
  <c r="GC9" i="1"/>
  <c r="GC8" i="1"/>
  <c r="GC7" i="1"/>
  <c r="GC6" i="1"/>
  <c r="FH45" i="5" l="1"/>
  <c r="FF24" i="5"/>
  <c r="FV13" i="1"/>
  <c r="FE58" i="1" s="1"/>
  <c r="FU13" i="1"/>
  <c r="FT13" i="1"/>
  <c r="FV17" i="1"/>
  <c r="FE62" i="1" s="1"/>
  <c r="FU17" i="1"/>
  <c r="FT17" i="1"/>
  <c r="FV16" i="1"/>
  <c r="FE61" i="1" s="1"/>
  <c r="FU16" i="1"/>
  <c r="FT16" i="1"/>
  <c r="FV15" i="1"/>
  <c r="FE60" i="1" s="1"/>
  <c r="FU15" i="1"/>
  <c r="FT15" i="1"/>
  <c r="FV14" i="1"/>
  <c r="FE59" i="1" s="1"/>
  <c r="FU14" i="1"/>
  <c r="FT14" i="1"/>
  <c r="FV12" i="1"/>
  <c r="FE57" i="1" s="1"/>
  <c r="FU12" i="1"/>
  <c r="FT12" i="1"/>
  <c r="GI14" i="1" l="1"/>
  <c r="FG59" i="1"/>
  <c r="GH17" i="1"/>
  <c r="FF62" i="1"/>
  <c r="FG62" i="1"/>
  <c r="GI17" i="1"/>
  <c r="FF60" i="1"/>
  <c r="GH15" i="1"/>
  <c r="FF58" i="1"/>
  <c r="GH13" i="1"/>
  <c r="FX13" i="1"/>
  <c r="GE13" i="1" s="1"/>
  <c r="GO13" i="1" s="1"/>
  <c r="FG58" i="1"/>
  <c r="GI13" i="1"/>
  <c r="GI16" i="1"/>
  <c r="FG61" i="1"/>
  <c r="FG60" i="1"/>
  <c r="GI15" i="1"/>
  <c r="GH12" i="1"/>
  <c r="FF57" i="1"/>
  <c r="GI12" i="1"/>
  <c r="FG57" i="1"/>
  <c r="GH16" i="1"/>
  <c r="FF61" i="1"/>
  <c r="FF59" i="1"/>
  <c r="GH14" i="1"/>
  <c r="FX17" i="1"/>
  <c r="FX15" i="1"/>
  <c r="GE15" i="1" s="1"/>
  <c r="GO15" i="1" s="1"/>
  <c r="FX12" i="1"/>
  <c r="GE12" i="1" s="1"/>
  <c r="GO12" i="1" s="1"/>
  <c r="FX14" i="1"/>
  <c r="GE14" i="1" s="1"/>
  <c r="GO14" i="1" s="1"/>
  <c r="FX16" i="1"/>
  <c r="GE16" i="1" s="1"/>
  <c r="GO16" i="1" s="1"/>
  <c r="FW14" i="1"/>
  <c r="GD14" i="1" s="1"/>
  <c r="GN14" i="1" s="1"/>
  <c r="FW13" i="1"/>
  <c r="FW17" i="1"/>
  <c r="FW12" i="1"/>
  <c r="GD12" i="1" s="1"/>
  <c r="GN12" i="1" s="1"/>
  <c r="FW16" i="1"/>
  <c r="GD16" i="1" s="1"/>
  <c r="GN16" i="1" s="1"/>
  <c r="FW15" i="1"/>
  <c r="GD15" i="1" s="1"/>
  <c r="GN15" i="1" s="1"/>
  <c r="FV11" i="1"/>
  <c r="FU11" i="1"/>
  <c r="FT11" i="1"/>
  <c r="FH62" i="1" l="1"/>
  <c r="FH60" i="1"/>
  <c r="GT15" i="1"/>
  <c r="GX15" i="1" s="1"/>
  <c r="HG15" i="1" s="1"/>
  <c r="HW32" i="1" s="1"/>
  <c r="HN32" i="1"/>
  <c r="FH61" i="1"/>
  <c r="FH57" i="1"/>
  <c r="GU13" i="1"/>
  <c r="GY13" i="1" s="1"/>
  <c r="HH13" i="1" s="1"/>
  <c r="IR60" i="1" s="1"/>
  <c r="IS60" i="1" s="1"/>
  <c r="FH58" i="1"/>
  <c r="GU12" i="1"/>
  <c r="GY12" i="1" s="1"/>
  <c r="HH12" i="1" s="1"/>
  <c r="IR59" i="1" s="1"/>
  <c r="IS59" i="1" s="1"/>
  <c r="GT12" i="1"/>
  <c r="GX12" i="1" s="1"/>
  <c r="GT14" i="1"/>
  <c r="GX14" i="1" s="1"/>
  <c r="GU15" i="1"/>
  <c r="GY15" i="1" s="1"/>
  <c r="HH15" i="1" s="1"/>
  <c r="GU14" i="1"/>
  <c r="GY14" i="1" s="1"/>
  <c r="HH14" i="1" s="1"/>
  <c r="IR61" i="1" s="1"/>
  <c r="IS61" i="1" s="1"/>
  <c r="FE56" i="1"/>
  <c r="FE64" i="1" s="1"/>
  <c r="GI11" i="1"/>
  <c r="FG56" i="1"/>
  <c r="FH59" i="1"/>
  <c r="FF56" i="1"/>
  <c r="GH11" i="1"/>
  <c r="FN58" i="1"/>
  <c r="GD13" i="1"/>
  <c r="GN13" i="1" s="1"/>
  <c r="GT13" i="1" s="1"/>
  <c r="GX13" i="1" s="1"/>
  <c r="FX11" i="1"/>
  <c r="FM58" i="1"/>
  <c r="FO58" i="1" s="1"/>
  <c r="FN59" i="1"/>
  <c r="FN60" i="1"/>
  <c r="FM60" i="1"/>
  <c r="FO60" i="1" s="1"/>
  <c r="FN61" i="1"/>
  <c r="FM61" i="1"/>
  <c r="FN57" i="1"/>
  <c r="FM57" i="1"/>
  <c r="FO57" i="1" s="1"/>
  <c r="FW11" i="1"/>
  <c r="GD11" i="1" s="1"/>
  <c r="GN11" i="1" s="1"/>
  <c r="AI231" i="5"/>
  <c r="AH231" i="5"/>
  <c r="AG231" i="5"/>
  <c r="H245" i="5" s="1"/>
  <c r="AF231" i="5"/>
  <c r="H246" i="5" s="1"/>
  <c r="AE231" i="5"/>
  <c r="AD231" i="5"/>
  <c r="AC231" i="5"/>
  <c r="AB231" i="5"/>
  <c r="AA231" i="5"/>
  <c r="Z231" i="5"/>
  <c r="Y231" i="5"/>
  <c r="X231" i="5"/>
  <c r="W231" i="5"/>
  <c r="V231" i="5"/>
  <c r="U231" i="5"/>
  <c r="T231" i="5"/>
  <c r="S231" i="5"/>
  <c r="R231" i="5"/>
  <c r="Q231" i="5"/>
  <c r="P231" i="5"/>
  <c r="O231" i="5"/>
  <c r="N231" i="5"/>
  <c r="M231" i="5"/>
  <c r="L231" i="5"/>
  <c r="K231" i="5"/>
  <c r="J231" i="5"/>
  <c r="I231" i="5"/>
  <c r="H231" i="5"/>
  <c r="G231" i="5"/>
  <c r="F231" i="5"/>
  <c r="D231" i="5"/>
  <c r="AI230" i="5"/>
  <c r="AH230" i="5"/>
  <c r="AG230" i="5"/>
  <c r="H238" i="5" s="1"/>
  <c r="AF230" i="5"/>
  <c r="H239" i="5" s="1"/>
  <c r="AE230" i="5"/>
  <c r="AD230" i="5"/>
  <c r="AC230" i="5"/>
  <c r="AB230" i="5"/>
  <c r="AA230" i="5"/>
  <c r="Z230" i="5"/>
  <c r="Y230" i="5"/>
  <c r="X230" i="5"/>
  <c r="W230" i="5"/>
  <c r="V230" i="5"/>
  <c r="U230" i="5"/>
  <c r="T230" i="5"/>
  <c r="S230" i="5"/>
  <c r="R230" i="5"/>
  <c r="Q230" i="5"/>
  <c r="P230" i="5"/>
  <c r="O230" i="5"/>
  <c r="N230" i="5"/>
  <c r="M230" i="5"/>
  <c r="L230" i="5"/>
  <c r="K230" i="5"/>
  <c r="J230" i="5"/>
  <c r="I230" i="5"/>
  <c r="H230" i="5"/>
  <c r="G230" i="5"/>
  <c r="F230" i="5"/>
  <c r="D230" i="5"/>
  <c r="HQ32" i="1" l="1"/>
  <c r="HK32" i="1"/>
  <c r="HT32" i="1"/>
  <c r="HO51" i="1"/>
  <c r="HX51" i="1"/>
  <c r="HU51" i="1"/>
  <c r="HR51" i="1"/>
  <c r="HO49" i="1"/>
  <c r="HU49" i="1"/>
  <c r="HX49" i="1"/>
  <c r="HR49" i="1"/>
  <c r="HO50" i="1"/>
  <c r="HX50" i="1"/>
  <c r="HU50" i="1"/>
  <c r="HR50" i="1"/>
  <c r="IV59" i="1"/>
  <c r="IX59" i="1"/>
  <c r="IU59" i="1"/>
  <c r="IW59" i="1"/>
  <c r="IV60" i="1"/>
  <c r="IU60" i="1"/>
  <c r="IW60" i="1"/>
  <c r="IX60" i="1"/>
  <c r="IX61" i="1"/>
  <c r="IV61" i="1"/>
  <c r="IU61" i="1"/>
  <c r="IW61" i="1"/>
  <c r="HO30" i="1"/>
  <c r="HU30" i="1"/>
  <c r="HX30" i="1"/>
  <c r="HR30" i="1"/>
  <c r="HO31" i="1"/>
  <c r="HX31" i="1"/>
  <c r="HU31" i="1"/>
  <c r="HR31" i="1"/>
  <c r="HO29" i="1"/>
  <c r="HU29" i="1"/>
  <c r="HX29" i="1"/>
  <c r="HR29" i="1"/>
  <c r="HO32" i="1"/>
  <c r="HU32" i="1"/>
  <c r="HX32" i="1"/>
  <c r="HR32" i="1"/>
  <c r="GT11" i="1"/>
  <c r="GX11" i="1" s="1"/>
  <c r="FH56" i="1"/>
  <c r="FH64" i="1" s="1"/>
  <c r="FX19" i="1"/>
  <c r="FU8" i="1" s="1"/>
  <c r="GI8" i="1" s="1"/>
  <c r="GE11" i="1"/>
  <c r="GO11" i="1" s="1"/>
  <c r="GU11" i="1" s="1"/>
  <c r="GY11" i="1" s="1"/>
  <c r="HH11" i="1" s="1"/>
  <c r="IR58" i="1" s="1"/>
  <c r="IS58" i="1" s="1"/>
  <c r="FW19" i="1"/>
  <c r="FM51" i="1"/>
  <c r="FM54" i="1"/>
  <c r="FM53" i="1"/>
  <c r="FM59" i="1"/>
  <c r="FO59" i="1" s="1"/>
  <c r="H236" i="5"/>
  <c r="H235" i="5"/>
  <c r="H244" i="5"/>
  <c r="H237" i="5"/>
  <c r="H243" i="5"/>
  <c r="H242" i="5"/>
  <c r="FN56" i="1"/>
  <c r="FM56" i="1"/>
  <c r="FO56" i="1" s="1"/>
  <c r="EY65" i="5"/>
  <c r="EY64" i="5"/>
  <c r="EY63" i="5"/>
  <c r="EY62" i="5"/>
  <c r="EY61" i="5"/>
  <c r="EY60" i="5"/>
  <c r="EY59" i="5"/>
  <c r="EY58" i="5"/>
  <c r="EY57" i="5"/>
  <c r="EY56" i="5"/>
  <c r="BP43" i="5"/>
  <c r="BF45" i="5"/>
  <c r="BG45" i="5"/>
  <c r="BH45" i="5"/>
  <c r="BI45" i="5"/>
  <c r="BJ45" i="5"/>
  <c r="BK45" i="5"/>
  <c r="BL45" i="5"/>
  <c r="BM45" i="5"/>
  <c r="BN45" i="5"/>
  <c r="BO45" i="5"/>
  <c r="FC106" i="5"/>
  <c r="EO15" i="1" s="1"/>
  <c r="FC105" i="5"/>
  <c r="EO14" i="1" s="1"/>
  <c r="FC104" i="5"/>
  <c r="EO13" i="1" s="1"/>
  <c r="FC103" i="5"/>
  <c r="EO12" i="1" s="1"/>
  <c r="FC102" i="5"/>
  <c r="EO11" i="1" s="1"/>
  <c r="FC101" i="5"/>
  <c r="EO10" i="1" s="1"/>
  <c r="FC100" i="5"/>
  <c r="EO9" i="1" s="1"/>
  <c r="FC99" i="5"/>
  <c r="EO8" i="1" s="1"/>
  <c r="FC98" i="5"/>
  <c r="EO7" i="1" s="1"/>
  <c r="FC97" i="5"/>
  <c r="EO6" i="1" s="1"/>
  <c r="FC22" i="5"/>
  <c r="FC21" i="5"/>
  <c r="FC20" i="5"/>
  <c r="FC19" i="5"/>
  <c r="FC17" i="5"/>
  <c r="FC16" i="5"/>
  <c r="FC15" i="5"/>
  <c r="FC14" i="5"/>
  <c r="FC13" i="5"/>
  <c r="FE24" i="5"/>
  <c r="FD24" i="5"/>
  <c r="F66" i="7" s="1"/>
  <c r="FC45" i="5"/>
  <c r="FG43" i="5"/>
  <c r="FF43" i="5"/>
  <c r="HA6" i="1" s="1"/>
  <c r="HW6" i="1" s="1"/>
  <c r="FG42" i="5"/>
  <c r="FF42" i="5"/>
  <c r="HA7" i="1" s="1"/>
  <c r="HW7" i="1" s="1"/>
  <c r="HZ7" i="1" s="1"/>
  <c r="FG41" i="5"/>
  <c r="FF41" i="5"/>
  <c r="HA8" i="1" s="1"/>
  <c r="HW8" i="1" s="1"/>
  <c r="HZ8" i="1" s="1"/>
  <c r="FG40" i="5"/>
  <c r="FF40" i="5"/>
  <c r="HA9" i="1" s="1"/>
  <c r="HW9" i="1" s="1"/>
  <c r="HZ9" i="1" s="1"/>
  <c r="FG39" i="5"/>
  <c r="FF39" i="5"/>
  <c r="HA10" i="1" s="1"/>
  <c r="HW10" i="1" s="1"/>
  <c r="HZ10" i="1" s="1"/>
  <c r="FG38" i="5"/>
  <c r="FF38" i="5"/>
  <c r="HA11" i="1" s="1"/>
  <c r="HW11" i="1" s="1"/>
  <c r="HZ11" i="1" s="1"/>
  <c r="FG37" i="5"/>
  <c r="FF37" i="5"/>
  <c r="HA12" i="1" s="1"/>
  <c r="HW12" i="1" s="1"/>
  <c r="HZ12" i="1" s="1"/>
  <c r="FG36" i="5"/>
  <c r="FF36" i="5"/>
  <c r="HA13" i="1" s="1"/>
  <c r="HW13" i="1" s="1"/>
  <c r="HZ13" i="1" s="1"/>
  <c r="FG35" i="5"/>
  <c r="FF35" i="5"/>
  <c r="HA14" i="1" s="1"/>
  <c r="HW14" i="1" s="1"/>
  <c r="HZ14" i="1" s="1"/>
  <c r="FG34" i="5"/>
  <c r="HL6" i="1" l="1"/>
  <c r="EP6" i="1"/>
  <c r="HL10" i="1"/>
  <c r="IA10" i="1" s="1"/>
  <c r="EP10" i="1"/>
  <c r="HL14" i="1"/>
  <c r="EP14" i="1"/>
  <c r="HL7" i="1"/>
  <c r="IA7" i="1" s="1"/>
  <c r="EP7" i="1"/>
  <c r="HL11" i="1"/>
  <c r="IA11" i="1" s="1"/>
  <c r="EP11" i="1"/>
  <c r="HL15" i="1"/>
  <c r="EP15" i="1"/>
  <c r="HG12" i="1"/>
  <c r="HZ6" i="1"/>
  <c r="HZ17" i="1" s="1"/>
  <c r="HW17" i="1"/>
  <c r="Y38" i="2" s="1"/>
  <c r="HL8" i="1"/>
  <c r="IA8" i="1" s="1"/>
  <c r="EP8" i="1"/>
  <c r="HL12" i="1"/>
  <c r="EP12" i="1"/>
  <c r="HG14" i="1"/>
  <c r="EP9" i="1"/>
  <c r="HL9" i="1"/>
  <c r="IA9" i="1" s="1"/>
  <c r="HL13" i="1"/>
  <c r="EP13" i="1"/>
  <c r="HG11" i="1"/>
  <c r="IJ58" i="1" s="1"/>
  <c r="IK58" i="1" s="1"/>
  <c r="HQ48" i="1" s="1"/>
  <c r="HG13" i="1"/>
  <c r="HO48" i="1"/>
  <c r="HX48" i="1"/>
  <c r="HU48" i="1"/>
  <c r="HR48" i="1"/>
  <c r="HL48" i="1"/>
  <c r="HN48" i="1"/>
  <c r="HW48" i="1"/>
  <c r="HK48" i="1"/>
  <c r="IW58" i="1"/>
  <c r="IU58" i="1"/>
  <c r="IX58" i="1"/>
  <c r="IV58" i="1"/>
  <c r="IN58" i="1"/>
  <c r="IM58" i="1"/>
  <c r="HT28" i="1"/>
  <c r="HQ28" i="1"/>
  <c r="HO28" i="1"/>
  <c r="HX28" i="1"/>
  <c r="HU28" i="1"/>
  <c r="HR28" i="1"/>
  <c r="HL28" i="1"/>
  <c r="FG53" i="1"/>
  <c r="FG51" i="1"/>
  <c r="FG54" i="1"/>
  <c r="FF53" i="1"/>
  <c r="FO53" i="1" s="1"/>
  <c r="FF51" i="1"/>
  <c r="FF54" i="1"/>
  <c r="FO54" i="1" s="1"/>
  <c r="FF52" i="1"/>
  <c r="FG52" i="1"/>
  <c r="FG55" i="1"/>
  <c r="FF55" i="1"/>
  <c r="FU10" i="1"/>
  <c r="GI10" i="1" s="1"/>
  <c r="FU9" i="1"/>
  <c r="GI9" i="1" s="1"/>
  <c r="FU6" i="1"/>
  <c r="GI6" i="1" s="1"/>
  <c r="FU7" i="1"/>
  <c r="GI7" i="1" s="1"/>
  <c r="GD6" i="1"/>
  <c r="GN6" i="1" s="1"/>
  <c r="GD8" i="1"/>
  <c r="GN8" i="1" s="1"/>
  <c r="GD10" i="1"/>
  <c r="GN10" i="1" s="1"/>
  <c r="GD7" i="1"/>
  <c r="GN7" i="1" s="1"/>
  <c r="GD9" i="1"/>
  <c r="GN9" i="1" s="1"/>
  <c r="GE6" i="1"/>
  <c r="GO6" i="1" s="1"/>
  <c r="GE9" i="1"/>
  <c r="GO9" i="1" s="1"/>
  <c r="GE8" i="1"/>
  <c r="GO8" i="1" s="1"/>
  <c r="GU8" i="1" s="1"/>
  <c r="GY8" i="1" s="1"/>
  <c r="HH8" i="1" s="1"/>
  <c r="IR55" i="1" s="1"/>
  <c r="IS55" i="1" s="1"/>
  <c r="GE10" i="1"/>
  <c r="GO10" i="1" s="1"/>
  <c r="GE7" i="1"/>
  <c r="GO7" i="1" s="1"/>
  <c r="FN55" i="1"/>
  <c r="FM52" i="1"/>
  <c r="FT9" i="1"/>
  <c r="GH9" i="1" s="1"/>
  <c r="FT7" i="1"/>
  <c r="GH7" i="1" s="1"/>
  <c r="FT8" i="1"/>
  <c r="GH8" i="1" s="1"/>
  <c r="FT10" i="1"/>
  <c r="GH10" i="1" s="1"/>
  <c r="FT6" i="1"/>
  <c r="GH6" i="1" s="1"/>
  <c r="GT6" i="1" s="1"/>
  <c r="GX6" i="1" s="1"/>
  <c r="HG6" i="1" s="1"/>
  <c r="FM55" i="1"/>
  <c r="FN54" i="1"/>
  <c r="FN52" i="1"/>
  <c r="FN53" i="1"/>
  <c r="F87" i="7"/>
  <c r="FN51" i="1"/>
  <c r="S235" i="5"/>
  <c r="S236" i="5"/>
  <c r="S237" i="5"/>
  <c r="F65" i="7"/>
  <c r="FL57" i="1"/>
  <c r="FQ57" i="1" s="1"/>
  <c r="FA81" i="5"/>
  <c r="FL53" i="1"/>
  <c r="FA85" i="5"/>
  <c r="FL60" i="1"/>
  <c r="FQ60" i="1" s="1"/>
  <c r="FA78" i="5"/>
  <c r="FL56" i="1"/>
  <c r="FP56" i="1" s="1"/>
  <c r="FA82" i="5"/>
  <c r="FL52" i="1"/>
  <c r="FA86" i="5"/>
  <c r="FL59" i="1"/>
  <c r="FP59" i="1" s="1"/>
  <c r="FW59" i="1" s="1"/>
  <c r="FA79" i="5"/>
  <c r="FL55" i="1"/>
  <c r="FA83" i="5"/>
  <c r="FL51" i="1"/>
  <c r="FA87" i="5"/>
  <c r="FL58" i="1"/>
  <c r="FQ58" i="1" s="1"/>
  <c r="FA80" i="5"/>
  <c r="FL54" i="1"/>
  <c r="FA84" i="5"/>
  <c r="FE98" i="5"/>
  <c r="FF79" i="5"/>
  <c r="FE102" i="5"/>
  <c r="FF83" i="5"/>
  <c r="FE106" i="5"/>
  <c r="FF87" i="5"/>
  <c r="FE99" i="5"/>
  <c r="FF80" i="5"/>
  <c r="FE103" i="5"/>
  <c r="FF84" i="5"/>
  <c r="FE100" i="5"/>
  <c r="FF81" i="5"/>
  <c r="FE104" i="5"/>
  <c r="FF85" i="5"/>
  <c r="FE97" i="5"/>
  <c r="FF78" i="5"/>
  <c r="FE101" i="5"/>
  <c r="FF82" i="5"/>
  <c r="FE105" i="5"/>
  <c r="FF86" i="5"/>
  <c r="H247" i="5"/>
  <c r="H240" i="5"/>
  <c r="EZ57" i="5"/>
  <c r="FT59" i="1"/>
  <c r="FV59" i="1" s="1"/>
  <c r="EZ59" i="5"/>
  <c r="FT57" i="1"/>
  <c r="FV57" i="1" s="1"/>
  <c r="EZ61" i="5"/>
  <c r="FT55" i="1"/>
  <c r="EZ63" i="5"/>
  <c r="FT53" i="1"/>
  <c r="EZ65" i="5"/>
  <c r="FT51" i="1"/>
  <c r="EZ56" i="5"/>
  <c r="FT60" i="1"/>
  <c r="EZ58" i="5"/>
  <c r="FT58" i="1"/>
  <c r="FV58" i="1" s="1"/>
  <c r="EZ60" i="5"/>
  <c r="FT56" i="1"/>
  <c r="FV56" i="1" s="1"/>
  <c r="EZ62" i="5"/>
  <c r="FT54" i="1"/>
  <c r="EZ64" i="5"/>
  <c r="FT52" i="1"/>
  <c r="FC108" i="5"/>
  <c r="FC24" i="5"/>
  <c r="F67" i="7" s="1"/>
  <c r="FG45" i="5"/>
  <c r="FF45" i="5"/>
  <c r="F79" i="7"/>
  <c r="F61" i="7"/>
  <c r="F60" i="7"/>
  <c r="F59" i="7"/>
  <c r="IJ60" i="1" l="1"/>
  <c r="IK60" i="1" s="1"/>
  <c r="HQ30" i="1"/>
  <c r="HN30" i="1"/>
  <c r="HK30" i="1"/>
  <c r="HT30" i="1"/>
  <c r="IA13" i="1"/>
  <c r="HL30" i="1"/>
  <c r="HL50" i="1"/>
  <c r="HK28" i="1"/>
  <c r="HN28" i="1"/>
  <c r="IO58" i="1"/>
  <c r="HT48" i="1"/>
  <c r="HW30" i="1"/>
  <c r="IA12" i="1"/>
  <c r="HL49" i="1"/>
  <c r="HL29" i="1"/>
  <c r="IP65" i="1"/>
  <c r="U59" i="2"/>
  <c r="IA15" i="1"/>
  <c r="HL32" i="1"/>
  <c r="IJ59" i="1"/>
  <c r="IK59" i="1" s="1"/>
  <c r="HQ29" i="1"/>
  <c r="HN29" i="1"/>
  <c r="HK29" i="1"/>
  <c r="HT29" i="1"/>
  <c r="EP17" i="1"/>
  <c r="HW28" i="1"/>
  <c r="IP58" i="1"/>
  <c r="IJ61" i="1"/>
  <c r="IK61" i="1" s="1"/>
  <c r="HT31" i="1"/>
  <c r="HQ31" i="1"/>
  <c r="HN31" i="1"/>
  <c r="HK31" i="1"/>
  <c r="HW31" i="1"/>
  <c r="HW29" i="1"/>
  <c r="IA14" i="1"/>
  <c r="HL51" i="1"/>
  <c r="HL31" i="1"/>
  <c r="IA6" i="1"/>
  <c r="HL17" i="1"/>
  <c r="Y32" i="2" s="1"/>
  <c r="F68" i="7" s="1"/>
  <c r="IJ53" i="1"/>
  <c r="IK53" i="1" s="1"/>
  <c r="HO45" i="1"/>
  <c r="HX45" i="1"/>
  <c r="HU45" i="1"/>
  <c r="HR45" i="1"/>
  <c r="HL45" i="1"/>
  <c r="IU55" i="1"/>
  <c r="IX55" i="1"/>
  <c r="IW55" i="1"/>
  <c r="IV55" i="1"/>
  <c r="IO53" i="1"/>
  <c r="IN53" i="1"/>
  <c r="IP53" i="1"/>
  <c r="IM53" i="1"/>
  <c r="GT7" i="1"/>
  <c r="GX7" i="1" s="1"/>
  <c r="HG7" i="1" s="1"/>
  <c r="IJ54" i="1" s="1"/>
  <c r="HT23" i="1"/>
  <c r="HW23" i="1"/>
  <c r="HQ23" i="1"/>
  <c r="HO25" i="1"/>
  <c r="HU25" i="1"/>
  <c r="HX25" i="1"/>
  <c r="HR25" i="1"/>
  <c r="HL25" i="1"/>
  <c r="GT9" i="1"/>
  <c r="GX9" i="1" s="1"/>
  <c r="HG9" i="1" s="1"/>
  <c r="IJ56" i="1" s="1"/>
  <c r="IK56" i="1" s="1"/>
  <c r="GT10" i="1"/>
  <c r="GX10" i="1" s="1"/>
  <c r="HG10" i="1" s="1"/>
  <c r="IJ57" i="1" s="1"/>
  <c r="IK57" i="1" s="1"/>
  <c r="GU7" i="1"/>
  <c r="GY7" i="1" s="1"/>
  <c r="HH7" i="1" s="1"/>
  <c r="IR54" i="1" s="1"/>
  <c r="HN23" i="1"/>
  <c r="HK23" i="1"/>
  <c r="GT8" i="1"/>
  <c r="GX8" i="1" s="1"/>
  <c r="HG8" i="1" s="1"/>
  <c r="IJ55" i="1" s="1"/>
  <c r="IK55" i="1" s="1"/>
  <c r="GU6" i="1"/>
  <c r="GY6" i="1" s="1"/>
  <c r="HH6" i="1" s="1"/>
  <c r="GU10" i="1"/>
  <c r="GY10" i="1" s="1"/>
  <c r="HH10" i="1" s="1"/>
  <c r="IR57" i="1" s="1"/>
  <c r="IS57" i="1" s="1"/>
  <c r="GU9" i="1"/>
  <c r="GY9" i="1" s="1"/>
  <c r="HH9" i="1" s="1"/>
  <c r="IR56" i="1" s="1"/>
  <c r="IS56" i="1" s="1"/>
  <c r="FU20" i="1"/>
  <c r="U54" i="2" s="1"/>
  <c r="FP55" i="1"/>
  <c r="FW55" i="1" s="1"/>
  <c r="FB83" i="5" s="1"/>
  <c r="FG83" i="5" s="1"/>
  <c r="FO52" i="1"/>
  <c r="FV52" i="1" s="1"/>
  <c r="FT20" i="1"/>
  <c r="U55" i="2" s="1"/>
  <c r="FF64" i="1"/>
  <c r="FO51" i="1"/>
  <c r="FV51" i="1" s="1"/>
  <c r="FC65" i="5" s="1"/>
  <c r="FV53" i="1"/>
  <c r="FC63" i="5" s="1"/>
  <c r="FF63" i="5" s="1"/>
  <c r="FG64" i="1"/>
  <c r="FO55" i="1"/>
  <c r="FV55" i="1" s="1"/>
  <c r="FC61" i="5" s="1"/>
  <c r="FF61" i="5" s="1"/>
  <c r="FP53" i="1"/>
  <c r="FW53" i="1" s="1"/>
  <c r="FB85" i="5" s="1"/>
  <c r="FG85" i="5" s="1"/>
  <c r="FP57" i="1"/>
  <c r="FW57" i="1" s="1"/>
  <c r="FB81" i="5" s="1"/>
  <c r="FG81" i="5" s="1"/>
  <c r="FV54" i="1"/>
  <c r="FC62" i="5" s="1"/>
  <c r="FE62" i="5" s="1"/>
  <c r="FP54" i="1"/>
  <c r="FW54" i="1" s="1"/>
  <c r="FB84" i="5" s="1"/>
  <c r="FG84" i="5" s="1"/>
  <c r="F86" i="7"/>
  <c r="FQ54" i="1"/>
  <c r="FX59" i="1" s="1"/>
  <c r="FQ52" i="1"/>
  <c r="FX57" i="1" s="1"/>
  <c r="FQ55" i="1"/>
  <c r="FX60" i="1" s="1"/>
  <c r="FX62" i="1"/>
  <c r="FQ56" i="1"/>
  <c r="FX61" i="1" s="1"/>
  <c r="FQ51" i="1"/>
  <c r="FX56" i="1" s="1"/>
  <c r="F88" i="7"/>
  <c r="FB79" i="5"/>
  <c r="FG79" i="5" s="1"/>
  <c r="S238" i="5"/>
  <c r="FP58" i="1"/>
  <c r="FW58" i="1" s="1"/>
  <c r="FQ59" i="1"/>
  <c r="FX64" i="1" s="1"/>
  <c r="FP51" i="1"/>
  <c r="FW51" i="1" s="1"/>
  <c r="FP52" i="1"/>
  <c r="FW52" i="1" s="1"/>
  <c r="FQ53" i="1"/>
  <c r="FX58" i="1" s="1"/>
  <c r="FP60" i="1"/>
  <c r="FW60" i="1" s="1"/>
  <c r="FC58" i="5"/>
  <c r="FD58" i="5" s="1"/>
  <c r="FC57" i="5"/>
  <c r="FF57" i="5" s="1"/>
  <c r="FF89" i="5"/>
  <c r="FC60" i="5"/>
  <c r="FD60" i="5" s="1"/>
  <c r="FC59" i="5"/>
  <c r="FD59" i="5" s="1"/>
  <c r="FX63" i="1"/>
  <c r="FV60" i="1"/>
  <c r="FC56" i="5" s="1"/>
  <c r="FF56" i="5" s="1"/>
  <c r="FX65" i="1"/>
  <c r="FW56" i="1"/>
  <c r="F80" i="7"/>
  <c r="F81" i="7"/>
  <c r="EF63" i="5"/>
  <c r="EF62" i="5"/>
  <c r="EF61" i="5"/>
  <c r="EF60" i="5"/>
  <c r="EF59" i="5"/>
  <c r="EF58" i="5"/>
  <c r="EF57" i="5"/>
  <c r="EF56" i="5"/>
  <c r="EF55" i="5"/>
  <c r="EF54" i="5"/>
  <c r="EF49" i="5"/>
  <c r="EF48" i="5"/>
  <c r="EF47" i="5"/>
  <c r="EF46" i="5"/>
  <c r="EF45" i="5"/>
  <c r="EF44" i="5"/>
  <c r="EF43" i="5"/>
  <c r="EF42" i="5"/>
  <c r="EF41" i="5"/>
  <c r="EF40" i="5"/>
  <c r="EF35" i="5"/>
  <c r="EF34" i="5"/>
  <c r="EF33" i="5"/>
  <c r="EF32" i="5"/>
  <c r="EF31" i="5"/>
  <c r="EF30" i="5"/>
  <c r="EF29" i="5"/>
  <c r="EF28" i="5"/>
  <c r="EF27" i="5"/>
  <c r="EF26" i="5"/>
  <c r="EF21" i="5"/>
  <c r="EF20" i="5"/>
  <c r="EF19" i="5"/>
  <c r="EF18" i="5"/>
  <c r="EF17" i="5"/>
  <c r="EF16" i="5"/>
  <c r="EF15" i="5"/>
  <c r="EF14" i="5"/>
  <c r="EF13" i="5"/>
  <c r="EF12" i="5"/>
  <c r="IA17" i="1" l="1"/>
  <c r="IX65" i="1" s="1"/>
  <c r="F4" i="8"/>
  <c r="U53" i="2"/>
  <c r="U56" i="2" s="1"/>
  <c r="HN51" i="1"/>
  <c r="HK51" i="1"/>
  <c r="IN61" i="1"/>
  <c r="IP61" i="1"/>
  <c r="HT51" i="1"/>
  <c r="IM61" i="1"/>
  <c r="HQ51" i="1"/>
  <c r="IO61" i="1"/>
  <c r="HW51" i="1"/>
  <c r="HT49" i="1"/>
  <c r="IP59" i="1"/>
  <c r="IO59" i="1"/>
  <c r="HQ49" i="1"/>
  <c r="IN59" i="1"/>
  <c r="HN49" i="1"/>
  <c r="HK49" i="1"/>
  <c r="IM59" i="1"/>
  <c r="HW49" i="1"/>
  <c r="HT50" i="1"/>
  <c r="IP60" i="1"/>
  <c r="IO60" i="1"/>
  <c r="HQ50" i="1"/>
  <c r="IM60" i="1"/>
  <c r="HN50" i="1"/>
  <c r="HK50" i="1"/>
  <c r="IN60" i="1"/>
  <c r="HW50" i="1"/>
  <c r="HN47" i="1"/>
  <c r="HW47" i="1"/>
  <c r="HT47" i="1"/>
  <c r="HQ47" i="1"/>
  <c r="HK47" i="1"/>
  <c r="HO47" i="1"/>
  <c r="HX47" i="1"/>
  <c r="HU47" i="1"/>
  <c r="HR47" i="1"/>
  <c r="HL47" i="1"/>
  <c r="HK24" i="1"/>
  <c r="HN46" i="1"/>
  <c r="HK46" i="1"/>
  <c r="HW46" i="1"/>
  <c r="HT46" i="1"/>
  <c r="HQ46" i="1"/>
  <c r="IR53" i="1"/>
  <c r="IS53" i="1" s="1"/>
  <c r="IU53" i="1" s="1"/>
  <c r="HH19" i="1"/>
  <c r="HQ24" i="1"/>
  <c r="HN45" i="1"/>
  <c r="HW45" i="1"/>
  <c r="HT45" i="1"/>
  <c r="HQ45" i="1"/>
  <c r="HK45" i="1"/>
  <c r="HT24" i="1"/>
  <c r="HO46" i="1"/>
  <c r="HX46" i="1"/>
  <c r="HU46" i="1"/>
  <c r="HR46" i="1"/>
  <c r="HL46" i="1"/>
  <c r="HW24" i="1"/>
  <c r="HG19" i="1"/>
  <c r="HN24" i="1"/>
  <c r="HN40" i="1"/>
  <c r="HT40" i="1"/>
  <c r="HW40" i="1"/>
  <c r="HQ40" i="1"/>
  <c r="HK40" i="1"/>
  <c r="IU56" i="1"/>
  <c r="IV56" i="1"/>
  <c r="IW56" i="1"/>
  <c r="IX56" i="1"/>
  <c r="IN56" i="1"/>
  <c r="IM56" i="1"/>
  <c r="IP56" i="1"/>
  <c r="IO56" i="1"/>
  <c r="IU57" i="1"/>
  <c r="IV57" i="1"/>
  <c r="IX57" i="1"/>
  <c r="IW57" i="1"/>
  <c r="IP57" i="1"/>
  <c r="IN57" i="1"/>
  <c r="IO57" i="1"/>
  <c r="IM57" i="1"/>
  <c r="IN55" i="1"/>
  <c r="IO55" i="1"/>
  <c r="IP55" i="1"/>
  <c r="IM55" i="1"/>
  <c r="IS54" i="1"/>
  <c r="IR63" i="1"/>
  <c r="IJ63" i="1"/>
  <c r="IK54" i="1"/>
  <c r="HN26" i="1"/>
  <c r="HK26" i="1"/>
  <c r="HT26" i="1"/>
  <c r="HW26" i="1"/>
  <c r="HQ26" i="1"/>
  <c r="HO27" i="1"/>
  <c r="HU27" i="1"/>
  <c r="HX27" i="1"/>
  <c r="HR27" i="1"/>
  <c r="HL27" i="1"/>
  <c r="HN27" i="1"/>
  <c r="HT27" i="1"/>
  <c r="HW27" i="1"/>
  <c r="HQ27" i="1"/>
  <c r="HK27" i="1"/>
  <c r="HO26" i="1"/>
  <c r="HU26" i="1"/>
  <c r="HX26" i="1"/>
  <c r="HR26" i="1"/>
  <c r="HL26" i="1"/>
  <c r="HL23" i="1"/>
  <c r="HO23" i="1"/>
  <c r="HX23" i="1"/>
  <c r="HU23" i="1"/>
  <c r="HR23" i="1"/>
  <c r="HN25" i="1"/>
  <c r="HT25" i="1"/>
  <c r="HW25" i="1"/>
  <c r="HQ25" i="1"/>
  <c r="HK25" i="1"/>
  <c r="HO24" i="1"/>
  <c r="HX24" i="1"/>
  <c r="HU24" i="1"/>
  <c r="HR24" i="1"/>
  <c r="HL24" i="1"/>
  <c r="FV64" i="1"/>
  <c r="FC64" i="5"/>
  <c r="FF64" i="5" s="1"/>
  <c r="FD63" i="5"/>
  <c r="FE59" i="5"/>
  <c r="FF59" i="5"/>
  <c r="FW64" i="1"/>
  <c r="FB78" i="5"/>
  <c r="FG78" i="5" s="1"/>
  <c r="FB80" i="5"/>
  <c r="FG80" i="5" s="1"/>
  <c r="FB82" i="5"/>
  <c r="FG82" i="5" s="1"/>
  <c r="FE58" i="5"/>
  <c r="FE61" i="5"/>
  <c r="FE57" i="5"/>
  <c r="FD61" i="5"/>
  <c r="FF58" i="5"/>
  <c r="FB87" i="5"/>
  <c r="FG87" i="5" s="1"/>
  <c r="FB86" i="5"/>
  <c r="FG86" i="5" s="1"/>
  <c r="FF62" i="5"/>
  <c r="FE60" i="5"/>
  <c r="FD62" i="5"/>
  <c r="FE56" i="5"/>
  <c r="FF60" i="5"/>
  <c r="FD56" i="5"/>
  <c r="FD57" i="5"/>
  <c r="FE63" i="5"/>
  <c r="FE85" i="5"/>
  <c r="FC85" i="5"/>
  <c r="FD85" i="5"/>
  <c r="FE79" i="5"/>
  <c r="FD79" i="5"/>
  <c r="FC79" i="5"/>
  <c r="FE84" i="5"/>
  <c r="FC84" i="5"/>
  <c r="FD84" i="5"/>
  <c r="FE81" i="5"/>
  <c r="FD81" i="5"/>
  <c r="FC81" i="5"/>
  <c r="EF70" i="5"/>
  <c r="EF74" i="5"/>
  <c r="EF71" i="5"/>
  <c r="EF75" i="5"/>
  <c r="EF68" i="5"/>
  <c r="EF72" i="5"/>
  <c r="EF76" i="5"/>
  <c r="EF69" i="5"/>
  <c r="EF73" i="5"/>
  <c r="EF77" i="5"/>
  <c r="EF36" i="5"/>
  <c r="EF64" i="5"/>
  <c r="EF50" i="5"/>
  <c r="EF22" i="5"/>
  <c r="DE83" i="5"/>
  <c r="DE82" i="5"/>
  <c r="DC90" i="5"/>
  <c r="AM8" i="5" s="1"/>
  <c r="DE79" i="5"/>
  <c r="DE81" i="5"/>
  <c r="DE80" i="5"/>
  <c r="DE67" i="5"/>
  <c r="DG67" i="5" s="1"/>
  <c r="DE66" i="5"/>
  <c r="DG66" i="5" s="1"/>
  <c r="DE65" i="5"/>
  <c r="DG65" i="5" s="1"/>
  <c r="DE64" i="5"/>
  <c r="DG64" i="5" s="1"/>
  <c r="DE63" i="5"/>
  <c r="DG63" i="5" s="1"/>
  <c r="DE62" i="5"/>
  <c r="DG62" i="5" s="1"/>
  <c r="DE61" i="5"/>
  <c r="DG61" i="5" s="1"/>
  <c r="DE60" i="5"/>
  <c r="DG60" i="5" s="1"/>
  <c r="DE59" i="5"/>
  <c r="DG59" i="5" s="1"/>
  <c r="DE58" i="5"/>
  <c r="DG58" i="5" s="1"/>
  <c r="DE57" i="5"/>
  <c r="DG57" i="5" s="1"/>
  <c r="DE56" i="5"/>
  <c r="DG56" i="5" s="1"/>
  <c r="DE55" i="5"/>
  <c r="DG55" i="5" s="1"/>
  <c r="DE54" i="5"/>
  <c r="DG54" i="5" s="1"/>
  <c r="DE53" i="5"/>
  <c r="DG53" i="5" s="1"/>
  <c r="DE42" i="5"/>
  <c r="DG42" i="5" s="1"/>
  <c r="DE41" i="5"/>
  <c r="DG41" i="5" s="1"/>
  <c r="DE40" i="5"/>
  <c r="DG40" i="5" s="1"/>
  <c r="DE39" i="5"/>
  <c r="DG39" i="5" s="1"/>
  <c r="DE38" i="5"/>
  <c r="DG38" i="5" s="1"/>
  <c r="DE37" i="5"/>
  <c r="DG37" i="5" s="1"/>
  <c r="DE36" i="5"/>
  <c r="DG36" i="5" s="1"/>
  <c r="DE35" i="5"/>
  <c r="DG35" i="5" s="1"/>
  <c r="DE34" i="5"/>
  <c r="DG34" i="5" s="1"/>
  <c r="DE33" i="5"/>
  <c r="DG33" i="5" s="1"/>
  <c r="DE32" i="5"/>
  <c r="DG32" i="5" s="1"/>
  <c r="DE31" i="5"/>
  <c r="DG31" i="5" s="1"/>
  <c r="DE30" i="5"/>
  <c r="DG30" i="5" s="1"/>
  <c r="DE29" i="5"/>
  <c r="DG29" i="5" s="1"/>
  <c r="DE28" i="5"/>
  <c r="DG28" i="5" s="1"/>
  <c r="DF67" i="5"/>
  <c r="DF66" i="5"/>
  <c r="DF65" i="5"/>
  <c r="DF64" i="5"/>
  <c r="DF63" i="5"/>
  <c r="DF62" i="5"/>
  <c r="DF61" i="5"/>
  <c r="DF60" i="5"/>
  <c r="DF59" i="5"/>
  <c r="DF58" i="5"/>
  <c r="DF57" i="5"/>
  <c r="DF56" i="5"/>
  <c r="DF55" i="5"/>
  <c r="DF54" i="5"/>
  <c r="DF53" i="5"/>
  <c r="DF42" i="5"/>
  <c r="DF41" i="5"/>
  <c r="DF40" i="5"/>
  <c r="DF39" i="5"/>
  <c r="DF38" i="5"/>
  <c r="DF37" i="5"/>
  <c r="DF36" i="5"/>
  <c r="DF35" i="5"/>
  <c r="DF34" i="5"/>
  <c r="DF33" i="5"/>
  <c r="DF32" i="5"/>
  <c r="DF31" i="5"/>
  <c r="DF30" i="5"/>
  <c r="DF29" i="5"/>
  <c r="DF28" i="5"/>
  <c r="BP17" i="5"/>
  <c r="BQ17" i="5" s="1"/>
  <c r="BO39" i="5"/>
  <c r="BN39" i="5"/>
  <c r="BM39" i="5"/>
  <c r="BL39" i="5"/>
  <c r="BK39" i="5"/>
  <c r="BJ39" i="5"/>
  <c r="BI39" i="5"/>
  <c r="BO31" i="5"/>
  <c r="BN31" i="5"/>
  <c r="BM31" i="5"/>
  <c r="BL31" i="5"/>
  <c r="BK31" i="5"/>
  <c r="BJ31" i="5"/>
  <c r="BI31" i="5"/>
  <c r="BO26" i="5"/>
  <c r="BN26" i="5"/>
  <c r="BM26" i="5"/>
  <c r="BL26" i="5"/>
  <c r="BK26" i="5"/>
  <c r="BJ26" i="5"/>
  <c r="BI26" i="5"/>
  <c r="BO21" i="5"/>
  <c r="BN21" i="5"/>
  <c r="BM21" i="5"/>
  <c r="BL21" i="5"/>
  <c r="BK21" i="5"/>
  <c r="BJ21" i="5"/>
  <c r="BI21" i="5"/>
  <c r="BO13" i="5"/>
  <c r="BN13" i="5"/>
  <c r="BM13" i="5"/>
  <c r="BL13" i="5"/>
  <c r="BK13" i="5"/>
  <c r="BJ13" i="5"/>
  <c r="BI13" i="5"/>
  <c r="BH39" i="5"/>
  <c r="BG39" i="5"/>
  <c r="BF39" i="5"/>
  <c r="BH31" i="5"/>
  <c r="BG31" i="5"/>
  <c r="BF31" i="5"/>
  <c r="BH26" i="5"/>
  <c r="BG26" i="5"/>
  <c r="BF26" i="5"/>
  <c r="BH21" i="5"/>
  <c r="BG21" i="5"/>
  <c r="BF21" i="5"/>
  <c r="BH13" i="5"/>
  <c r="BG13" i="5"/>
  <c r="BF13" i="5"/>
  <c r="HT34" i="1" l="1"/>
  <c r="V37" i="2" s="1"/>
  <c r="IV53" i="1"/>
  <c r="IX53" i="1"/>
  <c r="U58" i="2"/>
  <c r="U57" i="2" s="1"/>
  <c r="U60" i="2" s="1"/>
  <c r="U47" i="2"/>
  <c r="I13" i="8"/>
  <c r="HX34" i="1"/>
  <c r="V30" i="2" s="1"/>
  <c r="U46" i="2"/>
  <c r="H4" i="8"/>
  <c r="K5" i="8" s="1"/>
  <c r="HR34" i="1"/>
  <c r="V31" i="2" s="1"/>
  <c r="HL34" i="1"/>
  <c r="V32" i="2" s="1"/>
  <c r="F84" i="7"/>
  <c r="HW34" i="1"/>
  <c r="V38" i="2" s="1"/>
  <c r="HQ34" i="1"/>
  <c r="V39" i="2" s="1"/>
  <c r="HK34" i="1"/>
  <c r="V40" i="2" s="1"/>
  <c r="V41" i="2" s="1"/>
  <c r="J13" i="8" s="1"/>
  <c r="U45" i="2"/>
  <c r="U48" i="2" s="1"/>
  <c r="HN34" i="1"/>
  <c r="HU34" i="1"/>
  <c r="V29" i="2" s="1"/>
  <c r="HN44" i="1"/>
  <c r="HN53" i="1" s="1"/>
  <c r="HW44" i="1"/>
  <c r="HW53" i="1" s="1"/>
  <c r="U38" i="2" s="1"/>
  <c r="HT44" i="1"/>
  <c r="HT53" i="1" s="1"/>
  <c r="U37" i="2" s="1"/>
  <c r="HQ44" i="1"/>
  <c r="HQ53" i="1" s="1"/>
  <c r="U39" i="2" s="1"/>
  <c r="HK44" i="1"/>
  <c r="HK53" i="1" s="1"/>
  <c r="U40" i="2" s="1"/>
  <c r="HO34" i="1"/>
  <c r="HO44" i="1"/>
  <c r="HX44" i="1"/>
  <c r="HU44" i="1"/>
  <c r="HR44" i="1"/>
  <c r="HL44" i="1"/>
  <c r="FE64" i="5"/>
  <c r="HO40" i="1"/>
  <c r="HU40" i="1"/>
  <c r="HX40" i="1"/>
  <c r="HR40" i="1"/>
  <c r="HL40" i="1"/>
  <c r="IW53" i="1"/>
  <c r="IN54" i="1"/>
  <c r="IN63" i="1" s="1"/>
  <c r="Y35" i="2" s="1"/>
  <c r="IP54" i="1"/>
  <c r="IP63" i="1" s="1"/>
  <c r="IP67" i="1" s="1"/>
  <c r="U63" i="2" s="1"/>
  <c r="F90" i="7" s="1"/>
  <c r="IM54" i="1"/>
  <c r="IM63" i="1" s="1"/>
  <c r="Y34" i="2" s="1"/>
  <c r="IK63" i="1"/>
  <c r="IO54" i="1"/>
  <c r="IO63" i="1" s="1"/>
  <c r="Y36" i="2" s="1"/>
  <c r="IS63" i="1"/>
  <c r="IW54" i="1"/>
  <c r="IW63" i="1" s="1"/>
  <c r="Y28" i="2" s="1"/>
  <c r="IV54" i="1"/>
  <c r="IV63" i="1" s="1"/>
  <c r="Y27" i="2" s="1"/>
  <c r="IU54" i="1"/>
  <c r="IU63" i="1" s="1"/>
  <c r="Y26" i="2" s="1"/>
  <c r="IX54" i="1"/>
  <c r="IX63" i="1" s="1"/>
  <c r="IX67" i="1" s="1"/>
  <c r="U62" i="2" s="1"/>
  <c r="F83" i="7"/>
  <c r="FE80" i="5"/>
  <c r="FD87" i="5"/>
  <c r="FE78" i="5"/>
  <c r="FD78" i="5"/>
  <c r="FC78" i="5"/>
  <c r="FD80" i="5"/>
  <c r="FD64" i="5"/>
  <c r="F85" i="7"/>
  <c r="FC80" i="5"/>
  <c r="FE87" i="5"/>
  <c r="FC87" i="5"/>
  <c r="FG89" i="5"/>
  <c r="FC82" i="5"/>
  <c r="FE82" i="5"/>
  <c r="FD82" i="5"/>
  <c r="FE86" i="5"/>
  <c r="Q253" i="5"/>
  <c r="Q255" i="5" s="1"/>
  <c r="FD86" i="5"/>
  <c r="FC86" i="5"/>
  <c r="H250" i="5"/>
  <c r="Q242" i="5"/>
  <c r="Q244" i="5" s="1"/>
  <c r="FE83" i="5"/>
  <c r="FC83" i="5"/>
  <c r="FD83" i="5"/>
  <c r="H251" i="5"/>
  <c r="FF65" i="5"/>
  <c r="FF67" i="5" s="1"/>
  <c r="F74" i="7" s="1"/>
  <c r="FD65" i="5"/>
  <c r="FC67" i="5"/>
  <c r="FE65" i="5"/>
  <c r="DF43" i="5"/>
  <c r="DF69" i="5"/>
  <c r="DF45" i="5"/>
  <c r="DF44" i="5"/>
  <c r="BF41" i="5"/>
  <c r="FB65" i="5" s="1"/>
  <c r="FG65" i="5" s="1"/>
  <c r="DF68" i="5"/>
  <c r="DF70" i="5"/>
  <c r="DG69" i="5"/>
  <c r="DE90" i="5"/>
  <c r="AO8" i="5" s="1"/>
  <c r="DG43" i="5"/>
  <c r="DG70" i="5"/>
  <c r="DG45" i="5"/>
  <c r="DG44" i="5"/>
  <c r="DG68" i="5"/>
  <c r="BP31" i="5"/>
  <c r="BQ31" i="5" s="1"/>
  <c r="DE85" i="5"/>
  <c r="DE86" i="5"/>
  <c r="DE87" i="5"/>
  <c r="DE84" i="5"/>
  <c r="BO41" i="5"/>
  <c r="BK41" i="5"/>
  <c r="BP39" i="5"/>
  <c r="BQ39" i="5" s="1"/>
  <c r="BG41" i="5"/>
  <c r="BP21" i="5"/>
  <c r="BQ21" i="5" s="1"/>
  <c r="BI41" i="5"/>
  <c r="BM41" i="5"/>
  <c r="BJ41" i="5"/>
  <c r="BN41" i="5"/>
  <c r="BH41" i="5"/>
  <c r="BP26" i="5"/>
  <c r="BQ26" i="5" s="1"/>
  <c r="BL41" i="5"/>
  <c r="BP13" i="5"/>
  <c r="BQ13" i="5" s="1"/>
  <c r="AJ193" i="4"/>
  <c r="AJ175" i="4"/>
  <c r="AJ159" i="4"/>
  <c r="AJ140" i="4"/>
  <c r="AJ101" i="4"/>
  <c r="AJ95" i="4"/>
  <c r="AJ89" i="4"/>
  <c r="AJ75" i="4"/>
  <c r="AJ67" i="4"/>
  <c r="AJ58" i="4"/>
  <c r="AJ47" i="4"/>
  <c r="AJ13" i="4"/>
  <c r="G5" i="8" l="1"/>
  <c r="V33" i="2"/>
  <c r="G4" i="8" s="1"/>
  <c r="F5" i="8" s="1"/>
  <c r="U61" i="2"/>
  <c r="U64" i="2" s="1"/>
  <c r="F91" i="7" s="1"/>
  <c r="F89" i="7"/>
  <c r="J5" i="8"/>
  <c r="H5" i="8" s="1"/>
  <c r="E14" i="8"/>
  <c r="G14" i="8" s="1"/>
  <c r="H14" i="8"/>
  <c r="K14" i="8"/>
  <c r="E4" i="8"/>
  <c r="G7" i="8"/>
  <c r="G8" i="8" s="1"/>
  <c r="HX53" i="1"/>
  <c r="U30" i="2" s="1"/>
  <c r="HL53" i="1"/>
  <c r="U32" i="2" s="1"/>
  <c r="HU53" i="1"/>
  <c r="U29" i="2" s="1"/>
  <c r="U41" i="2"/>
  <c r="R14" i="8" s="1"/>
  <c r="HR53" i="1"/>
  <c r="U31" i="2" s="1"/>
  <c r="HO53" i="1"/>
  <c r="FE67" i="5"/>
  <c r="F73" i="7" s="1"/>
  <c r="Y41" i="2"/>
  <c r="Y33" i="2"/>
  <c r="F58" i="7"/>
  <c r="FD67" i="5"/>
  <c r="F72" i="7" s="1"/>
  <c r="FE89" i="5"/>
  <c r="FD89" i="5"/>
  <c r="R258" i="5"/>
  <c r="F63" i="7" s="1"/>
  <c r="R257" i="5"/>
  <c r="F62" i="7" s="1"/>
  <c r="R259" i="5"/>
  <c r="F64" i="7" s="1"/>
  <c r="H252" i="5"/>
  <c r="R246" i="5"/>
  <c r="R247" i="5"/>
  <c r="F77" i="7" s="1"/>
  <c r="R248" i="5"/>
  <c r="F78" i="7" s="1"/>
  <c r="FC89" i="5"/>
  <c r="F69" i="7"/>
  <c r="F70" i="7"/>
  <c r="F71" i="7"/>
  <c r="F54" i="7"/>
  <c r="F53" i="7"/>
  <c r="BN44" i="5"/>
  <c r="FB57" i="5"/>
  <c r="FG57" i="5" s="1"/>
  <c r="BO44" i="5"/>
  <c r="FB56" i="5"/>
  <c r="FG56" i="5" s="1"/>
  <c r="BG44" i="5"/>
  <c r="FB64" i="5"/>
  <c r="FG64" i="5" s="1"/>
  <c r="BL44" i="5"/>
  <c r="FB59" i="5"/>
  <c r="FG59" i="5" s="1"/>
  <c r="BM44" i="5"/>
  <c r="FB58" i="5"/>
  <c r="FG58" i="5" s="1"/>
  <c r="BJ44" i="5"/>
  <c r="FB61" i="5"/>
  <c r="FG61" i="5" s="1"/>
  <c r="BH44" i="5"/>
  <c r="FB63" i="5"/>
  <c r="FG63" i="5" s="1"/>
  <c r="BI44" i="5"/>
  <c r="FB62" i="5"/>
  <c r="FG62" i="5" s="1"/>
  <c r="BK44" i="5"/>
  <c r="FB60" i="5"/>
  <c r="FG60" i="5" s="1"/>
  <c r="BP41" i="5"/>
  <c r="F82" i="7" s="1"/>
  <c r="BF44" i="5"/>
  <c r="DE75" i="5"/>
  <c r="DE88" i="5"/>
  <c r="DE89" i="5" s="1"/>
  <c r="BQ41" i="5"/>
  <c r="CN34" i="3"/>
  <c r="O14" i="8" l="1"/>
  <c r="P14" i="8" s="1"/>
  <c r="I14" i="8"/>
  <c r="H17" i="8"/>
  <c r="I17" i="8" s="1"/>
  <c r="H18" i="8"/>
  <c r="I18" i="8" s="1"/>
  <c r="H16" i="8"/>
  <c r="I16" i="8" s="1"/>
  <c r="U33" i="2"/>
  <c r="E7" i="8"/>
  <c r="E8" i="8"/>
  <c r="L13" i="8"/>
  <c r="E9" i="8"/>
  <c r="M5" i="8"/>
  <c r="N5" i="8" s="1"/>
  <c r="D5" i="8"/>
  <c r="F57" i="7"/>
  <c r="F56" i="7"/>
  <c r="F55" i="7"/>
  <c r="R260" i="5"/>
  <c r="R249" i="5"/>
  <c r="F76" i="7"/>
  <c r="F52" i="7"/>
  <c r="FG67" i="5"/>
  <c r="F7" i="7"/>
  <c r="CP19" i="3"/>
  <c r="CP20" i="3"/>
  <c r="CN33" i="3"/>
  <c r="CN32" i="3"/>
  <c r="CN31" i="3"/>
  <c r="CN30" i="3"/>
  <c r="CN29" i="3"/>
  <c r="CN28" i="3"/>
  <c r="CN27" i="3"/>
  <c r="CN26" i="3"/>
  <c r="CN25" i="3"/>
  <c r="CN24" i="3"/>
  <c r="CN23" i="3"/>
  <c r="CN22" i="3"/>
  <c r="CN21" i="3"/>
  <c r="CZ17" i="3"/>
  <c r="U6" i="2" s="1"/>
  <c r="F5" i="7" s="1"/>
  <c r="DD17" i="3"/>
  <c r="U7" i="2" s="1"/>
  <c r="F6" i="7" s="1"/>
  <c r="DJ17" i="3"/>
  <c r="U9" i="2" s="1"/>
  <c r="F8" i="7" s="1"/>
  <c r="DN17" i="3"/>
  <c r="U10" i="2" s="1"/>
  <c r="F9" i="7" s="1"/>
  <c r="DK17" i="3"/>
  <c r="DO17" i="3"/>
  <c r="DE17" i="3"/>
  <c r="DA17" i="3"/>
  <c r="CU17" i="3"/>
  <c r="E16" i="8" l="1"/>
  <c r="G16" i="8" s="1"/>
  <c r="V47" i="2"/>
  <c r="E18" i="8"/>
  <c r="G18" i="8" s="1"/>
  <c r="X47" i="2"/>
  <c r="K18" i="8"/>
  <c r="E17" i="8"/>
  <c r="G17" i="8" s="1"/>
  <c r="W47" i="2"/>
  <c r="P7" i="8"/>
  <c r="S18" i="8" s="1"/>
  <c r="F68" i="2"/>
  <c r="L16" i="8"/>
  <c r="L17" i="8"/>
  <c r="L18" i="8"/>
  <c r="M18" i="8" s="1"/>
  <c r="X51" i="2" s="1"/>
  <c r="X55" i="2" s="1"/>
  <c r="M14" i="8"/>
  <c r="F75" i="7"/>
  <c r="CN17" i="3"/>
  <c r="U4" i="2" s="1"/>
  <c r="F3" i="7" s="1"/>
  <c r="F48" i="7"/>
  <c r="F47" i="7"/>
  <c r="F46" i="7"/>
  <c r="F45" i="7"/>
  <c r="F37" i="7"/>
  <c r="F34" i="7"/>
  <c r="F33" i="7"/>
  <c r="Q7" i="8" l="1"/>
  <c r="S16" i="8"/>
  <c r="P8" i="8"/>
  <c r="R16" i="8"/>
  <c r="J16" i="8" s="1"/>
  <c r="K16" i="8" s="1"/>
  <c r="X59" i="2"/>
  <c r="O18" i="8"/>
  <c r="S17" i="8"/>
  <c r="Q8" i="8"/>
  <c r="AR25" i="4"/>
  <c r="AR20" i="4"/>
  <c r="AR105" i="4"/>
  <c r="AR98" i="4"/>
  <c r="AR92" i="4"/>
  <c r="AR84" i="4"/>
  <c r="AR77" i="4"/>
  <c r="AR74" i="4" s="1"/>
  <c r="AR73" i="4"/>
  <c r="AR69" i="4"/>
  <c r="AR66" i="4"/>
  <c r="AR60" i="4"/>
  <c r="AR54" i="4"/>
  <c r="AR50" i="4"/>
  <c r="AR46" i="4"/>
  <c r="AR41" i="4"/>
  <c r="AR37" i="4"/>
  <c r="AR33" i="4"/>
  <c r="AR16" i="4"/>
  <c r="AR12" i="4"/>
  <c r="AR9" i="4"/>
  <c r="AJ186" i="4"/>
  <c r="AJ182" i="4"/>
  <c r="AJ167" i="4"/>
  <c r="AJ150" i="4"/>
  <c r="AJ107" i="4"/>
  <c r="AJ34" i="4"/>
  <c r="AJ27" i="4"/>
  <c r="AJ19" i="4"/>
  <c r="AB64" i="4"/>
  <c r="AB62" i="4"/>
  <c r="AB59" i="4"/>
  <c r="AB56" i="4"/>
  <c r="AB53" i="4"/>
  <c r="AB51" i="4"/>
  <c r="AB48" i="4"/>
  <c r="AB45" i="4"/>
  <c r="AB42" i="4"/>
  <c r="AB39" i="4"/>
  <c r="AB35" i="4"/>
  <c r="AB32" i="4"/>
  <c r="AB29" i="4"/>
  <c r="AB26" i="4"/>
  <c r="AB23" i="4"/>
  <c r="AB20" i="4"/>
  <c r="AB17" i="4"/>
  <c r="AB14" i="4"/>
  <c r="AB10" i="4"/>
  <c r="T89" i="4"/>
  <c r="T83" i="4"/>
  <c r="T81" i="4"/>
  <c r="T79" i="4"/>
  <c r="T77" i="4"/>
  <c r="T76" i="4"/>
  <c r="T74" i="4"/>
  <c r="T62" i="4"/>
  <c r="T60" i="4"/>
  <c r="T56" i="4"/>
  <c r="T54" i="4"/>
  <c r="T52" i="4"/>
  <c r="T48" i="4"/>
  <c r="T42" i="4"/>
  <c r="T34" i="4"/>
  <c r="T28" i="4"/>
  <c r="T21" i="4"/>
  <c r="T15" i="4"/>
  <c r="T9" i="4"/>
  <c r="L65" i="4"/>
  <c r="L62" i="4"/>
  <c r="L60" i="4"/>
  <c r="L57" i="4"/>
  <c r="L55" i="4"/>
  <c r="L53" i="4"/>
  <c r="L49" i="4"/>
  <c r="L42" i="4"/>
  <c r="L37" i="4"/>
  <c r="L32" i="4"/>
  <c r="L29" i="4"/>
  <c r="L26" i="4"/>
  <c r="L23" i="4"/>
  <c r="L21" i="4"/>
  <c r="L18" i="4"/>
  <c r="L14" i="4"/>
  <c r="L12" i="4"/>
  <c r="L10" i="4"/>
  <c r="L8" i="4"/>
  <c r="R17" i="8" l="1"/>
  <c r="J17" i="8" s="1"/>
  <c r="K17" i="8" s="1"/>
  <c r="O17" i="8" s="1"/>
  <c r="P18" i="8"/>
  <c r="X63" i="2"/>
  <c r="Z34" i="2" s="1"/>
  <c r="M16" i="8"/>
  <c r="V51" i="2" s="1"/>
  <c r="V55" i="2" s="1"/>
  <c r="V59" i="2"/>
  <c r="O16" i="8"/>
  <c r="P4" i="4"/>
  <c r="F39" i="7" s="1"/>
  <c r="T4" i="4"/>
  <c r="H4" i="4"/>
  <c r="F38" i="7" s="1"/>
  <c r="X4" i="4"/>
  <c r="F40" i="7" s="1"/>
  <c r="AB4" i="4"/>
  <c r="AR4" i="4"/>
  <c r="L4" i="4"/>
  <c r="AF4" i="4"/>
  <c r="F41" i="7" s="1"/>
  <c r="AJ4" i="4"/>
  <c r="AN4" i="4"/>
  <c r="F42" i="7" s="1"/>
  <c r="M17" i="8" l="1"/>
  <c r="W51" i="2" s="1"/>
  <c r="W55" i="2" s="1"/>
  <c r="W59" i="2"/>
  <c r="P17" i="8"/>
  <c r="W63" i="2"/>
  <c r="P16" i="8"/>
  <c r="V63" i="2"/>
  <c r="F16" i="7"/>
  <c r="F15" i="7"/>
  <c r="F14" i="7"/>
  <c r="F13" i="7"/>
  <c r="F12" i="7"/>
  <c r="F11" i="7"/>
  <c r="F10" i="7"/>
  <c r="U39" i="1" l="1"/>
  <c r="U38" i="1"/>
  <c r="U37" i="1"/>
  <c r="U36" i="1"/>
  <c r="U35" i="1"/>
  <c r="U34" i="1"/>
  <c r="U33" i="1"/>
  <c r="U32" i="1"/>
  <c r="U31" i="1"/>
  <c r="U30" i="1"/>
  <c r="U29" i="1"/>
  <c r="U28" i="1"/>
  <c r="U27" i="1"/>
  <c r="U26" i="1"/>
  <c r="U25" i="1"/>
  <c r="U24" i="1"/>
  <c r="S45" i="1"/>
  <c r="R45" i="1"/>
  <c r="Q45" i="1"/>
  <c r="P45" i="1"/>
  <c r="O45" i="1"/>
  <c r="N45" i="1"/>
  <c r="U40" i="1" s="1"/>
  <c r="M45" i="1"/>
  <c r="J45" i="1"/>
  <c r="I45" i="1"/>
  <c r="H45" i="1"/>
  <c r="G45" i="1"/>
  <c r="F45" i="1"/>
  <c r="E45" i="1"/>
  <c r="D45" i="1"/>
  <c r="C45" i="1"/>
  <c r="AI43" i="5"/>
  <c r="AH43" i="5"/>
  <c r="AG43" i="5"/>
  <c r="F49" i="5" s="1"/>
  <c r="AF43" i="5"/>
  <c r="F50" i="5" s="1"/>
  <c r="AE43" i="5"/>
  <c r="AD43" i="5"/>
  <c r="AC43" i="5"/>
  <c r="AB43" i="5"/>
  <c r="AA43" i="5"/>
  <c r="Z43" i="5"/>
  <c r="Y43" i="5"/>
  <c r="X43" i="5"/>
  <c r="W43" i="5"/>
  <c r="V43" i="5"/>
  <c r="U43" i="5"/>
  <c r="T43" i="5"/>
  <c r="S43" i="5"/>
  <c r="R43" i="5"/>
  <c r="Q43" i="5"/>
  <c r="P43" i="5"/>
  <c r="O43" i="5"/>
  <c r="N43" i="5"/>
  <c r="M43" i="5"/>
  <c r="L43" i="5"/>
  <c r="K43" i="5"/>
  <c r="J43" i="5"/>
  <c r="I43" i="5"/>
  <c r="H43" i="5"/>
  <c r="G43" i="5"/>
  <c r="F43" i="5"/>
  <c r="F46" i="5" l="1"/>
  <c r="N47" i="1"/>
  <c r="G47" i="1"/>
  <c r="U45" i="1"/>
  <c r="F48" i="5"/>
  <c r="F47" i="5"/>
  <c r="D47" i="1"/>
  <c r="E47" i="1"/>
  <c r="F36" i="7"/>
  <c r="F35" i="7"/>
  <c r="F32" i="7"/>
  <c r="F31" i="7"/>
  <c r="F22" i="7"/>
  <c r="F18" i="7"/>
  <c r="F17" i="7"/>
  <c r="BX91" i="1"/>
  <c r="CU86" i="1"/>
  <c r="CU85" i="1"/>
  <c r="CU84" i="1"/>
  <c r="CU83" i="1"/>
  <c r="CU82" i="1"/>
  <c r="CU81" i="1"/>
  <c r="CU80" i="1"/>
  <c r="CU79" i="1"/>
  <c r="CU78" i="1"/>
  <c r="CU77" i="1"/>
  <c r="CU76" i="1"/>
  <c r="CU75" i="1"/>
  <c r="CU74" i="1"/>
  <c r="CU73" i="1"/>
  <c r="CU72" i="1"/>
  <c r="CU71" i="1"/>
  <c r="CU70" i="1"/>
  <c r="CU69" i="1"/>
  <c r="CU68" i="1"/>
  <c r="CU67" i="1"/>
  <c r="CU66" i="1"/>
  <c r="CU65" i="1"/>
  <c r="CU64" i="1"/>
  <c r="CU63" i="1"/>
  <c r="CU62" i="1"/>
  <c r="CU61" i="1"/>
  <c r="CU60" i="1"/>
  <c r="CU59" i="1"/>
  <c r="CU58" i="1"/>
  <c r="CU57" i="1"/>
  <c r="CU56" i="1"/>
  <c r="CU55" i="1"/>
  <c r="CU54" i="1"/>
  <c r="CU53" i="1"/>
  <c r="CU52" i="1"/>
  <c r="CU51" i="1"/>
  <c r="CU50" i="1"/>
  <c r="CU49" i="1"/>
  <c r="CU48" i="1"/>
  <c r="CU47" i="1"/>
  <c r="CU46" i="1"/>
  <c r="CU45" i="1"/>
  <c r="CU44" i="1"/>
  <c r="CU40" i="1"/>
  <c r="CU39" i="1"/>
  <c r="CU38" i="1"/>
  <c r="CU37" i="1"/>
  <c r="CU36" i="1"/>
  <c r="CU35" i="1"/>
  <c r="CU34" i="1"/>
  <c r="CU33" i="1"/>
  <c r="CU32" i="1"/>
  <c r="CU31" i="1"/>
  <c r="CU30" i="1"/>
  <c r="CU29" i="1"/>
  <c r="CU28" i="1"/>
  <c r="CU27" i="1"/>
  <c r="CU26" i="1"/>
  <c r="CU25" i="1"/>
  <c r="CU24" i="1"/>
  <c r="CU23" i="1"/>
  <c r="CU22" i="1"/>
  <c r="CU21" i="1"/>
  <c r="CU20" i="1"/>
  <c r="CU19" i="1"/>
  <c r="V11" i="2"/>
  <c r="D28" i="2" s="1"/>
  <c r="AC46" i="1"/>
  <c r="AC47" i="1" s="1"/>
  <c r="AC48" i="1" s="1"/>
  <c r="AC49" i="1" s="1"/>
  <c r="AC50" i="1" s="1"/>
  <c r="AC51" i="1" s="1"/>
  <c r="AC52" i="1" s="1"/>
  <c r="AA45" i="1"/>
  <c r="Z45" i="1"/>
  <c r="Y45" i="1"/>
  <c r="X45" i="1"/>
  <c r="F53" i="5" l="1"/>
  <c r="CU90" i="1"/>
  <c r="F23" i="7"/>
  <c r="F30" i="7"/>
  <c r="F28" i="7"/>
  <c r="F21" i="7"/>
  <c r="F19" i="7"/>
  <c r="F26" i="7"/>
  <c r="F20" i="7"/>
  <c r="F27" i="7"/>
  <c r="F24" i="7"/>
  <c r="F25" i="7"/>
  <c r="W11" i="2"/>
  <c r="Y11" i="2"/>
  <c r="D27" i="2" l="1"/>
  <c r="D25" i="2"/>
  <c r="X11" i="2"/>
  <c r="F29" i="7"/>
  <c r="U11" i="2"/>
  <c r="D9" i="8" s="1"/>
  <c r="X50" i="2" l="1"/>
  <c r="H9" i="8"/>
  <c r="D7" i="8"/>
  <c r="D8" i="8"/>
  <c r="D24" i="2"/>
  <c r="D26" i="2"/>
  <c r="W50" i="2" l="1"/>
  <c r="H8" i="8"/>
  <c r="K9" i="8"/>
  <c r="J9" i="8" s="1"/>
  <c r="F9" i="8"/>
  <c r="X46" i="2"/>
  <c r="X45" i="2" s="1"/>
  <c r="X48" i="2" s="1"/>
  <c r="V50" i="2"/>
  <c r="H7" i="8"/>
  <c r="X54" i="2"/>
  <c r="X53" i="2" s="1"/>
  <c r="X56" i="2" s="1"/>
  <c r="X49" i="2"/>
  <c r="X52" i="2" s="1"/>
  <c r="V54" i="2" l="1"/>
  <c r="V53" i="2" s="1"/>
  <c r="V56" i="2" s="1"/>
  <c r="V49" i="2"/>
  <c r="V52" i="2" s="1"/>
  <c r="W46" i="2"/>
  <c r="W45" i="2" s="1"/>
  <c r="W48" i="2" s="1"/>
  <c r="F8" i="8"/>
  <c r="K8" i="8"/>
  <c r="J8" i="8" s="1"/>
  <c r="X58" i="2"/>
  <c r="M9" i="8"/>
  <c r="V46" i="2"/>
  <c r="V45" i="2" s="1"/>
  <c r="V48" i="2" s="1"/>
  <c r="F7" i="8"/>
  <c r="K7" i="8"/>
  <c r="J7" i="8" s="1"/>
  <c r="W54" i="2"/>
  <c r="W53" i="2" s="1"/>
  <c r="W56" i="2" s="1"/>
  <c r="W49" i="2"/>
  <c r="W52" i="2" s="1"/>
  <c r="X57" i="2" l="1"/>
  <c r="X60" i="2" s="1"/>
  <c r="Z29" i="2"/>
  <c r="W58" i="2"/>
  <c r="W57" i="2" s="1"/>
  <c r="W60" i="2" s="1"/>
  <c r="M8" i="8"/>
  <c r="N9" i="8"/>
  <c r="X62" i="2"/>
  <c r="V58" i="2"/>
  <c r="V57" i="2" s="1"/>
  <c r="V60" i="2" s="1"/>
  <c r="M7" i="8"/>
  <c r="X61" i="2" l="1"/>
  <c r="X64" i="2" s="1"/>
  <c r="Z37" i="2"/>
  <c r="Z41" i="2" s="1"/>
  <c r="Z26" i="2"/>
  <c r="Z33" i="2" s="1"/>
  <c r="N7" i="8"/>
  <c r="V62" i="2"/>
  <c r="V61" i="2" s="1"/>
  <c r="V64" i="2" s="1"/>
  <c r="N8" i="8"/>
  <c r="W62" i="2"/>
  <c r="W61" i="2" s="1"/>
  <c r="W64"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Ray Beamesderfer</author>
    <author>Jepsen, David</author>
  </authors>
  <commentList>
    <comment ref="I3" authorId="0" shapeId="0" xr:uid="{00000000-0006-0000-0100-000001000000}">
      <text>
        <r>
          <rPr>
            <b/>
            <sz val="8"/>
            <color indexed="81"/>
            <rFont val="Tahoma"/>
            <family val="2"/>
          </rPr>
          <t>from figure in recovery plan exec summary</t>
        </r>
      </text>
    </comment>
    <comment ref="K4" authorId="0" shapeId="0" xr:uid="{00000000-0006-0000-0100-000002000000}">
      <text>
        <r>
          <rPr>
            <b/>
            <sz val="8"/>
            <color indexed="81"/>
            <rFont val="Tahoma"/>
            <family val="2"/>
          </rPr>
          <t>note this number is 8377 in LCR version of plan</t>
        </r>
      </text>
    </comment>
    <comment ref="J12" authorId="1" shapeId="0" xr:uid="{00000000-0006-0000-0100-000003000000}">
      <text>
        <r>
          <rPr>
            <b/>
            <sz val="9"/>
            <color indexed="81"/>
            <rFont val="Tahoma"/>
            <family val="2"/>
          </rPr>
          <t>Jepsen, David:</t>
        </r>
        <r>
          <rPr>
            <sz val="9"/>
            <color indexed="81"/>
            <rFont val="Tahoma"/>
            <family val="2"/>
          </rPr>
          <t xml:space="preserve">
Tables 6.11-6.17 in Recovery plan for desired status</t>
        </r>
      </text>
    </comment>
    <comment ref="K16" authorId="1" shapeId="0" xr:uid="{00000000-0006-0000-0100-000004000000}">
      <text>
        <r>
          <rPr>
            <b/>
            <sz val="9"/>
            <color indexed="81"/>
            <rFont val="Tahoma"/>
            <family val="2"/>
          </rPr>
          <t>Jepsen, David:</t>
        </r>
        <r>
          <rPr>
            <sz val="9"/>
            <color indexed="81"/>
            <rFont val="Tahoma"/>
            <family val="2"/>
          </rPr>
          <t xml:space="preserve">
there is no broad sense goal, so used delist goal</t>
        </r>
      </text>
    </comment>
    <comment ref="K17" authorId="1" shapeId="0" xr:uid="{00000000-0006-0000-0100-000005000000}">
      <text>
        <r>
          <rPr>
            <b/>
            <sz val="9"/>
            <color indexed="81"/>
            <rFont val="Tahoma"/>
            <family val="2"/>
          </rPr>
          <t>Jepsen, David:</t>
        </r>
        <r>
          <rPr>
            <sz val="9"/>
            <color indexed="81"/>
            <rFont val="Tahoma"/>
            <family val="2"/>
          </rPr>
          <t xml:space="preserve">
there is no broad sense goal, so used delist goal</t>
        </r>
      </text>
    </comment>
    <comment ref="K20" authorId="1" shapeId="0" xr:uid="{00000000-0006-0000-0100-000006000000}">
      <text>
        <r>
          <rPr>
            <b/>
            <sz val="9"/>
            <color indexed="81"/>
            <rFont val="Tahoma"/>
            <family val="2"/>
          </rPr>
          <t>Jepsen, David:</t>
        </r>
        <r>
          <rPr>
            <sz val="9"/>
            <color indexed="81"/>
            <rFont val="Tahoma"/>
            <family val="2"/>
          </rPr>
          <t xml:space="preserve">
there is no broad sense goal, so used delist goa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F46" authorId="0" shapeId="0" xr:uid="{00000000-0006-0000-0300-000001000000}">
      <text>
        <r>
          <rPr>
            <b/>
            <sz val="9"/>
            <color indexed="81"/>
            <rFont val="Tahoma"/>
            <family val="2"/>
          </rPr>
          <t>These don't match numbers on summary sheet (e.g. Col commercial. Have to use PSC for ocean &amp; TAC/states for fw</t>
        </r>
      </text>
    </comment>
    <comment ref="F50" authorId="0" shapeId="0" xr:uid="{00000000-0006-0000-0300-000002000000}">
      <text>
        <r>
          <rPr>
            <b/>
            <sz val="9"/>
            <color indexed="81"/>
            <rFont val="Tahoma"/>
            <family val="2"/>
          </rPr>
          <t>These inconsistent with table on front.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P3" authorId="0" shapeId="0" xr:uid="{4F0710D7-CBAE-472C-B5F9-40467A8FB896}">
      <text>
        <r>
          <rPr>
            <b/>
            <sz val="9"/>
            <color indexed="81"/>
            <rFont val="Tahoma"/>
            <family val="2"/>
          </rPr>
          <t>from goal summary table</t>
        </r>
      </text>
    </comment>
    <comment ref="E4" authorId="0" shapeId="0" xr:uid="{DD116465-A29E-42B3-8A63-73AE022D0687}">
      <text>
        <r>
          <rPr>
            <b/>
            <sz val="9"/>
            <color indexed="81"/>
            <rFont val="Tahoma"/>
            <family val="2"/>
          </rPr>
          <t>For this example solved to force match to number of spawners (because averages don't always align perfectly)</t>
        </r>
      </text>
    </comment>
    <comment ref="Q7" authorId="0" shapeId="0" xr:uid="{F913F20D-1795-4559-8786-D30197127D03}">
      <text>
        <r>
          <rPr>
            <b/>
            <sz val="9"/>
            <color indexed="81"/>
            <rFont val="Tahoma"/>
            <family val="2"/>
          </rPr>
          <t>need to select this so that total matches target (col N = col P)</t>
        </r>
      </text>
    </comment>
    <comment ref="Q8" authorId="0" shapeId="0" xr:uid="{F90F9CEA-B291-49A0-A083-E53767023BBC}">
      <text>
        <r>
          <rPr>
            <b/>
            <sz val="9"/>
            <color indexed="81"/>
            <rFont val="Tahoma"/>
            <family val="2"/>
          </rPr>
          <t>need to select this so that total matches target (col N = col P)</t>
        </r>
      </text>
    </comment>
    <comment ref="G9" authorId="0" shapeId="0" xr:uid="{E7FABFC5-E98B-4436-B99F-866679B87F0C}">
      <text>
        <r>
          <rPr>
            <b/>
            <sz val="9"/>
            <color indexed="81"/>
            <rFont val="Tahoma"/>
            <family val="2"/>
          </rPr>
          <t>need to select this so that total matches target (col N = col P)</t>
        </r>
      </text>
    </comment>
    <comment ref="Q9" authorId="0" shapeId="0" xr:uid="{DCF8D236-DD45-4D3E-802F-249085804F8D}">
      <text>
        <r>
          <rPr>
            <b/>
            <sz val="9"/>
            <color indexed="81"/>
            <rFont val="Tahoma"/>
            <family val="2"/>
          </rPr>
          <t>need to select this so that total matches target (col N = col P)</t>
        </r>
      </text>
    </comment>
    <comment ref="M12" authorId="0" shapeId="0" xr:uid="{5E73F01D-211C-47A0-A351-62C83D73CE43}">
      <text>
        <r>
          <rPr>
            <b/>
            <sz val="9"/>
            <color indexed="81"/>
            <rFont val="Tahoma"/>
            <family val="2"/>
          </rPr>
          <t>this ideally should include hatchery rack returns &amp; strays into natural spawning grounds</t>
        </r>
      </text>
    </comment>
    <comment ref="R12" authorId="0" shapeId="0" xr:uid="{8051050A-AA21-41E0-AE9F-27BA16212DEA}">
      <text>
        <r>
          <rPr>
            <b/>
            <sz val="9"/>
            <color indexed="81"/>
            <rFont val="Tahoma"/>
            <family val="2"/>
          </rPr>
          <t>from goal summary table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D2" authorId="0" shapeId="0" xr:uid="{00000000-0006-0000-0600-000001000000}">
      <text>
        <r>
          <rPr>
            <b/>
            <u/>
            <sz val="9"/>
            <color indexed="81"/>
            <rFont val="Tahoma"/>
            <family val="2"/>
          </rPr>
          <t>Subject</t>
        </r>
        <r>
          <rPr>
            <b/>
            <sz val="9"/>
            <color indexed="81"/>
            <rFont val="Tahoma"/>
            <family val="2"/>
          </rPr>
          <t xml:space="preserve">
Population
Fishery
Hatchery</t>
        </r>
      </text>
    </comment>
    <comment ref="F2" authorId="0" shapeId="0" xr:uid="{00000000-0006-0000-0600-000002000000}">
      <text>
        <r>
          <rPr>
            <b/>
            <sz val="9"/>
            <color indexed="81"/>
            <rFont val="Tahoma"/>
            <family val="2"/>
          </rPr>
          <t>fill these in when final</t>
        </r>
      </text>
    </comment>
    <comment ref="H2" authorId="0" shapeId="0" xr:uid="{00000000-0006-0000-0600-000003000000}">
      <text>
        <r>
          <rPr>
            <b/>
            <u/>
            <sz val="9"/>
            <color indexed="81"/>
            <rFont val="Tahoma"/>
            <family val="2"/>
          </rPr>
          <t>Natural Production (eg)</t>
        </r>
        <r>
          <rPr>
            <b/>
            <sz val="9"/>
            <color indexed="81"/>
            <rFont val="Tahoma"/>
            <family val="2"/>
          </rPr>
          <t xml:space="preserve">
(current)
spawning ground survey 
dam count
weir count
EDT model (patient)
expert judgement
(historical)
Reference period estimate
EDT model (template)
Other model
Harvest expansion
???
(goals)
</t>
        </r>
        <r>
          <rPr>
            <b/>
            <u/>
            <sz val="9"/>
            <color indexed="81"/>
            <rFont val="Tahoma"/>
            <family val="2"/>
          </rPr>
          <t>Hatchery</t>
        </r>
        <r>
          <rPr>
            <b/>
            <sz val="9"/>
            <color indexed="81"/>
            <rFont val="Tahoma"/>
            <family val="2"/>
          </rPr>
          <t xml:space="preserve">
release
adult return</t>
        </r>
      </text>
    </comment>
    <comment ref="I2" authorId="0" shapeId="0" xr:uid="{00000000-0006-0000-0600-000004000000}">
      <text>
        <r>
          <rPr>
            <b/>
            <sz val="9"/>
            <color indexed="81"/>
            <rFont val="Tahoma"/>
            <family val="2"/>
          </rPr>
          <t>if applicable</t>
        </r>
      </text>
    </comment>
    <comment ref="K2" authorId="0" shapeId="0" xr:uid="{00000000-0006-0000-0600-000005000000}">
      <text>
        <r>
          <rPr>
            <b/>
            <u/>
            <sz val="9"/>
            <color indexed="81"/>
            <rFont val="Tahoma"/>
            <family val="2"/>
          </rPr>
          <t>Reference (short form)</t>
        </r>
        <r>
          <rPr>
            <b/>
            <sz val="9"/>
            <color indexed="81"/>
            <rFont val="Tahoma"/>
            <family val="2"/>
          </rPr>
          <t xml:space="preserve">
Recovery plan
Subbasin plan
Technical report
Website
Agency unpublished
etc.</t>
        </r>
      </text>
    </comment>
  </commentList>
</comments>
</file>

<file path=xl/sharedStrings.xml><?xml version="1.0" encoding="utf-8"?>
<sst xmlns="http://schemas.openxmlformats.org/spreadsheetml/2006/main" count="5911" uniqueCount="801">
  <si>
    <t>Kalama</t>
  </si>
  <si>
    <t>Lewis</t>
  </si>
  <si>
    <t>Sandy</t>
  </si>
  <si>
    <t>Year</t>
  </si>
  <si>
    <t>ESA: Threatened</t>
  </si>
  <si>
    <t>Total</t>
  </si>
  <si>
    <t>Hatchery</t>
  </si>
  <si>
    <t>@ Columbia R Mouth</t>
  </si>
  <si>
    <t>Totals</t>
  </si>
  <si>
    <t>Natural Production</t>
  </si>
  <si>
    <t>Abundance</t>
  </si>
  <si>
    <t>Potential Goal Range</t>
  </si>
  <si>
    <t>Fisheries / Harvest</t>
  </si>
  <si>
    <t>Exploitation rate</t>
  </si>
  <si>
    <t>Harvest</t>
  </si>
  <si>
    <t>MPG</t>
  </si>
  <si>
    <t>Population</t>
  </si>
  <si>
    <t>Historical</t>
  </si>
  <si>
    <t>Low</t>
  </si>
  <si>
    <t>Med</t>
  </si>
  <si>
    <t>High</t>
  </si>
  <si>
    <t>Location</t>
  </si>
  <si>
    <t>Goal</t>
  </si>
  <si>
    <t>Ocean (AK)</t>
  </si>
  <si>
    <t>Ocean (Can)</t>
  </si>
  <si>
    <t>Ocean (WA/OR)</t>
  </si>
  <si>
    <t>Col sport</t>
  </si>
  <si>
    <t>Col commercial</t>
  </si>
  <si>
    <t>Col treaty</t>
  </si>
  <si>
    <t>Terminal sport &amp; treaty</t>
  </si>
  <si>
    <t>Total Return</t>
  </si>
  <si>
    <t>@ Goals</t>
  </si>
  <si>
    <t>% hatchery</t>
  </si>
  <si>
    <t>Artificial Production</t>
  </si>
  <si>
    <t>Current Production</t>
  </si>
  <si>
    <t>Return</t>
  </si>
  <si>
    <t>Location (Program)</t>
  </si>
  <si>
    <t>Brood</t>
  </si>
  <si>
    <t>Smolts</t>
  </si>
  <si>
    <t>Current</t>
  </si>
  <si>
    <t>production</t>
  </si>
  <si>
    <t>Willamette Spring Chinook</t>
  </si>
  <si>
    <t>North Santiam</t>
  </si>
  <si>
    <t>South Santiam</t>
  </si>
  <si>
    <t>McKenzie</t>
  </si>
  <si>
    <t>Middle Fork Willamette</t>
  </si>
  <si>
    <t>2008-16 avg</t>
  </si>
  <si>
    <t>Table 2.1.4. Estimated number of natural-origin spring Chinook spawners in surveyed subbasins of the upper Willamette River</t>
  </si>
  <si>
    <t>Population (Watershed)</t>
  </si>
  <si>
    <t>A/P</t>
  </si>
  <si>
    <t>Diversity</t>
  </si>
  <si>
    <t>Spatial Structure</t>
  </si>
  <si>
    <t>Overall Extinction Risk</t>
  </si>
  <si>
    <t>Clackamas River</t>
  </si>
  <si>
    <t>M</t>
  </si>
  <si>
    <t>L</t>
  </si>
  <si>
    <t>Molalla River</t>
  </si>
  <si>
    <t>VH</t>
  </si>
  <si>
    <t>H</t>
  </si>
  <si>
    <t>North Santiam River</t>
  </si>
  <si>
    <t>South Santiam River</t>
  </si>
  <si>
    <t>Calapooia River</t>
  </si>
  <si>
    <t>McKenzie River</t>
  </si>
  <si>
    <t>VL</t>
  </si>
  <si>
    <t>Middle Fork Willamette River</t>
  </si>
  <si>
    <t>1. All populations are in the Western Cascade Range ecological subregion. Risk ratings range from very low (VL), low (L), moderate (M), high (H), to very high (VH). All populations originate in the action area (From NMFS 2016).")</t>
  </si>
  <si>
    <t xml:space="preserve"> (ODFW and NMFS 2011; NWFSC 2016)</t>
  </si>
  <si>
    <t>Spawn Year</t>
  </si>
  <si>
    <t>Total Spawners</t>
  </si>
  <si>
    <t>Proportion of Wild Spawners</t>
  </si>
  <si>
    <t>Brood Year Average Ocean Fishery Exploitation Rates</t>
  </si>
  <si>
    <t>Total (Ocean plus Terminal) Brood Yr Average Exploitation Rates</t>
  </si>
  <si>
    <r>
      <t>Proportion by Age at Spawning</t>
    </r>
    <r>
      <rPr>
        <sz val="6"/>
        <color indexed="8"/>
        <rFont val="Times New Roman"/>
        <family val="1"/>
        <charset val="204"/>
      </rPr>
      <t>a</t>
    </r>
  </si>
  <si>
    <t>Age3</t>
  </si>
  <si>
    <t>Age4</t>
  </si>
  <si>
    <t>Age5</t>
  </si>
  <si>
    <t>Age6</t>
  </si>
  <si>
    <t>na</t>
  </si>
  <si>
    <t>Basic data set for Clackamas spring Chinook</t>
  </si>
  <si>
    <t>a</t>
  </si>
  <si>
    <t>Lower Col. Catch 1/</t>
  </si>
  <si>
    <t xml:space="preserve"> </t>
  </si>
  <si>
    <t>Lower</t>
  </si>
  <si>
    <t>River Run</t>
  </si>
  <si>
    <t>Upriver</t>
  </si>
  <si>
    <t>Run</t>
  </si>
  <si>
    <t>Commercial 3/</t>
  </si>
  <si>
    <t>Sport</t>
  </si>
  <si>
    <t>Willamette</t>
  </si>
  <si>
    <t>1944 4/</t>
  </si>
  <si>
    <t>1945 4/</t>
  </si>
  <si>
    <t>&lt;104.2</t>
  </si>
  <si>
    <t>&lt;176.1</t>
  </si>
  <si>
    <t>&lt;61.0</t>
  </si>
  <si>
    <t>&lt;143.1</t>
  </si>
  <si>
    <t>&lt;65.8</t>
  </si>
  <si>
    <t>&lt;164.6</t>
  </si>
  <si>
    <t>&lt;56.2</t>
  </si>
  <si>
    <t>tributary runs</t>
  </si>
  <si>
    <t>Cowlitz</t>
  </si>
  <si>
    <r>
      <t>Select
Areas</t>
    </r>
    <r>
      <rPr>
        <i/>
        <sz val="6"/>
        <color indexed="8"/>
        <rFont val="Times New Roman"/>
        <family val="1"/>
        <charset val="204"/>
      </rPr>
      <t>2</t>
    </r>
  </si>
  <si>
    <t>Cowlitz River</t>
  </si>
  <si>
    <t>Kalama River</t>
  </si>
  <si>
    <t>Lewis River</t>
  </si>
  <si>
    <t>Sandy River</t>
  </si>
  <si>
    <r>
      <t>Willamette
River</t>
    </r>
    <r>
      <rPr>
        <i/>
        <sz val="6"/>
        <color indexed="8"/>
        <rFont val="Times New Roman"/>
        <family val="1"/>
        <charset val="204"/>
      </rPr>
      <t>3</t>
    </r>
  </si>
  <si>
    <r>
      <t>Upriver
Run</t>
    </r>
    <r>
      <rPr>
        <i/>
        <sz val="6"/>
        <color indexed="8"/>
        <rFont val="Times New Roman"/>
        <family val="1"/>
        <charset val="204"/>
      </rPr>
      <t>4</t>
    </r>
  </si>
  <si>
    <t>--</t>
  </si>
  <si>
    <t>At Columbia River mouth</t>
  </si>
  <si>
    <t>JS rept</t>
  </si>
  <si>
    <t>JS status report</t>
  </si>
  <si>
    <t>SPRING CHINOOK</t>
  </si>
  <si>
    <t>FALL CHINOOK</t>
  </si>
  <si>
    <t>COHO</t>
  </si>
  <si>
    <t>WINTER STEELHEAD</t>
  </si>
  <si>
    <t>SUMMER</t>
  </si>
  <si>
    <t>YEAR</t>
  </si>
  <si>
    <t>ADULTS</t>
  </si>
  <si>
    <t>JACKS</t>
  </si>
  <si>
    <t>MINIS</t>
  </si>
  <si>
    <t>TOTAL</t>
  </si>
  <si>
    <t>EARLY</t>
  </si>
  <si>
    <t>LATE</t>
  </si>
  <si>
    <t>10 yr Ave</t>
  </si>
  <si>
    <t>50 yr Ave</t>
  </si>
  <si>
    <r>
      <t>STEELHEA</t>
    </r>
    <r>
      <rPr>
        <b/>
        <sz val="10"/>
        <color indexed="8"/>
        <rFont val="Arial"/>
        <family val="1"/>
        <charset val="204"/>
      </rPr>
      <t>D</t>
    </r>
  </si>
  <si>
    <r>
      <t>S</t>
    </r>
    <r>
      <rPr>
        <b/>
        <u/>
        <sz val="10"/>
        <color indexed="8"/>
        <rFont val="Arial"/>
        <family val="1"/>
        <charset val="204"/>
      </rPr>
      <t>OCKEY</t>
    </r>
    <r>
      <rPr>
        <b/>
        <sz val="10"/>
        <color indexed="8"/>
        <rFont val="Arial"/>
        <family val="1"/>
        <charset val="204"/>
      </rPr>
      <t>E</t>
    </r>
  </si>
  <si>
    <r>
      <t xml:space="preserve">1998 </t>
    </r>
    <r>
      <rPr>
        <b/>
        <i/>
        <sz val="10"/>
        <color indexed="8"/>
        <rFont val="Arial"/>
        <family val="1"/>
        <charset val="204"/>
      </rPr>
      <t>1</t>
    </r>
  </si>
  <si>
    <r>
      <t xml:space="preserve">1999 </t>
    </r>
    <r>
      <rPr>
        <b/>
        <i/>
        <sz val="10"/>
        <color indexed="8"/>
        <rFont val="Arial"/>
        <family val="1"/>
        <charset val="204"/>
      </rPr>
      <t>1</t>
    </r>
  </si>
  <si>
    <t>CHS</t>
  </si>
  <si>
    <t>total</t>
  </si>
  <si>
    <t>Local return (Willamette Falls)</t>
  </si>
  <si>
    <t>Willamette Falls Counts</t>
  </si>
  <si>
    <t>adults only</t>
  </si>
  <si>
    <t>desired risk level</t>
  </si>
  <si>
    <t>Moderate</t>
  </si>
  <si>
    <t>Very Low</t>
  </si>
  <si>
    <t>from TRT table</t>
  </si>
  <si>
    <t>from OR recov plan table 10-1</t>
  </si>
  <si>
    <t>current</t>
  </si>
  <si>
    <t>broad sense</t>
  </si>
  <si>
    <t>Catch</t>
  </si>
  <si>
    <t># of</t>
  </si>
  <si>
    <t>Ages</t>
  </si>
  <si>
    <t>SEAK</t>
  </si>
  <si>
    <t>NBC</t>
  </si>
  <si>
    <t>WCVI</t>
  </si>
  <si>
    <t>NBC &amp; CBC</t>
  </si>
  <si>
    <t>Southern BC</t>
  </si>
  <si>
    <t>N Falcon</t>
  </si>
  <si>
    <t>S Falcon</t>
  </si>
  <si>
    <t>WAC</t>
  </si>
  <si>
    <t>Puget Sd</t>
  </si>
  <si>
    <t>Canada</t>
  </si>
  <si>
    <t>Southern US</t>
  </si>
  <si>
    <t>Stray</t>
  </si>
  <si>
    <t>Esc.</t>
  </si>
  <si>
    <t>CWT</t>
  </si>
  <si>
    <t>T</t>
  </si>
  <si>
    <t>N</t>
  </si>
  <si>
    <t>S</t>
  </si>
  <si>
    <t>3,4</t>
  </si>
  <si>
    <t>3,4,5</t>
  </si>
  <si>
    <t>3,4,5,6</t>
  </si>
  <si>
    <t>NA</t>
  </si>
  <si>
    <t>-</t>
  </si>
  <si>
    <t>AABM</t>
  </si>
  <si>
    <t>ISBM</t>
  </si>
  <si>
    <t>Terminal</t>
  </si>
  <si>
    <t>Escapement</t>
  </si>
  <si>
    <t>v ocn</t>
  </si>
  <si>
    <t>1975–1979</t>
  </si>
  <si>
    <t>1980–1984</t>
  </si>
  <si>
    <t>1985–1989</t>
  </si>
  <si>
    <t>1990–1994</t>
  </si>
  <si>
    <t>1995–1999</t>
  </si>
  <si>
    <t>2000–2004</t>
  </si>
  <si>
    <t>2005–2009</t>
  </si>
  <si>
    <t>2010–2014</t>
  </si>
  <si>
    <t>1970-1974</t>
  </si>
  <si>
    <t>Col R</t>
  </si>
  <si>
    <t>Comm</t>
  </si>
  <si>
    <t>Mainstem Harvest</t>
  </si>
  <si>
    <t>Will</t>
  </si>
  <si>
    <t>L Willam harv</t>
  </si>
  <si>
    <t>Num</t>
  </si>
  <si>
    <t>% of run</t>
  </si>
  <si>
    <t>Falls</t>
  </si>
  <si>
    <t>Clack</t>
  </si>
  <si>
    <t>10-yr</t>
  </si>
  <si>
    <t>–</t>
  </si>
  <si>
    <t>Willam</t>
  </si>
  <si>
    <t>U Willamette sport catch</t>
  </si>
  <si>
    <t>% of falls</t>
  </si>
  <si>
    <t>U Willam Hatch rtn</t>
  </si>
  <si>
    <t>Hat rtn</t>
  </si>
  <si>
    <t>Recd</t>
  </si>
  <si>
    <t>by tribes</t>
  </si>
  <si>
    <t>L Willamette sport</t>
  </si>
  <si>
    <t>U Willamette sport</t>
  </si>
  <si>
    <t>Col &amp; Willam sport</t>
  </si>
  <si>
    <t>harv</t>
  </si>
  <si>
    <t>Middle Fk Willamette</t>
  </si>
  <si>
    <t>smolts</t>
  </si>
  <si>
    <t>Clackamas Hat</t>
  </si>
  <si>
    <t>McKenzie Hat</t>
  </si>
  <si>
    <t>Middle Fk Will (Willamette Hat)</t>
  </si>
  <si>
    <t>N Santiam (Marion Forks Hat)</t>
  </si>
  <si>
    <t>S Santiam Hat</t>
  </si>
  <si>
    <t>PSC CTC</t>
  </si>
  <si>
    <t>Stock</t>
  </si>
  <si>
    <t>Record type</t>
  </si>
  <si>
    <t>Subject</t>
  </si>
  <si>
    <t>Metric</t>
  </si>
  <si>
    <t>Method</t>
  </si>
  <si>
    <t>geomean abundance</t>
  </si>
  <si>
    <t>Low goal</t>
  </si>
  <si>
    <t>Med goal</t>
  </si>
  <si>
    <t>High goal</t>
  </si>
  <si>
    <t>Years</t>
  </si>
  <si>
    <t>adult abundance</t>
  </si>
  <si>
    <t>Variable</t>
  </si>
  <si>
    <t>dam count</t>
  </si>
  <si>
    <t>Value</t>
  </si>
  <si>
    <t>Current production</t>
  </si>
  <si>
    <t># smolts</t>
  </si>
  <si>
    <t>program goal</t>
  </si>
  <si>
    <t>Reference</t>
  </si>
  <si>
    <t>Reference Link</t>
  </si>
  <si>
    <t>Fishery</t>
  </si>
  <si>
    <t>v ocean abundance</t>
  </si>
  <si>
    <t>v Col R run</t>
  </si>
  <si>
    <t>Notes</t>
  </si>
  <si>
    <t>Limits</t>
  </si>
  <si>
    <t>PF Additions ------&gt;</t>
  </si>
  <si>
    <t>Recovery Plan - Table 6.4</t>
  </si>
  <si>
    <t>Quantitative Goal Rules</t>
  </si>
  <si>
    <t>2 - broad sense goal identified in existing plan</t>
  </si>
  <si>
    <t>no rules apply</t>
  </si>
  <si>
    <t>Recovery Plan - Table 10.1</t>
  </si>
  <si>
    <t>4 - default, 3 times low range value</t>
  </si>
  <si>
    <t>Recovery Plan - Table 6-13</t>
  </si>
  <si>
    <t>Recovery Plan - Table 6-14</t>
  </si>
  <si>
    <t>Recovery Plan - Table 6-17</t>
  </si>
  <si>
    <t>2 - mid-way between high and low ranges</t>
  </si>
  <si>
    <t>none</t>
  </si>
  <si>
    <t>Clackamas Hatchery</t>
  </si>
  <si>
    <t>S Santiam Hatchery</t>
  </si>
  <si>
    <t>McKenzie Hatchery</t>
  </si>
  <si>
    <t> Species </t>
  </si>
  <si>
    <t> Hatchery </t>
  </si>
  <si>
    <t>Spring Chinook Yearling</t>
  </si>
  <si>
    <t>ODFW</t>
  </si>
  <si>
    <t>Eagle Creek Hatchery</t>
  </si>
  <si>
    <t>Spring Chinook Subyearling</t>
  </si>
  <si>
    <t>Eagle Creek</t>
  </si>
  <si>
    <t>Migration Year </t>
  </si>
  <si>
    <t> Agency Code </t>
  </si>
  <si>
    <t>2015-2018 average =</t>
  </si>
  <si>
    <t>2000-2014 average =</t>
  </si>
  <si>
    <t> Release Site </t>
  </si>
  <si>
    <t>Eagle Creek NFH</t>
  </si>
  <si>
    <t>USFW</t>
  </si>
  <si>
    <t> Migration Year </t>
  </si>
  <si>
    <t> Number Released</t>
  </si>
  <si>
    <t>Annual Release Numbers</t>
  </si>
  <si>
    <t>Excludes releases into Sandy Basin</t>
  </si>
  <si>
    <t>Clackamas Hatchery Spring Chinook Releases - from Fish Passage Center Web Page</t>
  </si>
  <si>
    <t>Marion Forks Hatchery</t>
  </si>
  <si>
    <t>Santiam River &amp; N Fk</t>
  </si>
  <si>
    <t>Mollala River</t>
  </si>
  <si>
    <t>Detroit Reservoir</t>
  </si>
  <si>
    <t>Minto Pond</t>
  </si>
  <si>
    <t>S Fk Santiam River</t>
  </si>
  <si>
    <t>M Fk Willamette River</t>
  </si>
  <si>
    <t>South Santiam Hatchery</t>
  </si>
  <si>
    <t>Santiam River</t>
  </si>
  <si>
    <t>Includes releases into Detriot Reservior</t>
  </si>
  <si>
    <t>Marion Forks Hatchery Spring Chinook Releases - from Fish Passage Center Web Page</t>
  </si>
  <si>
    <t>Willamette River</t>
  </si>
  <si>
    <t>Green Peter Reservoir</t>
  </si>
  <si>
    <t>South Santiaqm Hatchery Spring Chinook Releases - from Fish Passage Center Web Page</t>
  </si>
  <si>
    <t>Willamette Hatchery Spring Chinook Releases - from Fish Passage Center Web Page</t>
  </si>
  <si>
    <t>Willamette Hatchery</t>
  </si>
  <si>
    <t>Dexter Pond</t>
  </si>
  <si>
    <t>Coast Fk Willamette River</t>
  </si>
  <si>
    <t>Row River</t>
  </si>
  <si>
    <t>Hills Creek Reservoir</t>
  </si>
  <si>
    <t>Lookout Pt Reservoir</t>
  </si>
  <si>
    <t>Fall Creek Reservoir</t>
  </si>
  <si>
    <t>Fall Creek</t>
  </si>
  <si>
    <t>Quartzville Creek</t>
  </si>
  <si>
    <t>Mohawk River</t>
  </si>
  <si>
    <t>Thomas Creek</t>
  </si>
  <si>
    <t>Crabtree Creek</t>
  </si>
  <si>
    <t> NumberReleased</t>
  </si>
  <si>
    <t>Includes releases into Hills Creek and Lookout Point Reserviors</t>
  </si>
  <si>
    <t>2001-2014 average =</t>
  </si>
  <si>
    <t>McKenzie Hatchery Spring Chinook Releases - from Fish Passage Center Web Page</t>
  </si>
  <si>
    <t>S Fk McKenzie River</t>
  </si>
  <si>
    <t>Blue River</t>
  </si>
  <si>
    <t>Includes releases into Fall Creek Reservior</t>
  </si>
  <si>
    <t>2016-2018 average =</t>
  </si>
  <si>
    <t>Summary of Release Data</t>
  </si>
  <si>
    <t>Release Years</t>
  </si>
  <si>
    <t>Average Number Released</t>
  </si>
  <si>
    <t>2015-2018</t>
  </si>
  <si>
    <t>2016-2018</t>
  </si>
  <si>
    <t>Sumary Page Release Numbers</t>
  </si>
  <si>
    <t>2001-2013 average =</t>
  </si>
  <si>
    <t>2014-2017</t>
  </si>
  <si>
    <t>ODFW Link to Final HGMPs:</t>
  </si>
  <si>
    <t>https://www.dfw.state.or.us/fish/HGMP/final.asp</t>
  </si>
  <si>
    <t>South Santiam Spring Chinook Salmon HGMP - Last Updated August 23, 2016 - Submitted September 2016</t>
  </si>
  <si>
    <t>Clackamas Spring Chinook Salmon HGMP - Last Updated May 2016 - Submitted May 16, 2016</t>
  </si>
  <si>
    <t>North Santiam Spring Chinook Salmon HGMP - Last Updated August 23, 2016 - Submitted September 2016</t>
  </si>
  <si>
    <t>Middle Fork Willamette Spring Chinook Salmon HGMP - Last Updated August 23, 2016 - Submitted September 1, 2016</t>
  </si>
  <si>
    <t>McKenzie Spring Chinook Salmon HGMP - Last Updated May 1, 2018 - Submitted May 4, 2018</t>
  </si>
  <si>
    <t>1 - juvenile production levels of existing programs</t>
  </si>
  <si>
    <t>1 - juvenile production continues at current levels</t>
  </si>
  <si>
    <t>habitat population viability analysis (HPVA)</t>
  </si>
  <si>
    <t>https://www.dfw.state.or.us/fish/crp/conservation_recovery_plans.asp</t>
  </si>
  <si>
    <t>Additional details in Willamette-Lower Columbia Interim Viability Criteria Report, 2003 (pages 38-40), link is https://www.nwfsc.noaa.gov/research/divisions/cb/genetics/trt/salmon_technical_recovery_team_reports.cfm</t>
  </si>
  <si>
    <t>calculated mid-point between high and low ranges</t>
  </si>
  <si>
    <t>not applicable</t>
  </si>
  <si>
    <t>recent year average smolt releases</t>
  </si>
  <si>
    <t>Return Year</t>
  </si>
  <si>
    <t>Clackamas</t>
  </si>
  <si>
    <t>Molalla/Pudding River</t>
  </si>
  <si>
    <t>Data from ODFW Salmon and Steelhead Recovery Tracker Website</t>
  </si>
  <si>
    <t>Link:</t>
  </si>
  <si>
    <t>http://www.odfwrecoverytracker.org/summary/</t>
  </si>
  <si>
    <t>https://www.webapps.nwfsc.noaa.gov/apex/f?p=261:HOME</t>
  </si>
  <si>
    <t>MF Willamette</t>
  </si>
  <si>
    <t>StreamNet</t>
  </si>
  <si>
    <t>http://cax.streamnet.org/</t>
  </si>
  <si>
    <t>NOAA</t>
  </si>
  <si>
    <t>Natural Origin Abundance Estimates</t>
  </si>
  <si>
    <t>Liniks to Data Sources</t>
  </si>
  <si>
    <t>Notes on Data</t>
  </si>
  <si>
    <t>Terms used to describe data are as follows: 1)ODFW uses Natural Origin Spawners, 2) NOAA uses spawners and 3) SteamNet uses Natural Origin Spawner Abundance (excluding jacks)</t>
  </si>
  <si>
    <t>Mollala</t>
  </si>
  <si>
    <t>Calapooia</t>
  </si>
  <si>
    <t>Geo Mean (07-16)</t>
  </si>
  <si>
    <t>Unmarked</t>
  </si>
  <si>
    <t>Marked</t>
  </si>
  <si>
    <t>2007-2016</t>
  </si>
  <si>
    <t>https://www.portlandgeneral.com/corporate-responsibility/environmental-stewardship/water-quality-habitat-protection</t>
  </si>
  <si>
    <t>http://www.odfwrecoverytracker.org</t>
  </si>
  <si>
    <t>PGE Fish Count database</t>
  </si>
  <si>
    <t>ODFW Recovery Tracker database</t>
  </si>
  <si>
    <t>spawning ground surveys</t>
  </si>
  <si>
    <t>Website only had daily counts for 2014-2018,  compared 2014 Rays data and were the same so used Rays entire data set with small correction to 2015 and addtion of 2016</t>
  </si>
  <si>
    <t>Natural Origin Proportion Hatchery Estimates</t>
  </si>
  <si>
    <t>Data from PGE Dam Count website</t>
  </si>
  <si>
    <t>North Fork Clackamas River Dam Count</t>
  </si>
  <si>
    <t>Sport catch of Spring Chinook salmon in Oregon streams and rivers, 2007-2019</t>
  </si>
  <si>
    <t>Link:  https://www.dfw.state.or.us/resources/fishing/sportcatch.asp</t>
  </si>
  <si>
    <t>Waterbody '07-08 '08-09 '09-10 '10-11 '11-12 '12-13 '13-14 '14-15 '15-16 '16-17</t>
  </si>
  <si>
    <t>MOLALLA R 38 8 12 181 34 104 44 5 59 45</t>
  </si>
  <si>
    <t xml:space="preserve">PUDDING R 4 - - - - - - - 6 - </t>
  </si>
  <si>
    <t>(Tributary to Molalla River)</t>
  </si>
  <si>
    <t>CALAPOOIA R - - - - - - - - 6 -</t>
  </si>
  <si>
    <t>SANTIAM R 28 4 62 135 137 79 71 80 89 58</t>
  </si>
  <si>
    <t xml:space="preserve">LITTLE N FK SANTIAM 4 4 12 4 10 4 - - 6 - </t>
  </si>
  <si>
    <t xml:space="preserve">S FK SANTIAM 333 67 731 2,204 1,372 1,718 635 556 947 1,798 </t>
  </si>
  <si>
    <t xml:space="preserve">THOMAS CR (SANT) - - - - - - - - - 19 </t>
  </si>
  <si>
    <t>(Tributary of South Santiam River)</t>
  </si>
  <si>
    <t xml:space="preserve">WILEY CR (S SANTIAM) - - - - - - - - 12 - </t>
  </si>
  <si>
    <t>MCKENZIE R (BELOW LEABURG DAM) 563 8 769 1,769 1,269 1,168 582 586 639 604</t>
  </si>
  <si>
    <t>MCKENZIE R (ABOVE LEABURG DAM) 4 8 27 25 20 29 13 35 6 –</t>
  </si>
  <si>
    <t>BLUE R (MCKENZIE) 4 8 12 - - - - - 53 13</t>
  </si>
  <si>
    <t xml:space="preserve">FALL CR (WILLAMETTE R) - - - 7 - 4 4 5 - - </t>
  </si>
  <si>
    <t>(Tributary to Coast Fork Willamette River)</t>
  </si>
  <si>
    <t xml:space="preserve">L FALL CR (WILLAMETTE) - 4 4 4 - 4 4 10 - - </t>
  </si>
  <si>
    <t xml:space="preserve">COAST FK WILL 20 4 47 49 16 54 36 85 59 97 </t>
  </si>
  <si>
    <t xml:space="preserve">(Tributary to Middle Fork Willamette River) </t>
  </si>
  <si>
    <t>MID FK WILL 737 8 780 3,817 833 780 502 416 1,859 681</t>
  </si>
  <si>
    <t>(Tributary to mainstem Willamette River upstream of Santiam River)</t>
  </si>
  <si>
    <t>ROW R - - 8 15 21 4 9 15 397 71</t>
  </si>
  <si>
    <t>(Tributary to Middle Fork Willamette River)</t>
  </si>
  <si>
    <t>River System</t>
  </si>
  <si>
    <t>Molalla</t>
  </si>
  <si>
    <t>Stream</t>
  </si>
  <si>
    <t>Pudding</t>
  </si>
  <si>
    <t xml:space="preserve">Calapooia </t>
  </si>
  <si>
    <t>Santiam</t>
  </si>
  <si>
    <t>N Fk Santiam</t>
  </si>
  <si>
    <t>Little Fk Santiam</t>
  </si>
  <si>
    <t>S Fk Santiam</t>
  </si>
  <si>
    <t>Thomas Cr</t>
  </si>
  <si>
    <t>Wiley Cr</t>
  </si>
  <si>
    <t>N FK SANTIAM 352 8 485 796 634 592 293 1,398 1,741 565</t>
  </si>
  <si>
    <t>Blue R</t>
  </si>
  <si>
    <t>Lower McKenzie</t>
  </si>
  <si>
    <t>Upper McKenzie</t>
  </si>
  <si>
    <t>Middle Fork</t>
  </si>
  <si>
    <t>Fall Cr</t>
  </si>
  <si>
    <t>Little Fall Cr</t>
  </si>
  <si>
    <t>Coast Fork</t>
  </si>
  <si>
    <t>Long Tom</t>
  </si>
  <si>
    <t>Row</t>
  </si>
  <si>
    <t>LONG TOM - - - - - - - - 18 -</t>
  </si>
  <si>
    <t>Average</t>
  </si>
  <si>
    <t>Grand Total</t>
  </si>
  <si>
    <t>Joint Staff Report</t>
  </si>
  <si>
    <t>Difference #</t>
  </si>
  <si>
    <t>Fishery Harvest</t>
  </si>
  <si>
    <t>10-year averages (2007-2016)</t>
  </si>
  <si>
    <t>Wild</t>
  </si>
  <si>
    <t>Upper Willamette</t>
  </si>
  <si>
    <t>Source</t>
  </si>
  <si>
    <t>Joint Staff Report - Table 4</t>
  </si>
  <si>
    <t>Release</t>
  </si>
  <si>
    <t>Mortalities</t>
  </si>
  <si>
    <t>Kept</t>
  </si>
  <si>
    <t>Ratio</t>
  </si>
  <si>
    <t>RM/KC</t>
  </si>
  <si>
    <t>Natural</t>
  </si>
  <si>
    <t>2002-2016</t>
  </si>
  <si>
    <t>average</t>
  </si>
  <si>
    <t>RM/NA</t>
  </si>
  <si>
    <t>2009-2016</t>
  </si>
  <si>
    <t>from spawner page</t>
  </si>
  <si>
    <t>from run recon</t>
  </si>
  <si>
    <t>Combined average RM/KC ratio=</t>
  </si>
  <si>
    <t>Mortality</t>
  </si>
  <si>
    <t>Ratio from FMEP</t>
  </si>
  <si>
    <t>Data from Table 13 of FMEP</t>
  </si>
  <si>
    <t>10-Year Average</t>
  </si>
  <si>
    <t>Upper Willamette Sport</t>
  </si>
  <si>
    <t>Lower Willamette Sport</t>
  </si>
  <si>
    <t>Lower Clackamas</t>
  </si>
  <si>
    <t>Lower Willamette</t>
  </si>
  <si>
    <t>Lower Columbia Sport</t>
  </si>
  <si>
    <t>Lower Columbia</t>
  </si>
  <si>
    <t>Lower Columbia Commercial</t>
  </si>
  <si>
    <t>All Fisheries Combined</t>
  </si>
  <si>
    <t>FMEP - Table 13</t>
  </si>
  <si>
    <t>ODFW Report Titled: Fishery Management and Evaluation for 2016 Willamette River Spring Chinook</t>
  </si>
  <si>
    <t>statistical creel estimates wild fish encounters, 12.2% post release mortality assumed</t>
  </si>
  <si>
    <t>encounter rates of hatchery spring chinook derived from catch record cards</t>
  </si>
  <si>
    <t>Ocean</t>
  </si>
  <si>
    <t>Freshwater</t>
  </si>
  <si>
    <t>harvest rate</t>
  </si>
  <si>
    <t>population viability analysis</t>
  </si>
  <si>
    <t>Biological Opinion - Section 8.1</t>
  </si>
  <si>
    <t>http://www.westcoast.fisheries.noaa.gov/fish_passage/willamette_opinion/</t>
  </si>
  <si>
    <t>limit includes all ocean fisheries in aggregate</t>
  </si>
  <si>
    <t>limit includes all freshwater fisheries in aggregate</t>
  </si>
  <si>
    <t>ocean and freshwater</t>
  </si>
  <si>
    <t>2 - harvest rates sustainable by healthy wild/natural stocks</t>
  </si>
  <si>
    <t>Harvest of natural origin fish, includes release mortalities and kept catch</t>
  </si>
  <si>
    <t>Sport = release mortalities &amp; Comm = release mortalities and kept catch (SAFE only)</t>
  </si>
  <si>
    <t>2007-2016 average</t>
  </si>
  <si>
    <t>Fishery (wild/natural)</t>
  </si>
  <si>
    <t>Fishery (hatchery)</t>
  </si>
  <si>
    <t># kept</t>
  </si>
  <si>
    <t>statistical creel</t>
  </si>
  <si>
    <t>fish tickets and sampling landed catch</t>
  </si>
  <si>
    <t>ODFW reconstruction data base</t>
  </si>
  <si>
    <t>ODFW "Willamette Big Sheets" that contained run reconstruction data</t>
  </si>
  <si>
    <t>includes age 3 jacks</t>
  </si>
  <si>
    <t>may include age 3 jacks</t>
  </si>
  <si>
    <t>Harvest of natural origin fish, includes only release mortalities, exc</t>
  </si>
  <si>
    <t>Includes only release mortalities</t>
  </si>
  <si>
    <t>Harvest of hatchery origin fish</t>
  </si>
  <si>
    <t>Includes only kept catch</t>
  </si>
  <si>
    <t>LCR SAFE fishery may include some wild fish (not mark selective)</t>
  </si>
  <si>
    <t>Excludes LCR SAFE fishery, which may harvest some natural origin fish (not mark selective)</t>
  </si>
  <si>
    <t>Data from Big Sheets, data similar to data in Joint Staff Report Table 3</t>
  </si>
  <si>
    <t>release mortalities</t>
  </si>
  <si>
    <t>Data from Tables 7, 11 and 14 of FMEP</t>
  </si>
  <si>
    <t>Release Mortalities</t>
  </si>
  <si>
    <t>N. Santiam</t>
  </si>
  <si>
    <t>M. Santiam</t>
  </si>
  <si>
    <t>U. Willamette</t>
  </si>
  <si>
    <t>Returns</t>
  </si>
  <si>
    <t>Rate</t>
  </si>
  <si>
    <t>fish tickets, on-board monitoriong, sampling landed catch and visual stock identification and CWT's</t>
  </si>
  <si>
    <t>statistical creel estimates wild fish encounters and visual stock identification and CWT's</t>
  </si>
  <si>
    <t>statistical creel estimates wild fish encounters</t>
  </si>
  <si>
    <t>FMEP - Tables 7, 11 &amp; 14</t>
  </si>
  <si>
    <t>catch record card estimates</t>
  </si>
  <si>
    <t>https://www.dfw.state.or.us/resources/fishing/sportcatch.asp</t>
  </si>
  <si>
    <t>ODFW Catch Record Card database</t>
  </si>
  <si>
    <t>excludes jacks based on minimum retention size</t>
  </si>
  <si>
    <t>Difference %</t>
  </si>
  <si>
    <t>Catch estimates for Lower Columbia sport and commercial from table above</t>
  </si>
  <si>
    <t>Catch estimates for Lower Willamette sport from table above</t>
  </si>
  <si>
    <t>Catch estimates for Upper Willamette from punch card analysis (columns BF-BO)</t>
  </si>
  <si>
    <t>Data used to estimate harvest rates for hatchery origin fish</t>
  </si>
  <si>
    <t>Col Sport</t>
  </si>
  <si>
    <t>Col Comm</t>
  </si>
  <si>
    <t>L Will Sport</t>
  </si>
  <si>
    <t>U Will Sport</t>
  </si>
  <si>
    <t>Run Size</t>
  </si>
  <si>
    <t>Run Size to Columbia River from Big Sheets</t>
  </si>
  <si>
    <t>Catch Estimates</t>
  </si>
  <si>
    <t>Harvest Rate</t>
  </si>
  <si>
    <t>2007-2016 Average</t>
  </si>
  <si>
    <t>79–84</t>
  </si>
  <si>
    <t>85–95</t>
  </si>
  <si>
    <t>96–98</t>
  </si>
  <si>
    <t>99–08</t>
  </si>
  <si>
    <t>09–16</t>
  </si>
  <si>
    <t>07–15</t>
  </si>
  <si>
    <t>06–15</t>
  </si>
  <si>
    <t>https://www.psc.org/publications/</t>
  </si>
  <si>
    <t>Data from PSC web site</t>
  </si>
  <si>
    <t>CWT analysis used to produce these numbers</t>
  </si>
  <si>
    <t>Willamette Falls</t>
  </si>
  <si>
    <t>Clackamas Run</t>
  </si>
  <si>
    <t>L. Will. Harvest</t>
  </si>
  <si>
    <t>https://www.dfw.state.or.us/fish/fish_counts/willamette%20falls.asp</t>
  </si>
  <si>
    <t>Clipped</t>
  </si>
  <si>
    <t>Unclip</t>
  </si>
  <si>
    <t>January</t>
  </si>
  <si>
    <t>February</t>
  </si>
  <si>
    <t>March</t>
  </si>
  <si>
    <t>April</t>
  </si>
  <si>
    <t>May</t>
  </si>
  <si>
    <t>June</t>
  </si>
  <si>
    <t>July</t>
  </si>
  <si>
    <t>August</t>
  </si>
  <si>
    <t>Grand</t>
  </si>
  <si>
    <t>L. Will. Mortalities</t>
  </si>
  <si>
    <t>Bel Falls</t>
  </si>
  <si>
    <t>Sea Lion</t>
  </si>
  <si>
    <t>Predation</t>
  </si>
  <si>
    <t>Percent</t>
  </si>
  <si>
    <t>L. Col. Sport</t>
  </si>
  <si>
    <t>L. Col. Commercial</t>
  </si>
  <si>
    <t>SAFE</t>
  </si>
  <si>
    <t>Total Will. Return</t>
  </si>
  <si>
    <t>Commercial</t>
  </si>
  <si>
    <t>Lower Col.</t>
  </si>
  <si>
    <t xml:space="preserve">Sport </t>
  </si>
  <si>
    <t>Lower Will.</t>
  </si>
  <si>
    <t>Lower Clack.</t>
  </si>
  <si>
    <t>Commerical</t>
  </si>
  <si>
    <t>Total Col. Return</t>
  </si>
  <si>
    <t>2012-2016 Average</t>
  </si>
  <si>
    <t>Total Harvest</t>
  </si>
  <si>
    <t>Col&amp;Will</t>
  </si>
  <si>
    <t>OR/WA</t>
  </si>
  <si>
    <t>07-15 Totals:</t>
  </si>
  <si>
    <t>Alasaka</t>
  </si>
  <si>
    <t>06-15 Totals:</t>
  </si>
  <si>
    <t>Col. Comm.</t>
  </si>
  <si>
    <t>Col. Sport</t>
  </si>
  <si>
    <t>Columbia River Return</t>
  </si>
  <si>
    <t>sampling data and/or internal algorithms (i.e., size-at-age vulnerability algorithms and gear-specific mortality rates)</t>
  </si>
  <si>
    <t>2007-2015</t>
  </si>
  <si>
    <t>2017 PSC Joint Technical Report (Vol. 2)</t>
  </si>
  <si>
    <t>catch estimation and CWT sampling programs</t>
  </si>
  <si>
    <t>catch estimates devided by run entering Columbia River</t>
  </si>
  <si>
    <t>Ocean Exploitation Rates:</t>
  </si>
  <si>
    <t>Alaska =</t>
  </si>
  <si>
    <t>Canada=</t>
  </si>
  <si>
    <t>OR/WA=</t>
  </si>
  <si>
    <t>Total=</t>
  </si>
  <si>
    <t>Ocean Run Size =</t>
  </si>
  <si>
    <t>Ocean Harvest:</t>
  </si>
  <si>
    <t>Canada =</t>
  </si>
  <si>
    <t>OR/WA =</t>
  </si>
  <si>
    <t>Total =</t>
  </si>
  <si>
    <t>Methodology used to calculate ocean harvest of hatchery fish</t>
  </si>
  <si>
    <t>Methodology used to calculate ocean harvest of wild/natural fish</t>
  </si>
  <si>
    <t>Col. R.</t>
  </si>
  <si>
    <t>Ocean Exploitation Rates</t>
  </si>
  <si>
    <t>assumes no mark selective fisheries in ocean</t>
  </si>
  <si>
    <t>Data used to estimate harvest rates for natural origin fish</t>
  </si>
  <si>
    <t>ocean abundance calculated by dividing Col. R. return by (1-ocean E.R.), harvest number calculated by mulitplying fishery E.R. and ocean run size</t>
  </si>
  <si>
    <t>ocean abundance calculated by dividing Col. R. return by (1-ocean E.R.), release mortalities calculated by mulitplying fishery E.R. and ocean run size</t>
  </si>
  <si>
    <t>may include age 3 jacks, E.R. calculated by dividing catch by Col. R. run size</t>
  </si>
  <si>
    <t>% Nat</t>
  </si>
  <si>
    <t>During 2007-2011 Willamette Falls counts did not record unclipped and clipped numbers for spring chinook</t>
  </si>
  <si>
    <t>Hatchery and natural splits were calculated using average hatchery/wild ratio during 2012-2018</t>
  </si>
  <si>
    <t>Har. Rate</t>
  </si>
  <si>
    <t>Catch estimates for Upper Willamette sport from FMEP below</t>
  </si>
  <si>
    <t>Columbia River Run Size =</t>
  </si>
  <si>
    <t>Will&amp;Clack</t>
  </si>
  <si>
    <t>includes SAFE and Sturgeon fisheries, E.R. calculated by dividing catch by Col. R. run size</t>
  </si>
  <si>
    <t>E.R. calculated by dividing catch by Col. R. run size</t>
  </si>
  <si>
    <t>may include unclipped hatchery fish</t>
  </si>
  <si>
    <t>Provided by Lawrence Schwabe (via email) with Grand Ronde Tribe (9/11/18)</t>
  </si>
  <si>
    <t>Clackamas Population</t>
  </si>
  <si>
    <t>Molalla Population</t>
  </si>
  <si>
    <t>North Santiam Population</t>
  </si>
  <si>
    <t>South Santiam Population</t>
  </si>
  <si>
    <t>Calapooia Population</t>
  </si>
  <si>
    <t>McKenzie Population</t>
  </si>
  <si>
    <t>Midle Fork Willamette Population</t>
  </si>
  <si>
    <t>Table 10-1 in UWR Recovery Plan</t>
  </si>
  <si>
    <t>Table 6-1 scenario 1 in UWR Recovery Plan</t>
  </si>
  <si>
    <t>Tables 6-11 to 6-17 in UWR Recovery Plan</t>
  </si>
  <si>
    <t>modeled abundance</t>
  </si>
  <si>
    <t>Desired Status (= Delist Goal)</t>
  </si>
  <si>
    <t>Broad Sense Goal</t>
  </si>
  <si>
    <t>Table Below from Mark Lewis with ODFW (9/19/18)</t>
  </si>
  <si>
    <t>Summary pages refer to these cells except for pink cells</t>
  </si>
  <si>
    <t>Pink cells need to calculated by rules rather that same as delisting goal</t>
  </si>
  <si>
    <t>Differences are in Recovery Plan delisting goals vs those from TRT</t>
  </si>
  <si>
    <t>Numbers are consistent with recovery plan tables I have copied on this page</t>
  </si>
  <si>
    <t>Numbers in yellow were provided by Mark Lewis with ODFW (9/18/18).  Data comes from the CHS Project Abundance Spreadsheet.</t>
  </si>
  <si>
    <t>Recovery Plan - Table 6-11</t>
  </si>
  <si>
    <t>Recovery Plan - Table 6-12</t>
  </si>
  <si>
    <t>Recovery Plan - Table 6-15</t>
  </si>
  <si>
    <t>Recovery Plan - Table 6-16</t>
  </si>
  <si>
    <t>Ppoulation</t>
  </si>
  <si>
    <t>S. Santiam</t>
  </si>
  <si>
    <t>calculated 3 times delisting goal</t>
  </si>
  <si>
    <t>1 - delisting abundance goal (desired status)</t>
  </si>
  <si>
    <t>www.dfw.state.or.us/fish/HGMP/final.asp</t>
  </si>
  <si>
    <t>Mark Lewis used data from Willamette Chs project abundance estimates spreadsheets and found no diffences</t>
  </si>
  <si>
    <t>Mark Lewis used data from Willamette Chs project abundance estimates spreadsheets and found few diffences (340 in 2014) and Mark said use recoverytracker database</t>
  </si>
  <si>
    <t>Mark Lewis used data from Willamette Chs project abundance estimates spreadsheets and found few diffences (1,031 in 2014 &amp; 1,571 in 2015 &amp; 1,743 in 2016) and Mark said use recoverytracker database</t>
  </si>
  <si>
    <t>Mark Lewis used data from Willamette Chs project abundance estimates spreadsheets and found few diffences (60 in 2007 &amp; 189 in 2010 &amp; 167 in 2012 &amp; 54 in 2013 &amp; 84 in 2014) and Mark said use recoverytracker database</t>
  </si>
  <si>
    <t>HGMP - Sections 1.11.2 &amp; 1.11.2-1</t>
  </si>
  <si>
    <t>HGMP - Table 1.11.2-1</t>
  </si>
  <si>
    <t>HGMP - Sections 1.11.2</t>
  </si>
  <si>
    <t>HGMP - Sections 1.11.1</t>
  </si>
  <si>
    <t>Exclude releases of unfred fry, fingerlings and yearings nto Coast Fork Willamette to determine releases into Middle Fork Willamette (300k + 670K + 234k + 234k + 234k)</t>
  </si>
  <si>
    <t>Coast Fork Will</t>
  </si>
  <si>
    <t>Coast Fork Willamette Spring Chinook Salmon - Release information from other HGMPs</t>
  </si>
  <si>
    <t>HGMP - Section 1.11.2 &amp; Table 1.11.2-1</t>
  </si>
  <si>
    <t>3 - juvenile production identified in existing plan</t>
  </si>
  <si>
    <t>HGMP (Section 1.11.2) states must meet pHOS goal to increase production, can increase as early as 2021</t>
  </si>
  <si>
    <t>HGMP - Section 1.11.1</t>
  </si>
  <si>
    <t>Production included in HGMP for Middle Fork Willamette</t>
  </si>
  <si>
    <t>Mid Fork Will HGMP - Table 1.11.2-1</t>
  </si>
  <si>
    <t>Mid Fork Will HGMP - Table 1.11.2-1 and McKenzie HGMP - Section 1.11.2</t>
  </si>
  <si>
    <t>Molalla Spring Chinook Salmon - Covered by North Santiam Spring Chinook Salmon HGMP</t>
  </si>
  <si>
    <t>HGMP Section 1.4 &amp; Table 1.4-1</t>
  </si>
  <si>
    <t>Provided as poundage released not numbers of fish released.  Ryan Coture (ODFW) says future plans are for 100,000</t>
  </si>
  <si>
    <t>Molalla Release Numbers</t>
  </si>
  <si>
    <t>2010-2017</t>
  </si>
  <si>
    <t>1 - juvenile production identified in existing plans and           3 - juvenile production identified in existing plan</t>
  </si>
  <si>
    <t>ODFW Hatchery Management Database</t>
  </si>
  <si>
    <t>Not available on a public website</t>
  </si>
  <si>
    <t>received data in email from Jim Brick with ODFW, copied information provided into hatchery page</t>
  </si>
  <si>
    <t>HGMP - Section 1.11.2</t>
  </si>
  <si>
    <t>Data provided by Ryan Coture with ODFW, data incluided in hatchery spreadsheet page</t>
  </si>
  <si>
    <t>Waterbody Name</t>
  </si>
  <si>
    <t>Species</t>
  </si>
  <si>
    <t>Releasing Hatchery</t>
  </si>
  <si>
    <t>Smolt</t>
  </si>
  <si>
    <t>MCKENZIE R-1 (below Leaburg Dam)</t>
  </si>
  <si>
    <t>23H</t>
  </si>
  <si>
    <t>MCKENZIE</t>
  </si>
  <si>
    <t>MOLALLA R</t>
  </si>
  <si>
    <t>21H</t>
  </si>
  <si>
    <t>TROUT CR ACC</t>
  </si>
  <si>
    <t>MOSBY CR</t>
  </si>
  <si>
    <t>22</t>
  </si>
  <si>
    <t>WILLAMETTE</t>
  </si>
  <si>
    <t>SANTIAM R &amp; N FK-1</t>
  </si>
  <si>
    <t>21</t>
  </si>
  <si>
    <t>MINTO PONDS</t>
  </si>
  <si>
    <t>SANTIAM R, S FK</t>
  </si>
  <si>
    <t>24</t>
  </si>
  <si>
    <t>SOUTH SANTIAM</t>
  </si>
  <si>
    <t>24H</t>
  </si>
  <si>
    <t>WILLAMETTE R CST FK</t>
  </si>
  <si>
    <t>WILLAMETTE R, MID FK-1</t>
  </si>
  <si>
    <t>DEXTER PONDS</t>
  </si>
  <si>
    <t>22H</t>
  </si>
  <si>
    <t>RELEASES FOR 2015</t>
  </si>
  <si>
    <t>ROW R (WILLAMETTE R CST FK)</t>
  </si>
  <si>
    <t>RELEASES FOR 2016</t>
  </si>
  <si>
    <t>RELEASES FOR 2017</t>
  </si>
  <si>
    <t>RELEASES FOR 2018</t>
  </si>
  <si>
    <t>Molalla River Spring ChInook Releases - ODFW Hatchery Database</t>
  </si>
  <si>
    <t>10-year average</t>
  </si>
  <si>
    <t>run reconstruction, dam counts, harvest estimates, sea lion mortalities</t>
  </si>
  <si>
    <t>Total Return (hatchery)</t>
  </si>
  <si>
    <t>Local Return (wild/natural)</t>
  </si>
  <si>
    <t>Total Return (wild/natural)</t>
  </si>
  <si>
    <t>Col R Mouth</t>
  </si>
  <si>
    <t>Willamette Falls counts</t>
  </si>
  <si>
    <t>Willamette Falls Fish Count Database</t>
  </si>
  <si>
    <t>Local Return (hatchery)</t>
  </si>
  <si>
    <t>Harvest (wild/natural)</t>
  </si>
  <si>
    <t>Col &amp; Will mainstem</t>
  </si>
  <si>
    <t>statistical creel estimates wild fish encounters and visual stock identification and CWT's and fish tickets, on-board monitoriong, sampling landed catch and visual stock identification and CWT's</t>
  </si>
  <si>
    <t>Harvest (hatchery)</t>
  </si>
  <si>
    <t>statistical creel and fish tickets and sampling landed catch</t>
  </si>
  <si>
    <t>Total Return (% hatchery)</t>
  </si>
  <si>
    <t>Local Return (% hatchery)</t>
  </si>
  <si>
    <t>Harvest (% hatchery)</t>
  </si>
  <si>
    <t>kept catch</t>
  </si>
  <si>
    <t>Life History: Spring Run, Stream type rearing</t>
  </si>
  <si>
    <t>Anticipated</t>
  </si>
  <si>
    <t>Recent</t>
  </si>
  <si>
    <t>Potential</t>
  </si>
  <si>
    <t>Conservation Assessment Tool for Anadromous Salmonids (CATAS) population viability model</t>
  </si>
  <si>
    <t>Anticipated production</t>
  </si>
  <si>
    <t>1 - broad sense goal identified in existing plan</t>
  </si>
  <si>
    <t>2 - current harvest rate limits</t>
  </si>
  <si>
    <t>CBP Recommendations Report -Chapter 8, Table 3 &amp; Box 10-2</t>
  </si>
  <si>
    <t>https://www.westcoast.fisheries.noaa.gov/columbia_river/index.html</t>
  </si>
  <si>
    <t>continue current goal</t>
  </si>
  <si>
    <t>increased releases begin 2020</t>
  </si>
  <si>
    <t>Releases into the Coast Fork Willamette River include 267,000 smolts reared at Willamette Hatchery (Middle Fork Willamette HGMP - continuation of existing program) and reared at 261,000 smolts  reared at Leaburg Hatchery (McKenzie HGMP - increase in prodcution) begining in 2020.</t>
  </si>
  <si>
    <t>new goal included in 2016 HGMP</t>
  </si>
  <si>
    <t>new goal included in 2018 HGMP</t>
  </si>
  <si>
    <t>ODFW run reconstruction data base</t>
  </si>
  <si>
    <t>professional judgement and knowledge of CBP Project Team in consultation with regional team members</t>
  </si>
  <si>
    <t>Harvest rates based on harvest rates typically sustained by healthy stock, depending on life history type.  High-range potential rates calibrated downward slightly for stocks harvested in mixed stock fisheries.</t>
  </si>
  <si>
    <t>statistical creel estimates, wild fish encounters and visual stock identification and CWT's</t>
  </si>
  <si>
    <t>statistical creel estimates, wild fish encounters</t>
  </si>
  <si>
    <t>Harvest (Col basin)</t>
  </si>
  <si>
    <t>Harvest (Total)</t>
  </si>
  <si>
    <t>Avg (v ocn)</t>
  </si>
  <si>
    <t>Avg (v CR)</t>
  </si>
  <si>
    <t>Natural Spawners</t>
  </si>
  <si>
    <t>Proportion Natural Origin</t>
  </si>
  <si>
    <t>avg</t>
  </si>
  <si>
    <t>Natural Spawn</t>
  </si>
  <si>
    <t>Returns *</t>
  </si>
  <si>
    <t>* Assume hatchery returns are 100% hatchery origin</t>
  </si>
  <si>
    <t>hatchery returns from Joint Staff</t>
  </si>
  <si>
    <t>% hatchery from recovery tracker</t>
  </si>
  <si>
    <t>Willamette Falls Fish Counts</t>
  </si>
  <si>
    <t>Data from ODFW Willamette Falls Fish Counts database</t>
  </si>
  <si>
    <t>For 2008-2011 estimates of number clipped based on average proportions observered during 2012-2018.  Prior to 2012 counts of clipped and unclipped spring chinook were not recorded</t>
  </si>
  <si>
    <t>Clip</t>
  </si>
  <si>
    <t>Mortalities Below Willamette Falls</t>
  </si>
  <si>
    <t>Unclip and clip estimates based on unclip and clip proportions observedat Willamette Falls (Columns EY &amp; EZ)</t>
  </si>
  <si>
    <t>Data from Mark Lewis with ODFW, ODFW Recovery Tracker database or 2016 FMEP</t>
  </si>
  <si>
    <t xml:space="preserve">Harvest </t>
  </si>
  <si>
    <t>Rel. Mortalities</t>
  </si>
  <si>
    <t>Run Entering Clackamas</t>
  </si>
  <si>
    <t>Data from 2016 FMEP</t>
  </si>
  <si>
    <t>Used Catch Record cards because Joint Staff Report includes jacks</t>
  </si>
  <si>
    <t>Will. Falls Counts</t>
  </si>
  <si>
    <t>Clackamas Return</t>
  </si>
  <si>
    <t>Total Run Size</t>
  </si>
  <si>
    <t>Run Entering Willamette River</t>
  </si>
  <si>
    <t>Willamette Return</t>
  </si>
  <si>
    <t>Comm. Harvest</t>
  </si>
  <si>
    <t>Sport Harvest</t>
  </si>
  <si>
    <t>Run Entering Columbia River</t>
  </si>
  <si>
    <t>Data for Willamette Falls Counts from ODFW Fish Counts database, for Clackamas Run Size from 2016 FMEP and for fisheries from Big Sheets provided by Geoff Whisler with ODFW</t>
  </si>
  <si>
    <t>Data from Big Sheets provided by Geoff Whisler with ODFW</t>
  </si>
  <si>
    <t>Data from Catch Record Cards for Hatchery and 2016 FMEP for Sport (see fishery tab)</t>
  </si>
  <si>
    <t>Harvest data from Big Sheets provide by Geoff Whisler with ODFW (see Fishery Tab)</t>
  </si>
  <si>
    <t>Data from Mark Lewis with ODFW, ODFW Recovery Tracker Database and 2019 Joint Staff Report (see Fishery Tab)</t>
  </si>
  <si>
    <t>Data from other portions of Run Tab for this spreadsheet</t>
  </si>
  <si>
    <t>U. Will. Sport</t>
  </si>
  <si>
    <t>Clack. Sport</t>
  </si>
  <si>
    <t>L. Will. Sport</t>
  </si>
  <si>
    <t>L. Col. Comm.</t>
  </si>
  <si>
    <t>Columbia Basin Harvest Summary (top) and Harvest Rate Calculations (bottom)</t>
  </si>
  <si>
    <t>Data from PSC database</t>
  </si>
  <si>
    <t>Est</t>
  </si>
  <si>
    <t>AABM Fishery</t>
  </si>
  <si>
    <t>ISBM Fishery</t>
  </si>
  <si>
    <t>Terminal Fishery</t>
  </si>
  <si>
    <t>Esc</t>
  </si>
  <si>
    <t>2006-2015 avg</t>
  </si>
  <si>
    <t>Alaska</t>
  </si>
  <si>
    <t>US</t>
  </si>
  <si>
    <t>Harvest Rates</t>
  </si>
  <si>
    <t>Ak</t>
  </si>
  <si>
    <t>Can</t>
  </si>
  <si>
    <t>Tot</t>
  </si>
  <si>
    <t>Col R.</t>
  </si>
  <si>
    <t>AK</t>
  </si>
  <si>
    <t>avg (2008-2015)</t>
  </si>
  <si>
    <t>Ocean Harvest Rates (top table from PSC) and Harvest Calculations (below PSC table)</t>
  </si>
  <si>
    <t>Havest Rates vs Ocean Abundance</t>
  </si>
  <si>
    <t>Havest Rates vs Columbia River Abundance</t>
  </si>
  <si>
    <t>20-60%</t>
  </si>
  <si>
    <t>blue shaded cells are user inputs (should link to values identified elsewhere in workbook)</t>
  </si>
  <si>
    <t>No. of spawners</t>
  </si>
  <si>
    <t>Natl loss rate convertion to escape</t>
  </si>
  <si>
    <t>Freshwater fishery harvest</t>
  </si>
  <si>
    <t>Freshwater fishery impact rate (v Col R)</t>
  </si>
  <si>
    <t>Columia River run</t>
  </si>
  <si>
    <t>Ocean fishery impact rate (v ocn)</t>
  </si>
  <si>
    <t>Ocean harvest</t>
  </si>
  <si>
    <t>Ocean abundance</t>
  </si>
  <si>
    <t>Total harvest</t>
  </si>
  <si>
    <t>Total explitation rate (v ocn)</t>
  </si>
  <si>
    <t>target exploitation rate (v ocn)</t>
  </si>
  <si>
    <t>target freshwater exploitation rate (v col R)</t>
  </si>
  <si>
    <t>Current (inputs)</t>
  </si>
  <si>
    <t>Current (derived)</t>
  </si>
  <si>
    <t>Medium goal</t>
  </si>
  <si>
    <t>Hatchery releases</t>
  </si>
  <si>
    <t>SAR (to Col R)</t>
  </si>
  <si>
    <t>No. escaping</t>
  </si>
  <si>
    <t>Columbia Basin Harvest</t>
  </si>
  <si>
    <t>changed to match goal summary table</t>
  </si>
  <si>
    <t>million</t>
  </si>
  <si>
    <t>Recent avg</t>
  </si>
  <si>
    <t>(2008-2017)</t>
  </si>
  <si>
    <t>≤70%</t>
  </si>
  <si>
    <t>adults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</si>
</sst>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
    <numFmt numFmtId="165" formatCode="0.000"/>
    <numFmt numFmtId="166" formatCode="0.0"/>
    <numFmt numFmtId="167" formatCode="#,##0.000"/>
    <numFmt numFmtId="168" formatCode="0.0000"/>
    <numFmt numFmtId="169" formatCode="[$-10409]#,##0;\(#,##0\)"/>
    <numFmt numFmtId="170" formatCode="_(* #,##0_);_(* \(#,##0\);_(* &quot;-&quot;??_);_(@_)"/>
    <numFmt numFmtId="171" formatCode="#,##0.0"/>
  </numFmts>
  <fonts count="54" x14ac:knownFonts="1">
    <font>
      <sz val="11"/>
      <color theme="1"/>
      <name val="Calibri"/>
      <family val="2"/>
      <scheme val="minor"/>
    </font>
    <font>
      <sz val="11"/>
      <color rgb="FF000000"/>
      <name val="Calibri"/>
      <family val="2"/>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sz val="11"/>
      <name val="Calibri"/>
      <family val="2"/>
      <scheme val="minor"/>
    </font>
    <font>
      <b/>
      <i/>
      <sz val="11"/>
      <color theme="1"/>
      <name val="Calibri"/>
      <family val="2"/>
      <scheme val="minor"/>
    </font>
    <font>
      <b/>
      <sz val="8"/>
      <color indexed="81"/>
      <name val="Tahoma"/>
      <family val="2"/>
    </font>
    <font>
      <b/>
      <sz val="14"/>
      <color theme="1"/>
      <name val="Calibri"/>
      <family val="2"/>
      <scheme val="minor"/>
    </font>
    <font>
      <i/>
      <sz val="11"/>
      <color rgb="FF000000"/>
      <name val="Calibri"/>
      <family val="2"/>
      <scheme val="minor"/>
    </font>
    <font>
      <b/>
      <sz val="11"/>
      <color rgb="FF000000"/>
      <name val="Calibri"/>
      <family val="2"/>
    </font>
    <font>
      <sz val="10"/>
      <name val="Times New Roman"/>
      <family val="1"/>
      <charset val="204"/>
    </font>
    <font>
      <sz val="9"/>
      <color indexed="8"/>
      <name val="Arial"/>
      <family val="2"/>
    </font>
    <font>
      <sz val="9"/>
      <color indexed="8"/>
      <name val="Times New Roman"/>
      <family val="2"/>
    </font>
    <font>
      <sz val="6"/>
      <color indexed="8"/>
      <name val="Times New Roman"/>
      <family val="1"/>
      <charset val="204"/>
    </font>
    <font>
      <sz val="9"/>
      <color indexed="8"/>
      <name val="Times New Roman"/>
      <family val="1"/>
      <charset val="204"/>
    </font>
    <font>
      <sz val="9"/>
      <color indexed="8"/>
      <name val="Arial Narrow"/>
      <family val="2"/>
    </font>
    <font>
      <sz val="10"/>
      <color indexed="8"/>
      <name val="Arial"/>
      <family val="2"/>
    </font>
    <font>
      <sz val="7"/>
      <color indexed="8"/>
      <name val="Times New Roman"/>
      <family val="2"/>
    </font>
    <font>
      <b/>
      <sz val="9"/>
      <color rgb="FF000000"/>
      <name val="Arial"/>
      <family val="2"/>
    </font>
    <font>
      <sz val="12"/>
      <color rgb="FF000000"/>
      <name val="Arial"/>
      <family val="2"/>
    </font>
    <font>
      <i/>
      <sz val="9"/>
      <color indexed="8"/>
      <name val="Arial"/>
      <family val="2"/>
    </font>
    <font>
      <i/>
      <sz val="6"/>
      <color indexed="8"/>
      <name val="Times New Roman"/>
      <family val="1"/>
      <charset val="204"/>
    </font>
    <font>
      <i/>
      <sz val="9"/>
      <color indexed="8"/>
      <name val="Times New Roman"/>
      <family val="2"/>
    </font>
    <font>
      <sz val="10"/>
      <color theme="1"/>
      <name val="Calibri"/>
      <family val="2"/>
      <scheme val="minor"/>
    </font>
    <font>
      <b/>
      <sz val="10"/>
      <color indexed="8"/>
      <name val="Arial"/>
      <family val="2"/>
    </font>
    <font>
      <b/>
      <u/>
      <sz val="10"/>
      <color indexed="8"/>
      <name val="Arial"/>
      <family val="1"/>
      <charset val="204"/>
    </font>
    <font>
      <b/>
      <sz val="10"/>
      <color indexed="8"/>
      <name val="Arial"/>
      <family val="1"/>
      <charset val="204"/>
    </font>
    <font>
      <sz val="10"/>
      <color indexed="8"/>
      <name val="Arial"/>
      <family val="1"/>
      <charset val="204"/>
    </font>
    <font>
      <b/>
      <i/>
      <sz val="10"/>
      <color indexed="8"/>
      <name val="Arial"/>
      <family val="1"/>
      <charset val="204"/>
    </font>
    <font>
      <sz val="10"/>
      <color indexed="8"/>
      <name val="Calibri"/>
      <family val="2"/>
    </font>
    <font>
      <b/>
      <sz val="9"/>
      <color indexed="81"/>
      <name val="Tahoma"/>
      <family val="2"/>
    </font>
    <font>
      <b/>
      <u/>
      <sz val="9"/>
      <color indexed="81"/>
      <name val="Tahoma"/>
      <family val="2"/>
    </font>
    <font>
      <sz val="12"/>
      <color theme="1"/>
      <name val="Calibri"/>
      <family val="2"/>
      <scheme val="minor"/>
    </font>
    <font>
      <b/>
      <sz val="10"/>
      <color rgb="FF104E8B"/>
      <name val="Arial"/>
      <family val="2"/>
    </font>
    <font>
      <b/>
      <sz val="10"/>
      <color rgb="FF333333"/>
      <name val="Arial"/>
      <family val="2"/>
    </font>
    <font>
      <b/>
      <sz val="12"/>
      <color theme="1"/>
      <name val="Calibri"/>
      <family val="2"/>
      <scheme val="minor"/>
    </font>
    <font>
      <sz val="9"/>
      <color rgb="FF000000"/>
      <name val="Tahoma"/>
      <family val="2"/>
    </font>
    <font>
      <sz val="9"/>
      <color indexed="8"/>
      <name val="Calibri"/>
      <family val="2"/>
      <scheme val="minor"/>
    </font>
    <font>
      <sz val="11"/>
      <color indexed="8"/>
      <name val="Calibri"/>
      <family val="2"/>
      <scheme val="minor"/>
    </font>
    <font>
      <sz val="14"/>
      <color theme="1"/>
      <name val="Calibri"/>
      <family val="2"/>
      <scheme val="minor"/>
    </font>
    <font>
      <sz val="11"/>
      <color rgb="FF006100"/>
      <name val="Calibri"/>
      <family val="2"/>
      <scheme val="minor"/>
    </font>
    <font>
      <sz val="11"/>
      <color rgb="FF9C0006"/>
      <name val="Calibri"/>
      <family val="2"/>
      <scheme val="minor"/>
    </font>
    <font>
      <sz val="9"/>
      <color indexed="81"/>
      <name val="Tahoma"/>
      <family val="2"/>
    </font>
    <font>
      <sz val="11"/>
      <color rgb="FF1F497D"/>
      <name val="Calibri"/>
      <family val="2"/>
    </font>
    <font>
      <b/>
      <sz val="10"/>
      <color rgb="FF000000"/>
      <name val="Arial"/>
      <family val="2"/>
    </font>
    <font>
      <sz val="11"/>
      <name val="Calibri"/>
      <family val="2"/>
    </font>
    <font>
      <sz val="10"/>
      <color rgb="FF000000"/>
      <name val="Arial"/>
      <family val="2"/>
    </font>
    <font>
      <sz val="10"/>
      <color rgb="FFFF0000"/>
      <name val="Calibri"/>
      <family val="2"/>
      <scheme val="minor"/>
    </font>
    <font>
      <b/>
      <sz val="11"/>
      <name val="Calibri"/>
      <family val="2"/>
      <scheme val="minor"/>
    </font>
    <font>
      <sz val="9"/>
      <color rgb="FFFF0000"/>
      <name val="Arial"/>
      <family val="2"/>
    </font>
    <font>
      <sz val="10"/>
      <color rgb="FFFF0000"/>
      <name val="Times New Roman"/>
      <family val="1"/>
      <charset val="204"/>
    </font>
  </fonts>
  <fills count="31">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rgb="FFC0C0C0"/>
        <bgColor indexed="64"/>
      </patternFill>
    </fill>
    <fill>
      <patternFill patternType="solid">
        <fgColor rgb="FFBEBEBE"/>
        <bgColor indexed="64"/>
      </patternFill>
    </fill>
    <fill>
      <patternFill patternType="solid">
        <fgColor rgb="FFD9D9D9"/>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rgb="FFBFEFFF"/>
        <bgColor indexed="64"/>
      </patternFill>
    </fill>
    <fill>
      <patternFill patternType="solid">
        <fgColor rgb="FFFCFCFC"/>
        <bgColor indexed="64"/>
      </patternFill>
    </fill>
    <fill>
      <patternFill patternType="solid">
        <fgColor rgb="FFEBEBEB"/>
        <bgColor indexed="64"/>
      </patternFill>
    </fill>
    <fill>
      <patternFill patternType="solid">
        <fgColor rgb="FFFFFFFF"/>
        <bgColor indexed="64"/>
      </patternFill>
    </fill>
    <fill>
      <patternFill patternType="solid">
        <fgColor rgb="FFF2F2F2"/>
        <bgColor indexed="64"/>
      </patternFill>
    </fill>
    <fill>
      <patternFill patternType="solid">
        <fgColor rgb="FFC6EFCE"/>
      </patternFill>
    </fill>
    <fill>
      <patternFill patternType="solid">
        <fgColor rgb="FFFFC7CE"/>
      </patternFill>
    </fill>
    <fill>
      <patternFill patternType="solid">
        <fgColor rgb="FFE0FFFF"/>
        <bgColor rgb="FFE0FFFF"/>
      </patternFill>
    </fill>
    <fill>
      <patternFill patternType="solid">
        <fgColor rgb="FFFDF5E6"/>
        <bgColor rgb="FFFDF5E6"/>
      </patternFill>
    </fill>
    <fill>
      <patternFill patternType="solid">
        <fgColor rgb="FFFFC000"/>
        <bgColor indexed="64"/>
      </patternFill>
    </fill>
    <fill>
      <patternFill patternType="solid">
        <fgColor rgb="FF92D050"/>
        <bgColor indexed="64"/>
      </patternFill>
    </fill>
    <fill>
      <patternFill patternType="solid">
        <fgColor theme="8"/>
        <bgColor indexed="64"/>
      </patternFill>
    </fill>
    <fill>
      <patternFill patternType="solid">
        <fgColor rgb="FF44A16A"/>
        <bgColor indexed="64"/>
      </patternFill>
    </fill>
    <fill>
      <patternFill patternType="solid">
        <fgColor theme="9" tint="0.59999389629810485"/>
        <bgColor indexed="64"/>
      </patternFill>
    </fill>
    <fill>
      <patternFill patternType="solid">
        <fgColor rgb="FFC0E6CF"/>
        <bgColor indexed="64"/>
      </patternFill>
    </fill>
    <fill>
      <patternFill patternType="solid">
        <fgColor rgb="FFD5EFE0"/>
        <bgColor indexed="64"/>
      </patternFill>
    </fill>
  </fills>
  <borders count="61">
    <border>
      <left/>
      <right/>
      <top/>
      <bottom/>
      <diagonal/>
    </border>
    <border>
      <left/>
      <right/>
      <top style="medium">
        <color indexed="64"/>
      </top>
      <bottom style="medium">
        <color rgb="FF000000"/>
      </bottom>
      <diagonal/>
    </border>
    <border>
      <left style="medium">
        <color indexed="64"/>
      </left>
      <right/>
      <top style="medium">
        <color indexed="64"/>
      </top>
      <bottom style="medium">
        <color rgb="FF000000"/>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medium">
        <color rgb="FF000000"/>
      </bottom>
      <diagonal/>
    </border>
    <border>
      <left style="thin">
        <color rgb="FF000000"/>
      </left>
      <right style="thin">
        <color rgb="FF000000"/>
      </right>
      <top/>
      <bottom/>
      <diagonal/>
    </border>
    <border>
      <left/>
      <right style="thin">
        <color rgb="FF000000"/>
      </right>
      <top/>
      <bottom/>
      <diagonal/>
    </border>
    <border>
      <left/>
      <right/>
      <top/>
      <bottom style="thin">
        <color rgb="FF000000"/>
      </bottom>
      <diagonal/>
    </border>
    <border>
      <left style="thin">
        <color rgb="FF000000"/>
      </left>
      <right style="thin">
        <color rgb="FF000000"/>
      </right>
      <top/>
      <bottom style="thin">
        <color rgb="FFD9D9D9"/>
      </bottom>
      <diagonal/>
    </border>
    <border>
      <left style="thin">
        <color rgb="FF000000"/>
      </left>
      <right/>
      <top/>
      <bottom style="thin">
        <color rgb="FFD9D9D9"/>
      </bottom>
      <diagonal/>
    </border>
    <border>
      <left/>
      <right/>
      <top/>
      <bottom style="thin">
        <color rgb="FFD9D9D9"/>
      </bottom>
      <diagonal/>
    </border>
    <border>
      <left/>
      <right style="thin">
        <color rgb="FF000000"/>
      </right>
      <top/>
      <bottom style="thin">
        <color rgb="FFD9D9D9"/>
      </bottom>
      <diagonal/>
    </border>
    <border>
      <left style="medium">
        <color rgb="FFBDBDBD"/>
      </left>
      <right style="medium">
        <color rgb="FFBDBDBD"/>
      </right>
      <top style="medium">
        <color rgb="FFBDBDBD"/>
      </top>
      <bottom style="medium">
        <color rgb="FFBDBDBD"/>
      </bottom>
      <diagonal/>
    </border>
    <border>
      <left style="medium">
        <color rgb="FFCBCBCB"/>
      </left>
      <right/>
      <top/>
      <bottom/>
      <diagonal/>
    </border>
    <border>
      <left style="medium">
        <color rgb="FFCBCBCB"/>
      </left>
      <right/>
      <top/>
      <bottom style="medium">
        <color rgb="FFCBCBCB"/>
      </bottom>
      <diagonal/>
    </border>
    <border>
      <left style="thin">
        <color indexed="64"/>
      </left>
      <right style="thin">
        <color indexed="64"/>
      </right>
      <top style="thin">
        <color indexed="64"/>
      </top>
      <bottom style="thin">
        <color indexed="64"/>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style="thin">
        <color rgb="FFD3D3D3"/>
      </top>
      <bottom/>
      <diagonal/>
    </border>
    <border>
      <left style="thin">
        <color rgb="FFD3D3D3"/>
      </left>
      <right style="thin">
        <color rgb="FFD3D3D3"/>
      </right>
      <top/>
      <bottom style="thin">
        <color rgb="FFD3D3D3"/>
      </bottom>
      <diagonal/>
    </border>
    <border>
      <left style="thin">
        <color rgb="FFD3D3D3"/>
      </left>
      <right style="thin">
        <color rgb="FFD3D3D3"/>
      </right>
      <top/>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right/>
      <top/>
      <bottom style="medium">
        <color indexed="64"/>
      </bottom>
      <diagonal/>
    </border>
  </borders>
  <cellStyleXfs count="5">
    <xf numFmtId="0" fontId="0" fillId="0" borderId="0"/>
    <xf numFmtId="9" fontId="2" fillId="0" borderId="0" applyFont="0" applyFill="0" applyBorder="0" applyAlignment="0" applyProtection="0"/>
    <xf numFmtId="0" fontId="43" fillId="20" borderId="0" applyNumberFormat="0" applyBorder="0" applyAlignment="0" applyProtection="0"/>
    <xf numFmtId="0" fontId="44" fillId="21" borderId="0" applyNumberFormat="0" applyBorder="0" applyAlignment="0" applyProtection="0"/>
    <xf numFmtId="43" fontId="2" fillId="0" borderId="0" applyFont="0" applyFill="0" applyBorder="0" applyAlignment="0" applyProtection="0"/>
  </cellStyleXfs>
  <cellXfs count="541">
    <xf numFmtId="0" fontId="0" fillId="0" borderId="0" xfId="0"/>
    <xf numFmtId="0" fontId="1" fillId="0" borderId="5" xfId="0" applyFont="1" applyBorder="1" applyAlignment="1">
      <alignment vertical="center"/>
    </xf>
    <xf numFmtId="0" fontId="1" fillId="0" borderId="3" xfId="0" applyFont="1" applyBorder="1" applyAlignment="1">
      <alignment horizontal="right" vertical="center"/>
    </xf>
    <xf numFmtId="0" fontId="1" fillId="0" borderId="0" xfId="0" applyFont="1" applyAlignment="1">
      <alignment horizontal="right" vertical="center"/>
    </xf>
    <xf numFmtId="3" fontId="1" fillId="0" borderId="0" xfId="0" applyNumberFormat="1" applyFont="1" applyAlignment="1">
      <alignment horizontal="right" vertical="center"/>
    </xf>
    <xf numFmtId="0" fontId="0" fillId="2" borderId="0" xfId="0" applyFill="1"/>
    <xf numFmtId="0" fontId="4" fillId="4" borderId="8" xfId="0" applyFont="1" applyFill="1" applyBorder="1" applyAlignment="1">
      <alignment horizontal="centerContinuous"/>
    </xf>
    <xf numFmtId="0" fontId="4" fillId="3" borderId="15" xfId="0" applyFont="1" applyFill="1" applyBorder="1" applyAlignment="1">
      <alignment horizontal="center" vertical="center"/>
    </xf>
    <xf numFmtId="0" fontId="4" fillId="3" borderId="14" xfId="0" applyFont="1" applyFill="1" applyBorder="1" applyAlignment="1">
      <alignment horizontal="center" vertical="center"/>
    </xf>
    <xf numFmtId="0" fontId="4" fillId="5" borderId="13" xfId="0" applyFont="1" applyFill="1" applyBorder="1"/>
    <xf numFmtId="0" fontId="4" fillId="5" borderId="14" xfId="0" applyFont="1" applyFill="1" applyBorder="1"/>
    <xf numFmtId="0" fontId="4" fillId="5" borderId="14" xfId="0" applyFont="1" applyFill="1" applyBorder="1" applyAlignment="1">
      <alignment horizontal="center"/>
    </xf>
    <xf numFmtId="0" fontId="4" fillId="5" borderId="15" xfId="0" applyFont="1" applyFill="1" applyBorder="1" applyAlignment="1">
      <alignment horizontal="center"/>
    </xf>
    <xf numFmtId="0" fontId="7" fillId="0" borderId="11" xfId="0" applyFont="1" applyBorder="1"/>
    <xf numFmtId="0" fontId="0" fillId="0" borderId="0" xfId="0" quotePrefix="1" applyAlignment="1">
      <alignment horizontal="center"/>
    </xf>
    <xf numFmtId="3" fontId="0" fillId="0" borderId="0" xfId="0" applyNumberFormat="1" applyAlignment="1">
      <alignment horizontal="center"/>
    </xf>
    <xf numFmtId="0" fontId="0" fillId="0" borderId="11" xfId="0" applyBorder="1"/>
    <xf numFmtId="0" fontId="0" fillId="0" borderId="0" xfId="0" applyAlignment="1">
      <alignment horizontal="center" vertical="center"/>
    </xf>
    <xf numFmtId="3" fontId="0" fillId="0" borderId="0" xfId="0" quotePrefix="1" applyNumberFormat="1" applyAlignment="1">
      <alignment horizontal="center"/>
    </xf>
    <xf numFmtId="3" fontId="0" fillId="0" borderId="14" xfId="0" applyNumberFormat="1" applyBorder="1"/>
    <xf numFmtId="0" fontId="8" fillId="5" borderId="8" xfId="0" applyFont="1" applyFill="1" applyBorder="1"/>
    <xf numFmtId="164" fontId="8" fillId="5" borderId="9" xfId="1" applyNumberFormat="1" applyFont="1" applyFill="1" applyBorder="1" applyAlignment="1">
      <alignment horizontal="center"/>
    </xf>
    <xf numFmtId="164" fontId="8" fillId="5" borderId="9" xfId="0" applyNumberFormat="1" applyFont="1" applyFill="1" applyBorder="1" applyAlignment="1">
      <alignment horizontal="center"/>
    </xf>
    <xf numFmtId="3" fontId="4" fillId="5" borderId="9" xfId="0" applyNumberFormat="1" applyFont="1" applyFill="1" applyBorder="1" applyAlignment="1">
      <alignment horizontal="center"/>
    </xf>
    <xf numFmtId="0" fontId="7" fillId="0" borderId="16" xfId="0" applyFont="1" applyBorder="1"/>
    <xf numFmtId="0" fontId="0" fillId="0" borderId="17" xfId="0" applyBorder="1"/>
    <xf numFmtId="0" fontId="0" fillId="0" borderId="14" xfId="0" applyBorder="1"/>
    <xf numFmtId="0" fontId="4" fillId="0" borderId="16" xfId="0" quotePrefix="1" applyFont="1" applyBorder="1" applyAlignment="1">
      <alignment horizontal="left"/>
    </xf>
    <xf numFmtId="3" fontId="0" fillId="0" borderId="12" xfId="0" applyNumberFormat="1" applyBorder="1" applyAlignment="1">
      <alignment horizontal="center"/>
    </xf>
    <xf numFmtId="0" fontId="4" fillId="7" borderId="8" xfId="0" applyFont="1" applyFill="1" applyBorder="1"/>
    <xf numFmtId="0" fontId="0" fillId="7" borderId="10" xfId="0" applyFill="1" applyBorder="1"/>
    <xf numFmtId="0" fontId="6" fillId="8" borderId="17" xfId="0" applyFont="1" applyFill="1" applyBorder="1" applyAlignment="1">
      <alignment horizontal="centerContinuous"/>
    </xf>
    <xf numFmtId="0" fontId="4" fillId="8" borderId="17" xfId="0" applyFont="1" applyFill="1" applyBorder="1" applyAlignment="1">
      <alignment horizontal="centerContinuous"/>
    </xf>
    <xf numFmtId="0" fontId="4" fillId="8" borderId="18" xfId="0" applyFont="1" applyFill="1" applyBorder="1" applyAlignment="1">
      <alignment horizontal="center"/>
    </xf>
    <xf numFmtId="0" fontId="4" fillId="0" borderId="11" xfId="0" applyFont="1" applyBorder="1"/>
    <xf numFmtId="0" fontId="3" fillId="0" borderId="0" xfId="0" applyFont="1" applyAlignment="1">
      <alignment horizontal="center"/>
    </xf>
    <xf numFmtId="0" fontId="4" fillId="8" borderId="13" xfId="0" applyFont="1" applyFill="1" applyBorder="1"/>
    <xf numFmtId="0" fontId="4" fillId="8" borderId="14" xfId="0" applyFont="1" applyFill="1" applyBorder="1"/>
    <xf numFmtId="0" fontId="4" fillId="8" borderId="14" xfId="0" applyFont="1" applyFill="1" applyBorder="1" applyAlignment="1">
      <alignment horizontal="center"/>
    </xf>
    <xf numFmtId="0" fontId="0" fillId="0" borderId="13" xfId="0" applyBorder="1"/>
    <xf numFmtId="9" fontId="0" fillId="0" borderId="14" xfId="1" applyFont="1" applyBorder="1" applyAlignment="1">
      <alignment horizontal="center"/>
    </xf>
    <xf numFmtId="9" fontId="0" fillId="0" borderId="15" xfId="1" applyFont="1" applyBorder="1" applyAlignment="1">
      <alignment horizontal="center"/>
    </xf>
    <xf numFmtId="0" fontId="5" fillId="0" borderId="0" xfId="0" applyFont="1"/>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4" xfId="0" applyFont="1" applyBorder="1" applyAlignment="1">
      <alignment horizontal="right" vertical="center"/>
    </xf>
    <xf numFmtId="0" fontId="1" fillId="0" borderId="6" xfId="0" applyFont="1" applyBorder="1" applyAlignment="1">
      <alignment horizontal="right" vertical="center"/>
    </xf>
    <xf numFmtId="3" fontId="1" fillId="0" borderId="6" xfId="0" applyNumberFormat="1" applyFont="1" applyBorder="1" applyAlignment="1">
      <alignment horizontal="right" vertical="center"/>
    </xf>
    <xf numFmtId="0" fontId="1" fillId="0" borderId="7" xfId="0" applyFont="1" applyBorder="1" applyAlignment="1">
      <alignment horizontal="right" vertical="center"/>
    </xf>
    <xf numFmtId="0" fontId="11" fillId="0" borderId="0" xfId="0" applyFont="1" applyAlignment="1">
      <alignment vertical="center"/>
    </xf>
    <xf numFmtId="0" fontId="12" fillId="0" borderId="23" xfId="0" applyFont="1" applyBorder="1" applyAlignment="1">
      <alignment vertical="center" wrapText="1"/>
    </xf>
    <xf numFmtId="0" fontId="12" fillId="0" borderId="24" xfId="0" applyFont="1" applyBorder="1" applyAlignment="1">
      <alignment vertical="center" wrapText="1"/>
    </xf>
    <xf numFmtId="0" fontId="12" fillId="0" borderId="24" xfId="0" applyFont="1" applyBorder="1" applyAlignment="1">
      <alignment horizontal="center" vertical="center" wrapText="1"/>
    </xf>
    <xf numFmtId="0" fontId="1" fillId="0" borderId="0" xfId="0" applyFont="1" applyAlignment="1">
      <alignment horizontal="left" vertical="center" wrapText="1"/>
    </xf>
    <xf numFmtId="0" fontId="13" fillId="0" borderId="0" xfId="0" applyFont="1" applyAlignment="1">
      <alignment vertical="top" wrapText="1"/>
    </xf>
    <xf numFmtId="0" fontId="15" fillId="0" borderId="30" xfId="0" applyFont="1" applyBorder="1" applyAlignment="1">
      <alignment horizontal="center" vertical="center" wrapText="1"/>
    </xf>
    <xf numFmtId="0" fontId="15" fillId="0" borderId="30" xfId="0" applyFont="1" applyBorder="1" applyAlignment="1">
      <alignment horizontal="center" vertical="top" wrapText="1"/>
    </xf>
    <xf numFmtId="0" fontId="15" fillId="0" borderId="30" xfId="0" applyFont="1" applyBorder="1" applyAlignment="1">
      <alignment horizontal="left" vertical="top" wrapText="1"/>
    </xf>
    <xf numFmtId="1" fontId="14" fillId="0" borderId="30" xfId="0" applyNumberFormat="1" applyFont="1" applyBorder="1" applyAlignment="1">
      <alignment horizontal="center" vertical="top" wrapText="1"/>
    </xf>
    <xf numFmtId="165" fontId="14" fillId="0" borderId="30" xfId="0" applyNumberFormat="1" applyFont="1" applyBorder="1" applyAlignment="1">
      <alignment horizontal="left" vertical="top" wrapText="1" indent="2"/>
    </xf>
    <xf numFmtId="165" fontId="14" fillId="0" borderId="30" xfId="0" applyNumberFormat="1" applyFont="1" applyBorder="1" applyAlignment="1">
      <alignment horizontal="center" vertical="top" wrapText="1"/>
    </xf>
    <xf numFmtId="2" fontId="14" fillId="0" borderId="30" xfId="0" applyNumberFormat="1" applyFont="1" applyBorder="1" applyAlignment="1">
      <alignment horizontal="center" vertical="top" wrapText="1"/>
    </xf>
    <xf numFmtId="2" fontId="14" fillId="0" borderId="30" xfId="0" applyNumberFormat="1" applyFont="1" applyBorder="1" applyAlignment="1">
      <alignment horizontal="left" vertical="top" wrapText="1" indent="1"/>
    </xf>
    <xf numFmtId="0" fontId="18" fillId="0" borderId="30" xfId="0" applyFont="1" applyBorder="1" applyAlignment="1">
      <alignment horizontal="center" vertical="top" wrapText="1"/>
    </xf>
    <xf numFmtId="1" fontId="0" fillId="0" borderId="0" xfId="0" applyNumberFormat="1"/>
    <xf numFmtId="1" fontId="19" fillId="0" borderId="30" xfId="0" applyNumberFormat="1" applyFont="1" applyBorder="1" applyAlignment="1">
      <alignment horizontal="center" vertical="top" wrapText="1"/>
    </xf>
    <xf numFmtId="165" fontId="19" fillId="0" borderId="30" xfId="0" applyNumberFormat="1" applyFont="1" applyBorder="1" applyAlignment="1">
      <alignment horizontal="center" vertical="top" wrapText="1"/>
    </xf>
    <xf numFmtId="2" fontId="19" fillId="0" borderId="30" xfId="0" applyNumberFormat="1" applyFont="1" applyBorder="1" applyAlignment="1">
      <alignment horizontal="center" vertical="top" wrapText="1"/>
    </xf>
    <xf numFmtId="2" fontId="19" fillId="0" borderId="36" xfId="0" applyNumberFormat="1" applyFont="1" applyBorder="1" applyAlignment="1">
      <alignment horizontal="right" vertical="top" wrapText="1" indent="1"/>
    </xf>
    <xf numFmtId="0" fontId="20" fillId="0" borderId="0" xfId="0" applyFont="1" applyAlignment="1">
      <alignment horizontal="left" vertical="top"/>
    </xf>
    <xf numFmtId="0" fontId="17" fillId="0" borderId="0" xfId="0" applyFont="1" applyAlignment="1">
      <alignment horizontal="left" vertical="top" wrapText="1" indent="3"/>
    </xf>
    <xf numFmtId="0" fontId="15" fillId="0" borderId="0" xfId="0" applyFont="1" applyAlignment="1">
      <alignment horizontal="left" vertical="top" wrapText="1"/>
    </xf>
    <xf numFmtId="2" fontId="14" fillId="0" borderId="0" xfId="0" applyNumberFormat="1" applyFont="1" applyAlignment="1">
      <alignment horizontal="left" vertical="top" wrapText="1" indent="1"/>
    </xf>
    <xf numFmtId="3" fontId="0" fillId="0" borderId="0" xfId="0" applyNumberFormat="1"/>
    <xf numFmtId="3" fontId="0" fillId="0" borderId="0" xfId="0" applyNumberFormat="1" applyAlignment="1">
      <alignment horizontal="right"/>
    </xf>
    <xf numFmtId="3" fontId="17" fillId="0" borderId="0" xfId="0" applyNumberFormat="1" applyFont="1" applyAlignment="1">
      <alignment horizontal="right" wrapText="1"/>
    </xf>
    <xf numFmtId="3" fontId="15" fillId="0" borderId="0" xfId="0" applyNumberFormat="1" applyFont="1" applyAlignment="1">
      <alignment horizontal="right" vertical="top" wrapText="1"/>
    </xf>
    <xf numFmtId="3" fontId="14" fillId="0" borderId="0" xfId="0" applyNumberFormat="1" applyFont="1" applyAlignment="1">
      <alignment horizontal="right" vertical="top" wrapText="1"/>
    </xf>
    <xf numFmtId="1" fontId="0" fillId="0" borderId="0" xfId="0" applyNumberFormat="1" applyAlignment="1">
      <alignment horizontal="center"/>
    </xf>
    <xf numFmtId="3" fontId="17" fillId="0" borderId="0" xfId="0" applyNumberFormat="1" applyFont="1" applyAlignment="1">
      <alignment horizontal="right" vertical="top" wrapText="1"/>
    </xf>
    <xf numFmtId="0" fontId="22" fillId="0" borderId="42" xfId="0" applyFont="1" applyBorder="1" applyAlignment="1">
      <alignment vertical="center" wrapText="1"/>
    </xf>
    <xf numFmtId="0" fontId="21" fillId="0" borderId="0" xfId="0" applyFont="1" applyAlignment="1">
      <alignment horizontal="center" vertical="center" wrapText="1"/>
    </xf>
    <xf numFmtId="0" fontId="21" fillId="0" borderId="42" xfId="0" applyFont="1" applyBorder="1" applyAlignment="1">
      <alignment horizontal="center" vertical="center" wrapText="1"/>
    </xf>
    <xf numFmtId="0" fontId="21" fillId="0" borderId="42" xfId="0" applyFont="1" applyBorder="1" applyAlignment="1">
      <alignment vertical="center" wrapText="1"/>
    </xf>
    <xf numFmtId="0" fontId="21" fillId="0" borderId="0" xfId="0" applyFont="1" applyAlignment="1">
      <alignment vertical="center" wrapText="1"/>
    </xf>
    <xf numFmtId="0" fontId="22" fillId="0" borderId="0" xfId="0" applyFont="1" applyAlignment="1">
      <alignment vertical="center" wrapText="1"/>
    </xf>
    <xf numFmtId="0" fontId="0" fillId="0" borderId="0" xfId="0" applyAlignment="1">
      <alignment horizontal="center"/>
    </xf>
    <xf numFmtId="0" fontId="17" fillId="0" borderId="36" xfId="0" applyFont="1" applyBorder="1" applyAlignment="1">
      <alignment horizontal="left" vertical="top" wrapText="1" indent="1"/>
    </xf>
    <xf numFmtId="0" fontId="15" fillId="0" borderId="38" xfId="0" applyFont="1" applyBorder="1" applyAlignment="1">
      <alignment horizontal="left" vertical="top" wrapText="1" indent="1"/>
    </xf>
    <xf numFmtId="0" fontId="17" fillId="0" borderId="38" xfId="0" applyFont="1" applyBorder="1" applyAlignment="1">
      <alignment horizontal="center" vertical="top" wrapText="1"/>
    </xf>
    <xf numFmtId="0" fontId="15" fillId="0" borderId="37" xfId="0" applyFont="1" applyBorder="1" applyAlignment="1">
      <alignment horizontal="left" vertical="center" wrapText="1" indent="2"/>
    </xf>
    <xf numFmtId="0" fontId="25" fillId="0" borderId="32" xfId="0" applyFont="1" applyBorder="1" applyAlignment="1">
      <alignment horizontal="center" vertical="top" wrapText="1"/>
    </xf>
    <xf numFmtId="0" fontId="25" fillId="0" borderId="34" xfId="0" applyFont="1" applyBorder="1" applyAlignment="1">
      <alignment horizontal="right" vertical="top" wrapText="1" indent="1"/>
    </xf>
    <xf numFmtId="3" fontId="23" fillId="0" borderId="31" xfId="0" applyNumberFormat="1" applyFont="1" applyBorder="1" applyAlignment="1">
      <alignment horizontal="right" vertical="top" wrapText="1" indent="1"/>
    </xf>
    <xf numFmtId="3" fontId="23" fillId="0" borderId="31" xfId="0" applyNumberFormat="1" applyFont="1" applyBorder="1" applyAlignment="1">
      <alignment horizontal="center" vertical="top" wrapText="1"/>
    </xf>
    <xf numFmtId="3" fontId="23" fillId="0" borderId="39" xfId="0" applyNumberFormat="1" applyFont="1" applyBorder="1" applyAlignment="1">
      <alignment horizontal="right" vertical="top" wrapText="1" indent="1"/>
    </xf>
    <xf numFmtId="0" fontId="25" fillId="0" borderId="43" xfId="0" applyFont="1" applyBorder="1" applyAlignment="1">
      <alignment horizontal="center" vertical="top" wrapText="1"/>
    </xf>
    <xf numFmtId="0" fontId="25" fillId="0" borderId="35" xfId="0" applyFont="1" applyBorder="1" applyAlignment="1">
      <alignment horizontal="right" vertical="top" wrapText="1" indent="1"/>
    </xf>
    <xf numFmtId="3" fontId="23" fillId="0" borderId="0" xfId="0" applyNumberFormat="1" applyFont="1" applyAlignment="1">
      <alignment horizontal="right" vertical="top" wrapText="1" indent="1"/>
    </xf>
    <xf numFmtId="3" fontId="23" fillId="0" borderId="0" xfId="0" applyNumberFormat="1" applyFont="1" applyAlignment="1">
      <alignment horizontal="center" vertical="top" wrapText="1"/>
    </xf>
    <xf numFmtId="3" fontId="23" fillId="0" borderId="44" xfId="0" applyNumberFormat="1" applyFont="1" applyBorder="1" applyAlignment="1">
      <alignment horizontal="right" vertical="top" wrapText="1" indent="1"/>
    </xf>
    <xf numFmtId="1" fontId="14" fillId="0" borderId="43" xfId="0" applyNumberFormat="1" applyFont="1" applyBorder="1" applyAlignment="1">
      <alignment horizontal="center" vertical="top" wrapText="1"/>
    </xf>
    <xf numFmtId="0" fontId="15" fillId="0" borderId="35" xfId="0" applyFont="1" applyBorder="1" applyAlignment="1">
      <alignment horizontal="right" vertical="top" wrapText="1" indent="1"/>
    </xf>
    <xf numFmtId="1" fontId="14" fillId="0" borderId="35" xfId="0" applyNumberFormat="1" applyFont="1" applyBorder="1" applyAlignment="1">
      <alignment horizontal="right" vertical="top" wrapText="1" indent="1"/>
    </xf>
    <xf numFmtId="1" fontId="14" fillId="0" borderId="0" xfId="0" applyNumberFormat="1" applyFont="1" applyAlignment="1">
      <alignment horizontal="right" vertical="top" wrapText="1" indent="1"/>
    </xf>
    <xf numFmtId="3" fontId="14" fillId="0" borderId="35" xfId="0" applyNumberFormat="1" applyFont="1" applyBorder="1" applyAlignment="1">
      <alignment horizontal="right" vertical="top" wrapText="1" indent="1"/>
    </xf>
    <xf numFmtId="0" fontId="13" fillId="0" borderId="0" xfId="0" applyFont="1" applyAlignment="1">
      <alignment horizontal="left" vertical="top" wrapText="1"/>
    </xf>
    <xf numFmtId="0" fontId="13" fillId="0" borderId="41" xfId="0" applyFont="1" applyBorder="1" applyAlignment="1">
      <alignment horizontal="left" vertical="top" wrapText="1"/>
    </xf>
    <xf numFmtId="3" fontId="14" fillId="0" borderId="45" xfId="0" applyNumberFormat="1" applyFont="1" applyBorder="1" applyAlignment="1">
      <alignment horizontal="right" vertical="top" wrapText="1" indent="1"/>
    </xf>
    <xf numFmtId="3" fontId="14" fillId="0" borderId="45" xfId="0" applyNumberFormat="1" applyFont="1" applyBorder="1" applyAlignment="1">
      <alignment horizontal="center" vertical="top" wrapText="1"/>
    </xf>
    <xf numFmtId="3" fontId="14" fillId="0" borderId="40" xfId="0" applyNumberFormat="1" applyFont="1" applyBorder="1" applyAlignment="1">
      <alignment horizontal="right" vertical="top" wrapText="1" indent="1"/>
    </xf>
    <xf numFmtId="0" fontId="13" fillId="0" borderId="33" xfId="0" applyFont="1" applyBorder="1" applyAlignment="1">
      <alignment horizontal="center" vertical="top" wrapText="1"/>
    </xf>
    <xf numFmtId="0" fontId="13" fillId="0" borderId="45" xfId="0" applyFont="1" applyBorder="1" applyAlignment="1">
      <alignment horizontal="left" vertical="top" wrapText="1"/>
    </xf>
    <xf numFmtId="0" fontId="13" fillId="0" borderId="43" xfId="0" applyFont="1" applyBorder="1" applyAlignment="1">
      <alignment horizontal="left" vertical="top" wrapText="1"/>
    </xf>
    <xf numFmtId="0" fontId="13" fillId="0" borderId="31" xfId="0" applyFont="1" applyBorder="1" applyAlignment="1">
      <alignment horizontal="left" vertical="top" wrapText="1"/>
    </xf>
    <xf numFmtId="0" fontId="26" fillId="0" borderId="0" xfId="0" applyFont="1"/>
    <xf numFmtId="0" fontId="27" fillId="0" borderId="45" xfId="0" applyFont="1" applyBorder="1" applyAlignment="1">
      <alignment horizontal="right" vertical="top" wrapText="1"/>
    </xf>
    <xf numFmtId="0" fontId="27" fillId="0" borderId="0" xfId="0" applyFont="1" applyAlignment="1">
      <alignment horizontal="left" vertical="top" wrapText="1" indent="1"/>
    </xf>
    <xf numFmtId="0" fontId="27" fillId="0" borderId="0" xfId="0" applyFont="1" applyAlignment="1">
      <alignment horizontal="left" vertical="top" wrapText="1"/>
    </xf>
    <xf numFmtId="0" fontId="19" fillId="0" borderId="37" xfId="0" applyFont="1" applyBorder="1" applyAlignment="1">
      <alignment horizontal="center" vertical="top" wrapText="1"/>
    </xf>
    <xf numFmtId="0" fontId="19" fillId="0" borderId="30" xfId="0" applyFont="1" applyBorder="1" applyAlignment="1">
      <alignment horizontal="right" vertical="top" wrapText="1"/>
    </xf>
    <xf numFmtId="0" fontId="28" fillId="0" borderId="35" xfId="0" applyFont="1" applyBorder="1" applyAlignment="1">
      <alignment horizontal="right" vertical="top" wrapText="1"/>
    </xf>
    <xf numFmtId="0" fontId="29" fillId="0" borderId="0" xfId="0" applyFont="1" applyAlignment="1">
      <alignment horizontal="left" vertical="top" wrapText="1"/>
    </xf>
    <xf numFmtId="1" fontId="19" fillId="0" borderId="0" xfId="0" applyNumberFormat="1" applyFont="1" applyAlignment="1">
      <alignment horizontal="left" vertical="top" wrapText="1" indent="1"/>
    </xf>
    <xf numFmtId="3" fontId="19" fillId="0" borderId="31" xfId="0" applyNumberFormat="1" applyFont="1" applyBorder="1" applyAlignment="1">
      <alignment horizontal="right" vertical="top" wrapText="1"/>
    </xf>
    <xf numFmtId="1" fontId="19" fillId="0" borderId="31" xfId="0" applyNumberFormat="1" applyFont="1" applyBorder="1" applyAlignment="1">
      <alignment horizontal="right" vertical="top" wrapText="1"/>
    </xf>
    <xf numFmtId="1" fontId="19" fillId="0" borderId="0" xfId="0" applyNumberFormat="1" applyFont="1" applyAlignment="1">
      <alignment horizontal="right" vertical="top" wrapText="1"/>
    </xf>
    <xf numFmtId="1" fontId="19" fillId="0" borderId="0" xfId="0" applyNumberFormat="1" applyFont="1" applyAlignment="1">
      <alignment horizontal="left" vertical="top" wrapText="1"/>
    </xf>
    <xf numFmtId="3" fontId="19" fillId="0" borderId="0" xfId="0" applyNumberFormat="1" applyFont="1" applyAlignment="1">
      <alignment horizontal="right" vertical="top" wrapText="1"/>
    </xf>
    <xf numFmtId="1" fontId="19" fillId="0" borderId="45" xfId="0" applyNumberFormat="1" applyFont="1" applyBorder="1" applyAlignment="1">
      <alignment horizontal="left" vertical="top" wrapText="1" indent="1"/>
    </xf>
    <xf numFmtId="3" fontId="19" fillId="0" borderId="45" xfId="0" applyNumberFormat="1" applyFont="1" applyBorder="1" applyAlignment="1">
      <alignment horizontal="right" vertical="top" wrapText="1"/>
    </xf>
    <xf numFmtId="1" fontId="19" fillId="0" borderId="45" xfId="0" applyNumberFormat="1" applyFont="1" applyBorder="1" applyAlignment="1">
      <alignment horizontal="right" vertical="top" wrapText="1"/>
    </xf>
    <xf numFmtId="1" fontId="19" fillId="0" borderId="45" xfId="0" applyNumberFormat="1" applyFont="1" applyBorder="1" applyAlignment="1">
      <alignment horizontal="left" vertical="top" wrapText="1"/>
    </xf>
    <xf numFmtId="1" fontId="19" fillId="0" borderId="31" xfId="0" applyNumberFormat="1" applyFont="1" applyBorder="1" applyAlignment="1">
      <alignment horizontal="left" vertical="top" wrapText="1" indent="1"/>
    </xf>
    <xf numFmtId="1" fontId="19" fillId="0" borderId="31" xfId="0" applyNumberFormat="1" applyFont="1" applyBorder="1" applyAlignment="1">
      <alignment horizontal="left" vertical="top" wrapText="1"/>
    </xf>
    <xf numFmtId="3" fontId="19" fillId="0" borderId="0" xfId="0" applyNumberFormat="1" applyFont="1" applyAlignment="1">
      <alignment horizontal="center" vertical="top" wrapText="1"/>
    </xf>
    <xf numFmtId="3" fontId="19" fillId="0" borderId="45" xfId="0" applyNumberFormat="1" applyFont="1" applyBorder="1" applyAlignment="1">
      <alignment horizontal="center" vertical="top" wrapText="1"/>
    </xf>
    <xf numFmtId="3" fontId="19" fillId="0" borderId="31" xfId="0" applyNumberFormat="1" applyFont="1" applyBorder="1" applyAlignment="1">
      <alignment horizontal="center" vertical="top" wrapText="1"/>
    </xf>
    <xf numFmtId="1" fontId="19" fillId="0" borderId="45" xfId="0" applyNumberFormat="1" applyFont="1" applyBorder="1" applyAlignment="1">
      <alignment horizontal="left" vertical="top" wrapText="1" indent="2"/>
    </xf>
    <xf numFmtId="3" fontId="19" fillId="0" borderId="31" xfId="0" applyNumberFormat="1" applyFont="1" applyBorder="1" applyAlignment="1">
      <alignment horizontal="left" vertical="top" wrapText="1" indent="1"/>
    </xf>
    <xf numFmtId="1" fontId="19" fillId="0" borderId="0" xfId="0" applyNumberFormat="1" applyFont="1" applyAlignment="1">
      <alignment horizontal="left" vertical="top" wrapText="1" indent="2"/>
    </xf>
    <xf numFmtId="3" fontId="19" fillId="0" borderId="0" xfId="0" applyNumberFormat="1" applyFont="1" applyAlignment="1">
      <alignment horizontal="left" vertical="top" wrapText="1" indent="2"/>
    </xf>
    <xf numFmtId="3" fontId="19" fillId="0" borderId="45" xfId="0" applyNumberFormat="1" applyFont="1" applyBorder="1" applyAlignment="1">
      <alignment horizontal="left" vertical="top" wrapText="1" indent="2"/>
    </xf>
    <xf numFmtId="3" fontId="19" fillId="0" borderId="45" xfId="0" applyNumberFormat="1" applyFont="1" applyBorder="1" applyAlignment="1">
      <alignment horizontal="left" vertical="top" wrapText="1" indent="1"/>
    </xf>
    <xf numFmtId="3" fontId="19" fillId="0" borderId="31" xfId="0" applyNumberFormat="1" applyFont="1" applyBorder="1" applyAlignment="1">
      <alignment horizontal="left" vertical="top" wrapText="1" indent="2"/>
    </xf>
    <xf numFmtId="1" fontId="19" fillId="0" borderId="31" xfId="0" applyNumberFormat="1" applyFont="1" applyBorder="1" applyAlignment="1">
      <alignment horizontal="left" vertical="top" wrapText="1" indent="2"/>
    </xf>
    <xf numFmtId="0" fontId="30" fillId="0" borderId="0" xfId="0" applyFont="1" applyAlignment="1">
      <alignment horizontal="right" vertical="top" wrapText="1" indent="1"/>
    </xf>
    <xf numFmtId="0" fontId="27" fillId="0" borderId="31" xfId="0" applyFont="1" applyBorder="1" applyAlignment="1">
      <alignment horizontal="left" vertical="top" wrapText="1"/>
    </xf>
    <xf numFmtId="0" fontId="27" fillId="0" borderId="45" xfId="0" applyFont="1" applyBorder="1" applyAlignment="1">
      <alignment horizontal="left" vertical="top" wrapText="1"/>
    </xf>
    <xf numFmtId="0" fontId="0" fillId="0" borderId="0" xfId="0" applyAlignment="1">
      <alignment wrapText="1"/>
    </xf>
    <xf numFmtId="2" fontId="0" fillId="0" borderId="0" xfId="0" applyNumberFormat="1" applyAlignment="1">
      <alignment wrapText="1"/>
    </xf>
    <xf numFmtId="0" fontId="12" fillId="0" borderId="0" xfId="0" applyFont="1" applyAlignment="1">
      <alignment horizontal="center" vertical="center" wrapText="1"/>
    </xf>
    <xf numFmtId="0" fontId="1" fillId="0" borderId="0" xfId="0" applyFont="1" applyAlignment="1">
      <alignment vertical="center" wrapText="1"/>
    </xf>
    <xf numFmtId="0" fontId="13" fillId="10" borderId="34" xfId="0" applyFont="1" applyFill="1" applyBorder="1" applyAlignment="1">
      <alignment horizontal="left" vertical="top" wrapText="1"/>
    </xf>
    <xf numFmtId="0" fontId="13" fillId="10" borderId="39" xfId="0" applyFont="1" applyFill="1" applyBorder="1" applyAlignment="1">
      <alignment horizontal="left" vertical="top" wrapText="1"/>
    </xf>
    <xf numFmtId="0" fontId="32" fillId="9" borderId="43" xfId="0" applyFont="1" applyFill="1" applyBorder="1" applyAlignment="1">
      <alignment horizontal="center" vertical="top" wrapText="1"/>
    </xf>
    <xf numFmtId="0" fontId="32" fillId="9" borderId="43" xfId="0" applyFont="1" applyFill="1" applyBorder="1" applyAlignment="1">
      <alignment horizontal="right" vertical="top" wrapText="1" indent="1"/>
    </xf>
    <xf numFmtId="0" fontId="32" fillId="10" borderId="31" xfId="0" applyFont="1" applyFill="1" applyBorder="1" applyAlignment="1">
      <alignment horizontal="right" vertical="top" wrapText="1"/>
    </xf>
    <xf numFmtId="0" fontId="32" fillId="10" borderId="32" xfId="0" applyFont="1" applyFill="1" applyBorder="1" applyAlignment="1">
      <alignment horizontal="right" vertical="top" wrapText="1"/>
    </xf>
    <xf numFmtId="0" fontId="32" fillId="9" borderId="33" xfId="0" applyFont="1" applyFill="1" applyBorder="1" applyAlignment="1">
      <alignment horizontal="center" vertical="top" wrapText="1"/>
    </xf>
    <xf numFmtId="0" fontId="32" fillId="9" borderId="33" xfId="0" applyFont="1" applyFill="1" applyBorder="1" applyAlignment="1">
      <alignment horizontal="right" vertical="top" wrapText="1" indent="1"/>
    </xf>
    <xf numFmtId="0" fontId="32" fillId="10" borderId="47" xfId="0" applyFont="1" applyFill="1" applyBorder="1" applyAlignment="1">
      <alignment horizontal="center" vertical="top" wrapText="1"/>
    </xf>
    <xf numFmtId="0" fontId="32" fillId="10" borderId="48" xfId="0" applyFont="1" applyFill="1" applyBorder="1" applyAlignment="1">
      <alignment horizontal="right" vertical="top" wrapText="1" indent="1"/>
    </xf>
    <xf numFmtId="0" fontId="32" fillId="10" borderId="49" xfId="0" applyFont="1" applyFill="1" applyBorder="1" applyAlignment="1">
      <alignment horizontal="right" vertical="top" wrapText="1" indent="1"/>
    </xf>
    <xf numFmtId="0" fontId="32" fillId="10" borderId="47" xfId="0" applyFont="1" applyFill="1" applyBorder="1" applyAlignment="1">
      <alignment horizontal="right" vertical="top" wrapText="1" indent="1"/>
    </xf>
    <xf numFmtId="0" fontId="32" fillId="10" borderId="49" xfId="0" applyFont="1" applyFill="1" applyBorder="1" applyAlignment="1">
      <alignment horizontal="center" vertical="top" wrapText="1"/>
    </xf>
    <xf numFmtId="0" fontId="32" fillId="10" borderId="46" xfId="0" applyFont="1" applyFill="1" applyBorder="1" applyAlignment="1">
      <alignment horizontal="center" vertical="top" wrapText="1"/>
    </xf>
    <xf numFmtId="0" fontId="32" fillId="10" borderId="47" xfId="0" applyFont="1" applyFill="1" applyBorder="1" applyAlignment="1">
      <alignment horizontal="left" vertical="top" wrapText="1"/>
    </xf>
    <xf numFmtId="0" fontId="32" fillId="10" borderId="48" xfId="0" applyFont="1" applyFill="1" applyBorder="1" applyAlignment="1">
      <alignment horizontal="center" vertical="top" wrapText="1"/>
    </xf>
    <xf numFmtId="1" fontId="19" fillId="11" borderId="31" xfId="0" applyNumberFormat="1" applyFont="1" applyFill="1" applyBorder="1" applyAlignment="1">
      <alignment horizontal="center" vertical="top" wrapText="1"/>
    </xf>
    <xf numFmtId="1" fontId="19" fillId="11" borderId="31" xfId="0" applyNumberFormat="1" applyFont="1" applyFill="1" applyBorder="1" applyAlignment="1">
      <alignment horizontal="right" vertical="top" wrapText="1"/>
    </xf>
    <xf numFmtId="0" fontId="32" fillId="11" borderId="31" xfId="0" applyFont="1" applyFill="1" applyBorder="1" applyAlignment="1">
      <alignment horizontal="left" vertical="top" wrapText="1"/>
    </xf>
    <xf numFmtId="166" fontId="19" fillId="11" borderId="31" xfId="0" applyNumberFormat="1" applyFont="1" applyFill="1" applyBorder="1" applyAlignment="1">
      <alignment horizontal="center" vertical="top" wrapText="1"/>
    </xf>
    <xf numFmtId="166" fontId="19" fillId="11" borderId="31" xfId="0" applyNumberFormat="1" applyFont="1" applyFill="1" applyBorder="1" applyAlignment="1">
      <alignment horizontal="right" vertical="top" wrapText="1"/>
    </xf>
    <xf numFmtId="166" fontId="19" fillId="11" borderId="31" xfId="0" applyNumberFormat="1" applyFont="1" applyFill="1" applyBorder="1" applyAlignment="1">
      <alignment horizontal="left" vertical="top" wrapText="1"/>
    </xf>
    <xf numFmtId="1" fontId="19" fillId="0" borderId="0" xfId="0" applyNumberFormat="1" applyFont="1" applyAlignment="1">
      <alignment horizontal="center" vertical="top" wrapText="1"/>
    </xf>
    <xf numFmtId="0" fontId="32" fillId="0" borderId="0" xfId="0" applyFont="1" applyAlignment="1">
      <alignment horizontal="left" vertical="top" wrapText="1"/>
    </xf>
    <xf numFmtId="166" fontId="19" fillId="0" borderId="0" xfId="0" applyNumberFormat="1" applyFont="1" applyAlignment="1">
      <alignment horizontal="center" vertical="top" wrapText="1"/>
    </xf>
    <xf numFmtId="166" fontId="19" fillId="0" borderId="0" xfId="0" applyNumberFormat="1" applyFont="1" applyAlignment="1">
      <alignment horizontal="right" vertical="top" wrapText="1"/>
    </xf>
    <xf numFmtId="166" fontId="19" fillId="0" borderId="0" xfId="0" applyNumberFormat="1" applyFont="1" applyAlignment="1">
      <alignment horizontal="left" vertical="top" wrapText="1"/>
    </xf>
    <xf numFmtId="1" fontId="19" fillId="0" borderId="45" xfId="0" applyNumberFormat="1" applyFont="1" applyBorder="1" applyAlignment="1">
      <alignment horizontal="center" vertical="top" wrapText="1"/>
    </xf>
    <xf numFmtId="0" fontId="32" fillId="0" borderId="45" xfId="0" applyFont="1" applyBorder="1" applyAlignment="1">
      <alignment horizontal="right" vertical="top" wrapText="1"/>
    </xf>
    <xf numFmtId="0" fontId="32" fillId="0" borderId="45" xfId="0" applyFont="1" applyBorder="1" applyAlignment="1">
      <alignment horizontal="center" vertical="top" wrapText="1"/>
    </xf>
    <xf numFmtId="0" fontId="32" fillId="0" borderId="45" xfId="0" applyFont="1" applyBorder="1" applyAlignment="1">
      <alignment horizontal="left" vertical="top" wrapText="1" indent="1"/>
    </xf>
    <xf numFmtId="0" fontId="26" fillId="12" borderId="0" xfId="0" applyFont="1" applyFill="1"/>
    <xf numFmtId="0" fontId="26" fillId="4" borderId="0" xfId="0" applyFont="1" applyFill="1"/>
    <xf numFmtId="0" fontId="26" fillId="6" borderId="0" xfId="0" applyFont="1" applyFill="1"/>
    <xf numFmtId="166" fontId="26" fillId="0" borderId="0" xfId="0" applyNumberFormat="1" applyFont="1"/>
    <xf numFmtId="166" fontId="26" fillId="0" borderId="0" xfId="0" applyNumberFormat="1" applyFont="1" applyAlignment="1">
      <alignment horizontal="center"/>
    </xf>
    <xf numFmtId="0" fontId="7" fillId="0" borderId="0" xfId="0" applyFont="1"/>
    <xf numFmtId="0" fontId="15" fillId="0" borderId="0" xfId="0" applyFont="1" applyAlignment="1">
      <alignment horizontal="center" vertical="top" wrapText="1"/>
    </xf>
    <xf numFmtId="166" fontId="14" fillId="0" borderId="0" xfId="0" applyNumberFormat="1" applyFont="1" applyAlignment="1">
      <alignment horizontal="right" vertical="top" wrapText="1" indent="3"/>
    </xf>
    <xf numFmtId="166" fontId="14" fillId="0" borderId="0" xfId="0" applyNumberFormat="1" applyFont="1" applyAlignment="1">
      <alignment horizontal="right" vertical="top" wrapText="1" indent="2"/>
    </xf>
    <xf numFmtId="166" fontId="14" fillId="0" borderId="0" xfId="0" applyNumberFormat="1" applyFont="1" applyAlignment="1">
      <alignment horizontal="right" vertical="top" wrapText="1"/>
    </xf>
    <xf numFmtId="1" fontId="14" fillId="0" borderId="0" xfId="0" applyNumberFormat="1" applyFont="1" applyAlignment="1">
      <alignment horizontal="center" vertical="top" wrapText="1"/>
    </xf>
    <xf numFmtId="1" fontId="14" fillId="0" borderId="0" xfId="0" applyNumberFormat="1" applyFont="1" applyAlignment="1">
      <alignment horizontal="right" vertical="top" wrapText="1"/>
    </xf>
    <xf numFmtId="0" fontId="13" fillId="0" borderId="0" xfId="0" applyFont="1" applyAlignment="1">
      <alignment horizontal="right" vertical="top" wrapText="1"/>
    </xf>
    <xf numFmtId="0" fontId="0" fillId="0" borderId="0" xfId="0" applyAlignment="1">
      <alignment horizontal="right"/>
    </xf>
    <xf numFmtId="166" fontId="0" fillId="0" borderId="0" xfId="0" applyNumberFormat="1" applyAlignment="1">
      <alignment horizontal="right"/>
    </xf>
    <xf numFmtId="164" fontId="13" fillId="0" borderId="0" xfId="1" applyNumberFormat="1" applyFont="1" applyAlignment="1">
      <alignment horizontal="center" vertical="top" wrapText="1"/>
    </xf>
    <xf numFmtId="3" fontId="14" fillId="0" borderId="0" xfId="0" applyNumberFormat="1" applyFont="1" applyAlignment="1">
      <alignment horizontal="left" vertical="top" wrapText="1" indent="1"/>
    </xf>
    <xf numFmtId="1" fontId="14" fillId="0" borderId="0" xfId="0" applyNumberFormat="1" applyFont="1" applyAlignment="1">
      <alignment horizontal="right" vertical="top" wrapText="1" indent="3"/>
    </xf>
    <xf numFmtId="1" fontId="14" fillId="0" borderId="0" xfId="0" applyNumberFormat="1" applyFont="1" applyAlignment="1">
      <alignment horizontal="right" vertical="top" wrapText="1" indent="2"/>
    </xf>
    <xf numFmtId="3" fontId="14" fillId="0" borderId="0" xfId="0" applyNumberFormat="1" applyFont="1" applyAlignment="1">
      <alignment horizontal="right" vertical="top" wrapText="1" indent="2"/>
    </xf>
    <xf numFmtId="0" fontId="15" fillId="0" borderId="44" xfId="0" applyFont="1" applyBorder="1" applyAlignment="1">
      <alignment horizontal="center" vertical="top" wrapText="1"/>
    </xf>
    <xf numFmtId="3" fontId="14" fillId="0" borderId="44" xfId="0" applyNumberFormat="1" applyFont="1" applyBorder="1" applyAlignment="1">
      <alignment horizontal="left" vertical="top" wrapText="1" indent="2"/>
    </xf>
    <xf numFmtId="1" fontId="14" fillId="0" borderId="44" xfId="0" applyNumberFormat="1" applyFont="1" applyBorder="1" applyAlignment="1">
      <alignment horizontal="center" vertical="top" wrapText="1"/>
    </xf>
    <xf numFmtId="1" fontId="14" fillId="0" borderId="45" xfId="0" applyNumberFormat="1" applyFont="1" applyBorder="1" applyAlignment="1">
      <alignment horizontal="right" vertical="top" wrapText="1" indent="1"/>
    </xf>
    <xf numFmtId="3" fontId="14" fillId="0" borderId="45" xfId="0" applyNumberFormat="1" applyFont="1" applyBorder="1" applyAlignment="1">
      <alignment horizontal="left" vertical="top" wrapText="1" indent="1"/>
    </xf>
    <xf numFmtId="1" fontId="14" fillId="0" borderId="45" xfId="0" applyNumberFormat="1" applyFont="1" applyBorder="1" applyAlignment="1">
      <alignment horizontal="right" vertical="top" wrapText="1" indent="3"/>
    </xf>
    <xf numFmtId="1" fontId="14" fillId="0" borderId="45" xfId="0" applyNumberFormat="1" applyFont="1" applyBorder="1" applyAlignment="1">
      <alignment horizontal="right" vertical="top" wrapText="1" indent="2"/>
    </xf>
    <xf numFmtId="3" fontId="14" fillId="0" borderId="45" xfId="0" applyNumberFormat="1" applyFont="1" applyBorder="1" applyAlignment="1">
      <alignment horizontal="right" vertical="top" wrapText="1" indent="2"/>
    </xf>
    <xf numFmtId="1" fontId="14" fillId="0" borderId="40" xfId="0" applyNumberFormat="1" applyFont="1" applyBorder="1" applyAlignment="1">
      <alignment horizontal="center" vertical="top" wrapText="1"/>
    </xf>
    <xf numFmtId="3" fontId="17" fillId="0" borderId="44" xfId="0" applyNumberFormat="1" applyFont="1" applyBorder="1" applyAlignment="1">
      <alignment horizontal="left" vertical="top" wrapText="1" indent="2"/>
    </xf>
    <xf numFmtId="3" fontId="14" fillId="0" borderId="45" xfId="0" applyNumberFormat="1" applyFont="1" applyBorder="1" applyAlignment="1">
      <alignment horizontal="right" vertical="top" wrapText="1"/>
    </xf>
    <xf numFmtId="0" fontId="0" fillId="0" borderId="0" xfId="0" applyAlignment="1">
      <alignment horizontal="left"/>
    </xf>
    <xf numFmtId="164" fontId="0" fillId="0" borderId="0" xfId="1" applyNumberFormat="1" applyFont="1" applyAlignment="1">
      <alignment horizontal="right"/>
    </xf>
    <xf numFmtId="164" fontId="0" fillId="0" borderId="0" xfId="0" applyNumberFormat="1"/>
    <xf numFmtId="3" fontId="0" fillId="2" borderId="0" xfId="0" applyNumberFormat="1" applyFill="1"/>
    <xf numFmtId="3" fontId="3" fillId="2" borderId="0" xfId="0" applyNumberFormat="1" applyFont="1" applyFill="1"/>
    <xf numFmtId="0" fontId="3" fillId="2" borderId="0" xfId="0" applyFont="1" applyFill="1" applyAlignment="1">
      <alignment horizontal="center"/>
    </xf>
    <xf numFmtId="0" fontId="4" fillId="0" borderId="0" xfId="0" applyFont="1" applyAlignment="1">
      <alignment horizontal="center" vertical="center"/>
    </xf>
    <xf numFmtId="0" fontId="4" fillId="13" borderId="0" xfId="0" applyFont="1" applyFill="1"/>
    <xf numFmtId="0" fontId="4" fillId="13" borderId="0" xfId="0" applyFont="1" applyFill="1" applyAlignment="1">
      <alignment horizontal="center"/>
    </xf>
    <xf numFmtId="0" fontId="4" fillId="13" borderId="0" xfId="0" applyFont="1" applyFill="1" applyAlignment="1">
      <alignment wrapText="1"/>
    </xf>
    <xf numFmtId="3" fontId="4" fillId="8" borderId="14" xfId="0" applyNumberFormat="1" applyFont="1" applyFill="1" applyBorder="1"/>
    <xf numFmtId="0" fontId="6" fillId="5" borderId="17" xfId="0" applyFont="1" applyFill="1" applyBorder="1" applyAlignment="1">
      <alignment horizontal="centerContinuous"/>
    </xf>
    <xf numFmtId="0" fontId="6" fillId="5" borderId="18" xfId="0" applyFont="1" applyFill="1" applyBorder="1" applyAlignment="1">
      <alignment horizontal="centerContinuous"/>
    </xf>
    <xf numFmtId="0" fontId="4" fillId="8" borderId="17" xfId="0" applyFont="1" applyFill="1" applyBorder="1" applyAlignment="1">
      <alignment horizontal="center"/>
    </xf>
    <xf numFmtId="3" fontId="35" fillId="0" borderId="0" xfId="0" applyNumberFormat="1" applyFont="1"/>
    <xf numFmtId="0" fontId="35" fillId="0" borderId="0" xfId="0" applyFont="1"/>
    <xf numFmtId="0" fontId="36" fillId="15" borderId="50" xfId="0" applyFont="1" applyFill="1" applyBorder="1" applyAlignment="1">
      <alignment horizontal="center" vertical="center" wrapText="1"/>
    </xf>
    <xf numFmtId="0" fontId="37" fillId="16" borderId="50" xfId="0" applyFont="1" applyFill="1" applyBorder="1" applyAlignment="1">
      <alignment horizontal="center" vertical="center" wrapText="1"/>
    </xf>
    <xf numFmtId="0" fontId="37" fillId="17" borderId="50" xfId="0" applyFont="1" applyFill="1" applyBorder="1" applyAlignment="1">
      <alignment horizontal="center" vertical="center" wrapText="1"/>
    </xf>
    <xf numFmtId="0" fontId="35" fillId="0" borderId="0" xfId="0" applyFont="1" applyAlignment="1">
      <alignment horizontal="center" vertical="center" wrapText="1"/>
    </xf>
    <xf numFmtId="0" fontId="35" fillId="0" borderId="11" xfId="0" applyFont="1" applyBorder="1"/>
    <xf numFmtId="0" fontId="35" fillId="0" borderId="0" xfId="0" applyFont="1" applyAlignment="1">
      <alignment horizontal="center"/>
    </xf>
    <xf numFmtId="3" fontId="35" fillId="0" borderId="0" xfId="0" applyNumberFormat="1" applyFont="1" applyAlignment="1">
      <alignment horizontal="center"/>
    </xf>
    <xf numFmtId="0" fontId="38" fillId="0" borderId="0" xfId="0" applyFont="1"/>
    <xf numFmtId="0" fontId="0" fillId="14" borderId="0" xfId="0" applyFill="1"/>
    <xf numFmtId="0" fontId="35" fillId="0" borderId="0" xfId="0" applyFont="1" applyAlignment="1">
      <alignment vertical="center"/>
    </xf>
    <xf numFmtId="0" fontId="39" fillId="19" borderId="51" xfId="0" applyFont="1" applyFill="1" applyBorder="1" applyAlignment="1">
      <alignment horizontal="right" vertical="center" wrapText="1" indent="1"/>
    </xf>
    <xf numFmtId="0" fontId="39" fillId="18" borderId="51" xfId="0" applyFont="1" applyFill="1" applyBorder="1" applyAlignment="1">
      <alignment horizontal="right" vertical="center" wrapText="1" indent="1"/>
    </xf>
    <xf numFmtId="0" fontId="39" fillId="19" borderId="52" xfId="0" applyFont="1" applyFill="1" applyBorder="1" applyAlignment="1">
      <alignment horizontal="right" vertical="center" wrapText="1" indent="1"/>
    </xf>
    <xf numFmtId="0" fontId="17" fillId="0" borderId="0" xfId="0" applyFont="1" applyAlignment="1">
      <alignment horizontal="left" wrapText="1" indent="3"/>
    </xf>
    <xf numFmtId="3" fontId="40" fillId="0" borderId="0" xfId="0" applyNumberFormat="1" applyFont="1" applyAlignment="1">
      <alignment horizontal="right" vertical="top" wrapText="1"/>
    </xf>
    <xf numFmtId="3" fontId="41" fillId="0" borderId="0" xfId="0" applyNumberFormat="1" applyFont="1" applyAlignment="1">
      <alignment horizontal="right" vertical="top" wrapText="1"/>
    </xf>
    <xf numFmtId="1" fontId="41" fillId="0" borderId="0" xfId="0" applyNumberFormat="1" applyFont="1" applyAlignment="1">
      <alignment horizontal="left" vertical="top" wrapText="1" indent="1"/>
    </xf>
    <xf numFmtId="2" fontId="41" fillId="0" borderId="0" xfId="0" applyNumberFormat="1" applyFont="1" applyAlignment="1">
      <alignment horizontal="left" vertical="top" wrapText="1" indent="1"/>
    </xf>
    <xf numFmtId="2" fontId="40" fillId="0" borderId="0" xfId="0" applyNumberFormat="1" applyFont="1" applyAlignment="1">
      <alignment horizontal="left" vertical="top" wrapText="1" indent="1"/>
    </xf>
    <xf numFmtId="0" fontId="42" fillId="0" borderId="0" xfId="0" applyFont="1" applyAlignment="1">
      <alignment vertical="center"/>
    </xf>
    <xf numFmtId="0" fontId="35" fillId="0" borderId="0" xfId="0" applyFont="1" applyAlignment="1">
      <alignment horizontal="left" vertical="center" indent="5"/>
    </xf>
    <xf numFmtId="0" fontId="4" fillId="0" borderId="0" xfId="0" applyFont="1"/>
    <xf numFmtId="0" fontId="4" fillId="0" borderId="0" xfId="0" applyFont="1" applyAlignment="1">
      <alignment horizontal="right"/>
    </xf>
    <xf numFmtId="165" fontId="0" fillId="0" borderId="0" xfId="0" applyNumberFormat="1"/>
    <xf numFmtId="10" fontId="0" fillId="0" borderId="0" xfId="0" applyNumberFormat="1"/>
    <xf numFmtId="167" fontId="0" fillId="0" borderId="0" xfId="0" applyNumberFormat="1"/>
    <xf numFmtId="0" fontId="35" fillId="0" borderId="0" xfId="0" applyFont="1" applyAlignment="1">
      <alignment horizontal="right"/>
    </xf>
    <xf numFmtId="166" fontId="35" fillId="0" borderId="0" xfId="0" applyNumberFormat="1" applyFont="1" applyAlignment="1">
      <alignment horizontal="right"/>
    </xf>
    <xf numFmtId="166" fontId="35" fillId="0" borderId="0" xfId="0" applyNumberFormat="1" applyFont="1"/>
    <xf numFmtId="166" fontId="0" fillId="0" borderId="0" xfId="0" applyNumberFormat="1"/>
    <xf numFmtId="166" fontId="4" fillId="0" borderId="0" xfId="0" applyNumberFormat="1" applyFont="1"/>
    <xf numFmtId="9" fontId="0" fillId="0" borderId="0" xfId="0" applyNumberFormat="1"/>
    <xf numFmtId="168" fontId="0" fillId="0" borderId="0" xfId="0" applyNumberFormat="1"/>
    <xf numFmtId="1" fontId="26" fillId="0" borderId="0" xfId="0" applyNumberFormat="1" applyFont="1"/>
    <xf numFmtId="2" fontId="0" fillId="0" borderId="0" xfId="0" applyNumberFormat="1"/>
    <xf numFmtId="2" fontId="26" fillId="0" borderId="0" xfId="0" applyNumberFormat="1" applyFont="1"/>
    <xf numFmtId="1" fontId="0" fillId="14" borderId="0" xfId="0" applyNumberFormat="1" applyFill="1"/>
    <xf numFmtId="164" fontId="0" fillId="0" borderId="0" xfId="1" applyNumberFormat="1" applyFont="1" applyAlignment="1">
      <alignment horizontal="center"/>
    </xf>
    <xf numFmtId="164" fontId="0" fillId="0" borderId="0" xfId="0" applyNumberFormat="1" applyAlignment="1">
      <alignment horizontal="center"/>
    </xf>
    <xf numFmtId="164" fontId="0" fillId="0" borderId="0" xfId="0" quotePrefix="1" applyNumberFormat="1" applyAlignment="1">
      <alignment horizontal="center"/>
    </xf>
    <xf numFmtId="164" fontId="7" fillId="0" borderId="0" xfId="1" applyNumberFormat="1" applyFont="1" applyAlignment="1">
      <alignment horizontal="center"/>
    </xf>
    <xf numFmtId="164" fontId="7" fillId="0" borderId="0" xfId="0" quotePrefix="1" applyNumberFormat="1" applyFont="1" applyAlignment="1">
      <alignment horizontal="center"/>
    </xf>
    <xf numFmtId="3" fontId="0" fillId="0" borderId="11" xfId="0" applyNumberFormat="1" applyBorder="1" applyAlignment="1">
      <alignment horizontal="center"/>
    </xf>
    <xf numFmtId="3" fontId="0" fillId="0" borderId="17" xfId="0" applyNumberFormat="1" applyBorder="1"/>
    <xf numFmtId="3" fontId="0" fillId="0" borderId="18" xfId="0" applyNumberFormat="1" applyBorder="1"/>
    <xf numFmtId="3" fontId="0" fillId="0" borderId="12" xfId="0" applyNumberFormat="1" applyBorder="1"/>
    <xf numFmtId="3" fontId="0" fillId="0" borderId="14" xfId="0" applyNumberFormat="1" applyBorder="1" applyAlignment="1">
      <alignment horizontal="center"/>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0" xfId="0" applyFont="1" applyAlignment="1">
      <alignment horizontal="center" vertical="center" wrapText="1"/>
    </xf>
    <xf numFmtId="0" fontId="1" fillId="0" borderId="27" xfId="0" applyFont="1" applyBorder="1" applyAlignment="1">
      <alignment horizontal="center" vertical="center" wrapText="1"/>
    </xf>
    <xf numFmtId="0" fontId="1" fillId="0" borderId="28" xfId="0" applyFont="1" applyBorder="1" applyAlignment="1">
      <alignment horizontal="center" vertical="center" wrapText="1"/>
    </xf>
    <xf numFmtId="2" fontId="43" fillId="20" borderId="53" xfId="2" applyNumberFormat="1" applyBorder="1" applyAlignment="1">
      <alignment horizontal="center" vertical="center" wrapText="1"/>
    </xf>
    <xf numFmtId="0" fontId="43" fillId="20" borderId="53" xfId="2" applyBorder="1" applyAlignment="1">
      <alignment horizontal="center" vertical="center" wrapText="1"/>
    </xf>
    <xf numFmtId="0" fontId="0" fillId="0" borderId="53" xfId="0" applyBorder="1"/>
    <xf numFmtId="3" fontId="43" fillId="20" borderId="53" xfId="2" applyNumberFormat="1" applyBorder="1"/>
    <xf numFmtId="0" fontId="43" fillId="20" borderId="53" xfId="2" applyBorder="1"/>
    <xf numFmtId="3" fontId="44" fillId="21" borderId="53" xfId="3" applyNumberFormat="1" applyBorder="1"/>
    <xf numFmtId="3" fontId="0" fillId="0" borderId="13" xfId="0" applyNumberFormat="1" applyBorder="1" applyAlignment="1">
      <alignment horizontal="center"/>
    </xf>
    <xf numFmtId="0" fontId="3" fillId="0" borderId="14" xfId="0" applyFont="1" applyBorder="1" applyAlignment="1">
      <alignment horizontal="center"/>
    </xf>
    <xf numFmtId="3" fontId="38" fillId="0" borderId="0" xfId="0" applyNumberFormat="1" applyFont="1"/>
    <xf numFmtId="0" fontId="35" fillId="0" borderId="0" xfId="0" applyFont="1" applyAlignment="1">
      <alignment wrapText="1"/>
    </xf>
    <xf numFmtId="0" fontId="46" fillId="0" borderId="0" xfId="0" applyFont="1" applyAlignment="1">
      <alignment vertical="center" wrapText="1"/>
    </xf>
    <xf numFmtId="3" fontId="35" fillId="0" borderId="0" xfId="0" applyNumberFormat="1" applyFont="1" applyAlignment="1">
      <alignment horizontal="right"/>
    </xf>
    <xf numFmtId="0" fontId="47" fillId="22" borderId="54" xfId="0" applyFont="1" applyFill="1" applyBorder="1" applyAlignment="1">
      <alignment vertical="top" wrapText="1" readingOrder="1"/>
    </xf>
    <xf numFmtId="0" fontId="48" fillId="0" borderId="0" xfId="0" applyFont="1"/>
    <xf numFmtId="0" fontId="49" fillId="0" borderId="54" xfId="0" applyFont="1" applyBorder="1" applyAlignment="1">
      <alignment vertical="top" wrapText="1" readingOrder="1"/>
    </xf>
    <xf numFmtId="169" fontId="49" fillId="0" borderId="54" xfId="0" applyNumberFormat="1" applyFont="1" applyBorder="1" applyAlignment="1">
      <alignment vertical="top" wrapText="1" readingOrder="1"/>
    </xf>
    <xf numFmtId="169" fontId="48" fillId="0" borderId="0" xfId="0" applyNumberFormat="1" applyFont="1"/>
    <xf numFmtId="0" fontId="48" fillId="0" borderId="56" xfId="0" applyFont="1" applyBorder="1" applyAlignment="1">
      <alignment vertical="top" wrapText="1"/>
    </xf>
    <xf numFmtId="0" fontId="48" fillId="0" borderId="57" xfId="0" applyFont="1" applyBorder="1" applyAlignment="1">
      <alignment vertical="top" wrapText="1"/>
    </xf>
    <xf numFmtId="169" fontId="47" fillId="23" borderId="54" xfId="0" applyNumberFormat="1" applyFont="1" applyFill="1" applyBorder="1" applyAlignment="1">
      <alignment vertical="top" wrapText="1" readingOrder="1"/>
    </xf>
    <xf numFmtId="1" fontId="48" fillId="0" borderId="0" xfId="0" applyNumberFormat="1" applyFont="1"/>
    <xf numFmtId="3" fontId="0" fillId="0" borderId="16" xfId="0" applyNumberFormat="1" applyBorder="1"/>
    <xf numFmtId="3" fontId="0" fillId="0" borderId="11" xfId="0" applyNumberFormat="1" applyBorder="1"/>
    <xf numFmtId="3" fontId="0" fillId="0" borderId="13" xfId="0" applyNumberFormat="1" applyBorder="1"/>
    <xf numFmtId="3" fontId="0" fillId="0" borderId="15" xfId="0" applyNumberFormat="1" applyBorder="1"/>
    <xf numFmtId="3" fontId="4" fillId="0" borderId="0" xfId="0" applyNumberFormat="1" applyFont="1" applyAlignment="1">
      <alignment horizontal="center"/>
    </xf>
    <xf numFmtId="3" fontId="4" fillId="0" borderId="17" xfId="0" applyNumberFormat="1" applyFont="1" applyBorder="1" applyAlignment="1">
      <alignment horizontal="center"/>
    </xf>
    <xf numFmtId="0" fontId="5" fillId="2" borderId="0" xfId="0" applyFont="1" applyFill="1"/>
    <xf numFmtId="3" fontId="4" fillId="8" borderId="10" xfId="0" applyNumberFormat="1" applyFont="1" applyFill="1" applyBorder="1"/>
    <xf numFmtId="3" fontId="7" fillId="0" borderId="12" xfId="0" applyNumberFormat="1" applyFont="1" applyBorder="1" applyAlignment="1">
      <alignment horizontal="right"/>
    </xf>
    <xf numFmtId="3" fontId="7" fillId="0" borderId="15" xfId="0" applyNumberFormat="1" applyFont="1" applyBorder="1" applyAlignment="1">
      <alignment horizontal="right"/>
    </xf>
    <xf numFmtId="0" fontId="6" fillId="5" borderId="16" xfId="0" applyFont="1" applyFill="1" applyBorder="1" applyAlignment="1">
      <alignment horizontal="centerContinuous"/>
    </xf>
    <xf numFmtId="164" fontId="8" fillId="5" borderId="10" xfId="0" applyNumberFormat="1" applyFont="1" applyFill="1" applyBorder="1" applyAlignment="1">
      <alignment horizontal="center"/>
    </xf>
    <xf numFmtId="0" fontId="4" fillId="5" borderId="18" xfId="0" applyFont="1" applyFill="1" applyBorder="1" applyAlignment="1">
      <alignment horizontal="centerContinuous"/>
    </xf>
    <xf numFmtId="0" fontId="4" fillId="8" borderId="15" xfId="0" applyFont="1" applyFill="1" applyBorder="1" applyAlignment="1">
      <alignment horizontal="center"/>
    </xf>
    <xf numFmtId="166" fontId="50" fillId="0" borderId="0" xfId="0" applyNumberFormat="1" applyFont="1"/>
    <xf numFmtId="0" fontId="50" fillId="0" borderId="0" xfId="0" applyFont="1"/>
    <xf numFmtId="3" fontId="0" fillId="0" borderId="15" xfId="0" applyNumberFormat="1" applyBorder="1" applyAlignment="1">
      <alignment horizontal="center"/>
    </xf>
    <xf numFmtId="9" fontId="0" fillId="0" borderId="0" xfId="0" applyNumberFormat="1" applyAlignment="1">
      <alignment horizontal="right"/>
    </xf>
    <xf numFmtId="0" fontId="4" fillId="0" borderId="0" xfId="0" applyFont="1" applyAlignment="1">
      <alignment horizontal="center"/>
    </xf>
    <xf numFmtId="0" fontId="0" fillId="0" borderId="14" xfId="0" applyBorder="1" applyAlignment="1">
      <alignment horizontal="center"/>
    </xf>
    <xf numFmtId="3" fontId="4" fillId="0" borderId="18" xfId="0" applyNumberFormat="1" applyFont="1" applyBorder="1" applyAlignment="1">
      <alignment horizontal="center"/>
    </xf>
    <xf numFmtId="3" fontId="4" fillId="0" borderId="12" xfId="0" applyNumberFormat="1" applyFont="1" applyBorder="1" applyAlignment="1">
      <alignment horizontal="center"/>
    </xf>
    <xf numFmtId="0" fontId="4" fillId="0" borderId="0" xfId="0" quotePrefix="1" applyFont="1" applyAlignment="1">
      <alignment horizontal="left"/>
    </xf>
    <xf numFmtId="9" fontId="0" fillId="0" borderId="0" xfId="1" applyFont="1" applyAlignment="1">
      <alignment horizontal="center"/>
    </xf>
    <xf numFmtId="0" fontId="4" fillId="0" borderId="0" xfId="0" applyFont="1" applyAlignment="1">
      <alignment horizontal="centerContinuous" vertical="center"/>
    </xf>
    <xf numFmtId="0" fontId="0" fillId="0" borderId="0" xfId="0" applyAlignment="1">
      <alignment horizontal="centerContinuous" vertical="center"/>
    </xf>
    <xf numFmtId="3" fontId="4" fillId="0" borderId="0" xfId="0" applyNumberFormat="1" applyFont="1" applyAlignment="1">
      <alignment horizontal="centerContinuous"/>
    </xf>
    <xf numFmtId="0" fontId="4" fillId="0" borderId="0" xfId="0" quotePrefix="1" applyFont="1" applyAlignment="1">
      <alignment horizontal="center"/>
    </xf>
    <xf numFmtId="0" fontId="4" fillId="4" borderId="10" xfId="0" applyFont="1" applyFill="1" applyBorder="1" applyAlignment="1">
      <alignment horizontal="centerContinuous"/>
    </xf>
    <xf numFmtId="3" fontId="7" fillId="0" borderId="17" xfId="0" applyNumberFormat="1" applyFont="1" applyBorder="1" applyAlignment="1">
      <alignment horizontal="center"/>
    </xf>
    <xf numFmtId="0" fontId="7" fillId="0" borderId="0" xfId="0" applyFont="1" applyAlignment="1">
      <alignment horizontal="center"/>
    </xf>
    <xf numFmtId="0" fontId="7" fillId="0" borderId="0" xfId="0" quotePrefix="1" applyFont="1" applyAlignment="1">
      <alignment horizontal="center"/>
    </xf>
    <xf numFmtId="3" fontId="7" fillId="0" borderId="0" xfId="0" applyNumberFormat="1" applyFont="1" applyAlignment="1">
      <alignment horizontal="center"/>
    </xf>
    <xf numFmtId="0" fontId="7" fillId="0" borderId="0" xfId="0" applyFont="1" applyAlignment="1">
      <alignment horizontal="center" vertical="center"/>
    </xf>
    <xf numFmtId="164" fontId="7" fillId="0" borderId="0" xfId="0" applyNumberFormat="1" applyFont="1" applyAlignment="1">
      <alignment horizontal="center"/>
    </xf>
    <xf numFmtId="3" fontId="7" fillId="0" borderId="0" xfId="0" quotePrefix="1" applyNumberFormat="1" applyFont="1" applyAlignment="1">
      <alignment horizontal="center"/>
    </xf>
    <xf numFmtId="3" fontId="7" fillId="0" borderId="14" xfId="0" quotePrefix="1" applyNumberFormat="1" applyFont="1" applyBorder="1" applyAlignment="1">
      <alignment horizontal="center"/>
    </xf>
    <xf numFmtId="0" fontId="4" fillId="0" borderId="0" xfId="0" applyFont="1" applyAlignment="1">
      <alignment horizontal="centerContinuous"/>
    </xf>
    <xf numFmtId="0" fontId="6" fillId="0" borderId="0" xfId="0" applyFont="1" applyAlignment="1">
      <alignment horizontal="centerContinuous"/>
    </xf>
    <xf numFmtId="0" fontId="8" fillId="0" borderId="0" xfId="0" applyFont="1"/>
    <xf numFmtId="164" fontId="8" fillId="0" borderId="0" xfId="1" applyNumberFormat="1" applyFont="1" applyAlignment="1">
      <alignment horizontal="center"/>
    </xf>
    <xf numFmtId="164" fontId="8" fillId="0" borderId="0" xfId="0" applyNumberFormat="1" applyFont="1" applyAlignment="1">
      <alignment horizontal="center"/>
    </xf>
    <xf numFmtId="0" fontId="4" fillId="0" borderId="0" xfId="0" applyFont="1" applyAlignment="1">
      <alignment vertical="center" textRotation="90"/>
    </xf>
    <xf numFmtId="0" fontId="51" fillId="0" borderId="0" xfId="0" applyFont="1" applyAlignment="1">
      <alignment vertical="center" textRotation="90" wrapText="1"/>
    </xf>
    <xf numFmtId="0" fontId="0" fillId="0" borderId="0" xfId="0" quotePrefix="1" applyAlignment="1">
      <alignment vertical="center"/>
    </xf>
    <xf numFmtId="0" fontId="0" fillId="0" borderId="0" xfId="0" quotePrefix="1"/>
    <xf numFmtId="0" fontId="7" fillId="0" borderId="0" xfId="0" quotePrefix="1" applyFont="1"/>
    <xf numFmtId="0" fontId="0" fillId="14" borderId="0" xfId="0" applyFill="1" applyAlignment="1">
      <alignment horizontal="center"/>
    </xf>
    <xf numFmtId="0" fontId="0" fillId="0" borderId="0" xfId="0" applyAlignment="1">
      <alignment horizontal="left" wrapText="1"/>
    </xf>
    <xf numFmtId="0" fontId="0" fillId="0" borderId="14" xfId="0" applyBorder="1" applyAlignment="1">
      <alignment horizontal="right"/>
    </xf>
    <xf numFmtId="0" fontId="0" fillId="0" borderId="9" xfId="0" applyBorder="1" applyAlignment="1">
      <alignment horizontal="right"/>
    </xf>
    <xf numFmtId="3" fontId="4" fillId="0" borderId="0" xfId="0" applyNumberFormat="1" applyFont="1"/>
    <xf numFmtId="0" fontId="0" fillId="0" borderId="0" xfId="0" applyAlignment="1">
      <alignment horizontal="center" wrapText="1"/>
    </xf>
    <xf numFmtId="2" fontId="0" fillId="14" borderId="0" xfId="0" applyNumberFormat="1" applyFill="1"/>
    <xf numFmtId="0" fontId="4" fillId="0" borderId="0" xfId="0" applyFont="1" applyAlignment="1">
      <alignment horizontal="right" wrapText="1"/>
    </xf>
    <xf numFmtId="0" fontId="0" fillId="0" borderId="0" xfId="0" applyAlignment="1">
      <alignment horizontal="right" wrapText="1"/>
    </xf>
    <xf numFmtId="0" fontId="0" fillId="0" borderId="53" xfId="0" applyBorder="1" applyAlignment="1">
      <alignment horizontal="center" wrapText="1"/>
    </xf>
    <xf numFmtId="0" fontId="0" fillId="0" borderId="16" xfId="0" applyBorder="1" applyAlignment="1">
      <alignment wrapText="1"/>
    </xf>
    <xf numFmtId="0" fontId="0" fillId="0" borderId="18" xfId="0" applyBorder="1" applyAlignment="1">
      <alignment wrapText="1"/>
    </xf>
    <xf numFmtId="0" fontId="0" fillId="0" borderId="8" xfId="0" applyBorder="1" applyAlignment="1">
      <alignment horizontal="right" wrapText="1"/>
    </xf>
    <xf numFmtId="0" fontId="0" fillId="0" borderId="9" xfId="0" applyBorder="1" applyAlignment="1">
      <alignment horizontal="right" wrapText="1"/>
    </xf>
    <xf numFmtId="0" fontId="0" fillId="0" borderId="10" xfId="0" applyBorder="1" applyAlignment="1">
      <alignment horizontal="right" wrapText="1"/>
    </xf>
    <xf numFmtId="0" fontId="0" fillId="0" borderId="53" xfId="0" applyBorder="1" applyAlignment="1">
      <alignment horizontal="right" wrapText="1"/>
    </xf>
    <xf numFmtId="0" fontId="0" fillId="0" borderId="13" xfId="0" applyBorder="1" applyAlignment="1">
      <alignment horizontal="right" wrapText="1"/>
    </xf>
    <xf numFmtId="0" fontId="0" fillId="0" borderId="15" xfId="0" applyBorder="1" applyAlignment="1">
      <alignment horizontal="right" wrapText="1"/>
    </xf>
    <xf numFmtId="0" fontId="0" fillId="0" borderId="16" xfId="0" applyBorder="1"/>
    <xf numFmtId="0" fontId="0" fillId="0" borderId="18" xfId="0" applyBorder="1"/>
    <xf numFmtId="0" fontId="0" fillId="0" borderId="12" xfId="0" applyBorder="1"/>
    <xf numFmtId="0" fontId="0" fillId="0" borderId="15" xfId="0" applyBorder="1"/>
    <xf numFmtId="166" fontId="0" fillId="0" borderId="8" xfId="0" applyNumberFormat="1" applyBorder="1"/>
    <xf numFmtId="0" fontId="0" fillId="24" borderId="53" xfId="0" applyFill="1" applyBorder="1"/>
    <xf numFmtId="0" fontId="0" fillId="25" borderId="53" xfId="0" applyFill="1" applyBorder="1"/>
    <xf numFmtId="0" fontId="0" fillId="26" borderId="53" xfId="0" applyFill="1" applyBorder="1"/>
    <xf numFmtId="170" fontId="0" fillId="0" borderId="0" xfId="4" applyNumberFormat="1" applyFont="1"/>
    <xf numFmtId="170" fontId="0" fillId="0" borderId="0" xfId="0" applyNumberFormat="1"/>
    <xf numFmtId="170" fontId="4" fillId="0" borderId="0" xfId="0" applyNumberFormat="1" applyFont="1"/>
    <xf numFmtId="164" fontId="4" fillId="0" borderId="0" xfId="0" applyNumberFormat="1" applyFont="1"/>
    <xf numFmtId="164" fontId="0" fillId="0" borderId="17" xfId="0" quotePrefix="1" applyNumberFormat="1" applyBorder="1" applyAlignment="1">
      <alignment horizontal="center"/>
    </xf>
    <xf numFmtId="164" fontId="4" fillId="5" borderId="9" xfId="0" applyNumberFormat="1" applyFont="1" applyFill="1" applyBorder="1" applyAlignment="1">
      <alignment horizontal="center"/>
    </xf>
    <xf numFmtId="164" fontId="7" fillId="0" borderId="17" xfId="0" applyNumberFormat="1" applyFont="1" applyBorder="1" applyAlignment="1">
      <alignment horizontal="center"/>
    </xf>
    <xf numFmtId="0" fontId="0" fillId="0" borderId="0" xfId="0" applyAlignment="1">
      <alignment horizontal="center" vertical="center" textRotation="90" wrapText="1"/>
    </xf>
    <xf numFmtId="3" fontId="0" fillId="14" borderId="0" xfId="0" applyNumberFormat="1" applyFill="1"/>
    <xf numFmtId="165" fontId="0" fillId="0" borderId="0" xfId="0" applyNumberFormat="1" applyAlignment="1">
      <alignment horizontal="center"/>
    </xf>
    <xf numFmtId="3" fontId="0" fillId="14" borderId="0" xfId="0" applyNumberFormat="1" applyFill="1" applyAlignment="1">
      <alignment horizontal="center"/>
    </xf>
    <xf numFmtId="165" fontId="0" fillId="14" borderId="0" xfId="1" applyNumberFormat="1" applyFont="1" applyFill="1" applyAlignment="1">
      <alignment horizontal="center"/>
    </xf>
    <xf numFmtId="165" fontId="0" fillId="0" borderId="0" xfId="1" applyNumberFormat="1" applyFont="1" applyAlignment="1">
      <alignment horizontal="center"/>
    </xf>
    <xf numFmtId="165" fontId="0" fillId="14" borderId="0" xfId="0" applyNumberFormat="1" applyFill="1" applyAlignment="1">
      <alignment horizontal="center"/>
    </xf>
    <xf numFmtId="0" fontId="0" fillId="0" borderId="0" xfId="0" applyAlignment="1">
      <alignment horizontal="center" vertical="center" textRotation="90"/>
    </xf>
    <xf numFmtId="165" fontId="0" fillId="14" borderId="0" xfId="0" applyNumberFormat="1" applyFill="1"/>
    <xf numFmtId="0" fontId="0" fillId="8" borderId="0" xfId="0" applyFill="1"/>
    <xf numFmtId="165" fontId="0" fillId="0" borderId="0" xfId="0" applyNumberFormat="1" applyAlignment="1">
      <alignment horizontal="right"/>
    </xf>
    <xf numFmtId="9" fontId="0" fillId="0" borderId="14" xfId="0" applyNumberFormat="1" applyBorder="1" applyAlignment="1">
      <alignment horizontal="center"/>
    </xf>
    <xf numFmtId="9" fontId="0" fillId="0" borderId="15" xfId="0" applyNumberFormat="1" applyBorder="1" applyAlignment="1">
      <alignment horizontal="center"/>
    </xf>
    <xf numFmtId="37" fontId="4" fillId="0" borderId="0" xfId="0" applyNumberFormat="1" applyFont="1"/>
    <xf numFmtId="164" fontId="4" fillId="0" borderId="0" xfId="0" applyNumberFormat="1" applyFont="1" applyAlignment="1">
      <alignment vertical="center"/>
    </xf>
    <xf numFmtId="0" fontId="3" fillId="14" borderId="0" xfId="0" applyFont="1" applyFill="1" applyAlignment="1">
      <alignment horizontal="center"/>
    </xf>
    <xf numFmtId="0" fontId="3" fillId="0" borderId="0" xfId="0" applyFont="1"/>
    <xf numFmtId="0" fontId="10" fillId="27" borderId="0" xfId="0" applyFont="1" applyFill="1"/>
    <xf numFmtId="0" fontId="42" fillId="2" borderId="0" xfId="0" applyFont="1" applyFill="1"/>
    <xf numFmtId="0" fontId="42" fillId="0" borderId="0" xfId="0" applyFont="1"/>
    <xf numFmtId="0" fontId="10" fillId="2" borderId="8" xfId="0" applyFont="1" applyFill="1" applyBorder="1" applyAlignment="1">
      <alignment horizontal="center"/>
    </xf>
    <xf numFmtId="9" fontId="10" fillId="2" borderId="10" xfId="0" applyNumberFormat="1" applyFont="1" applyFill="1" applyBorder="1" applyAlignment="1">
      <alignment horizontal="center"/>
    </xf>
    <xf numFmtId="0" fontId="10" fillId="2" borderId="9" xfId="0" applyFont="1" applyFill="1" applyBorder="1"/>
    <xf numFmtId="171" fontId="10" fillId="2" borderId="9" xfId="0" applyNumberFormat="1" applyFont="1" applyFill="1" applyBorder="1" applyAlignment="1">
      <alignment horizontal="center"/>
    </xf>
    <xf numFmtId="0" fontId="10" fillId="0" borderId="10" xfId="0" applyFont="1" applyBorder="1"/>
    <xf numFmtId="0" fontId="4" fillId="28" borderId="8" xfId="0" applyFont="1" applyFill="1" applyBorder="1" applyAlignment="1">
      <alignment horizontal="centerContinuous" vertical="center"/>
    </xf>
    <xf numFmtId="0" fontId="0" fillId="28" borderId="10" xfId="0" applyFill="1" applyBorder="1" applyAlignment="1">
      <alignment horizontal="centerContinuous" vertical="center"/>
    </xf>
    <xf numFmtId="0" fontId="0" fillId="3" borderId="13" xfId="0" applyFill="1" applyBorder="1" applyAlignment="1">
      <alignment horizontal="center" vertical="center"/>
    </xf>
    <xf numFmtId="0" fontId="0" fillId="3" borderId="14" xfId="0" applyFill="1" applyBorder="1" applyAlignment="1">
      <alignment horizontal="center" vertical="center"/>
    </xf>
    <xf numFmtId="3" fontId="4" fillId="3" borderId="14" xfId="0" applyNumberFormat="1" applyFont="1" applyFill="1" applyBorder="1" applyAlignment="1">
      <alignment horizontal="center"/>
    </xf>
    <xf numFmtId="3" fontId="4" fillId="3" borderId="17" xfId="0" applyNumberFormat="1" applyFont="1" applyFill="1" applyBorder="1" applyAlignment="1">
      <alignment horizontal="center"/>
    </xf>
    <xf numFmtId="0" fontId="4" fillId="3" borderId="9" xfId="0" quotePrefix="1" applyFont="1" applyFill="1" applyBorder="1" applyAlignment="1">
      <alignment horizontal="center"/>
    </xf>
    <xf numFmtId="0" fontId="4" fillId="3" borderId="10" xfId="0" applyFont="1" applyFill="1" applyBorder="1" applyAlignment="1">
      <alignment horizontal="center"/>
    </xf>
    <xf numFmtId="0" fontId="4" fillId="29" borderId="8" xfId="0" applyFont="1" applyFill="1" applyBorder="1"/>
    <xf numFmtId="0" fontId="0" fillId="29" borderId="9" xfId="0" applyFill="1" applyBorder="1"/>
    <xf numFmtId="0" fontId="6" fillId="30" borderId="16" xfId="0" applyFont="1" applyFill="1" applyBorder="1" applyAlignment="1">
      <alignment horizontal="centerContinuous"/>
    </xf>
    <xf numFmtId="0" fontId="0" fillId="30" borderId="18" xfId="0" applyFill="1" applyBorder="1" applyAlignment="1">
      <alignment horizontal="centerContinuous"/>
    </xf>
    <xf numFmtId="0" fontId="4" fillId="30" borderId="17" xfId="0" applyFont="1" applyFill="1" applyBorder="1" applyAlignment="1">
      <alignment horizontal="centerContinuous"/>
    </xf>
    <xf numFmtId="0" fontId="4" fillId="30" borderId="18" xfId="0" applyFont="1" applyFill="1" applyBorder="1" applyAlignment="1">
      <alignment horizontal="centerContinuous"/>
    </xf>
    <xf numFmtId="0" fontId="4" fillId="30" borderId="13" xfId="0" applyFont="1" applyFill="1" applyBorder="1" applyAlignment="1">
      <alignment horizontal="center" vertical="center"/>
    </xf>
    <xf numFmtId="0" fontId="4" fillId="30" borderId="15" xfId="0" applyFont="1" applyFill="1" applyBorder="1" applyAlignment="1">
      <alignment horizontal="center" vertical="center"/>
    </xf>
    <xf numFmtId="0" fontId="4" fillId="30" borderId="14" xfId="0" applyFont="1" applyFill="1" applyBorder="1" applyAlignment="1">
      <alignment horizontal="center" vertical="center"/>
    </xf>
    <xf numFmtId="0" fontId="4" fillId="30" borderId="8" xfId="0" applyFont="1" applyFill="1" applyBorder="1" applyAlignment="1">
      <alignment horizontal="center" vertical="center"/>
    </xf>
    <xf numFmtId="0" fontId="4" fillId="30" borderId="9" xfId="0" applyFont="1" applyFill="1" applyBorder="1" applyAlignment="1">
      <alignment horizontal="center" vertical="center"/>
    </xf>
    <xf numFmtId="0" fontId="4" fillId="30" borderId="8" xfId="0" applyFont="1" applyFill="1" applyBorder="1" applyAlignment="1">
      <alignment horizontal="centerContinuous"/>
    </xf>
    <xf numFmtId="0" fontId="0" fillId="30" borderId="9" xfId="0" applyFill="1" applyBorder="1" applyAlignment="1">
      <alignment horizontal="centerContinuous"/>
    </xf>
    <xf numFmtId="3" fontId="4" fillId="30" borderId="13" xfId="0" applyNumberFormat="1" applyFont="1" applyFill="1" applyBorder="1" applyAlignment="1">
      <alignment horizontal="center"/>
    </xf>
    <xf numFmtId="3" fontId="4" fillId="30" borderId="15" xfId="0" applyNumberFormat="1" applyFont="1" applyFill="1" applyBorder="1" applyAlignment="1">
      <alignment horizontal="center"/>
    </xf>
    <xf numFmtId="3" fontId="4" fillId="30" borderId="13" xfId="0" applyNumberFormat="1" applyFont="1" applyFill="1" applyBorder="1"/>
    <xf numFmtId="3" fontId="4" fillId="30" borderId="14" xfId="0" applyNumberFormat="1" applyFont="1" applyFill="1" applyBorder="1"/>
    <xf numFmtId="3" fontId="4" fillId="30" borderId="15" xfId="0" applyNumberFormat="1" applyFont="1" applyFill="1" applyBorder="1"/>
    <xf numFmtId="0" fontId="7" fillId="0" borderId="13" xfId="0" applyFont="1" applyBorder="1"/>
    <xf numFmtId="164" fontId="7" fillId="0" borderId="14" xfId="0" applyNumberFormat="1" applyFont="1" applyBorder="1" applyAlignment="1">
      <alignment horizontal="center"/>
    </xf>
    <xf numFmtId="164" fontId="7" fillId="0" borderId="14" xfId="1" applyNumberFormat="1" applyFont="1" applyBorder="1" applyAlignment="1">
      <alignment horizontal="center"/>
    </xf>
    <xf numFmtId="3" fontId="4" fillId="5" borderId="10" xfId="0" quotePrefix="1" applyNumberFormat="1" applyFont="1" applyFill="1" applyBorder="1" applyAlignment="1">
      <alignment horizontal="center"/>
    </xf>
    <xf numFmtId="0" fontId="21" fillId="0" borderId="0" xfId="0" applyFont="1" applyAlignment="1">
      <alignment horizontal="center" vertical="center" wrapText="1"/>
    </xf>
    <xf numFmtId="1" fontId="14" fillId="0" borderId="0" xfId="0" applyNumberFormat="1" applyFont="1" applyBorder="1" applyAlignment="1">
      <alignment horizontal="right" vertical="top" wrapText="1" indent="1"/>
    </xf>
    <xf numFmtId="3" fontId="14" fillId="0" borderId="0" xfId="0" applyNumberFormat="1" applyFont="1" applyBorder="1" applyAlignment="1">
      <alignment horizontal="left" vertical="top" wrapText="1" indent="1"/>
    </xf>
    <xf numFmtId="3" fontId="14" fillId="0" borderId="0" xfId="0" applyNumberFormat="1" applyFont="1" applyBorder="1" applyAlignment="1">
      <alignment horizontal="right" vertical="top" wrapText="1"/>
    </xf>
    <xf numFmtId="1" fontId="14" fillId="0" borderId="0" xfId="0" applyNumberFormat="1" applyFont="1" applyBorder="1" applyAlignment="1">
      <alignment horizontal="right" vertical="top" wrapText="1" indent="3"/>
    </xf>
    <xf numFmtId="1" fontId="14" fillId="0" borderId="0" xfId="0" applyNumberFormat="1" applyFont="1" applyBorder="1" applyAlignment="1">
      <alignment horizontal="right" vertical="top" wrapText="1" indent="2"/>
    </xf>
    <xf numFmtId="3" fontId="14" fillId="0" borderId="0" xfId="0" applyNumberFormat="1" applyFont="1" applyBorder="1" applyAlignment="1">
      <alignment horizontal="right" vertical="top" wrapText="1" indent="2"/>
    </xf>
    <xf numFmtId="1" fontId="14" fillId="0" borderId="0" xfId="0" applyNumberFormat="1" applyFont="1" applyBorder="1" applyAlignment="1">
      <alignment horizontal="center" vertical="top" wrapText="1"/>
    </xf>
    <xf numFmtId="0" fontId="1" fillId="0" borderId="0" xfId="0" applyFont="1" applyBorder="1" applyAlignment="1">
      <alignment vertical="center"/>
    </xf>
    <xf numFmtId="0" fontId="1" fillId="0" borderId="0" xfId="0" applyFont="1" applyBorder="1" applyAlignment="1">
      <alignment horizontal="right" vertical="center"/>
    </xf>
    <xf numFmtId="3" fontId="1" fillId="0" borderId="0" xfId="0" applyNumberFormat="1" applyFont="1" applyBorder="1" applyAlignment="1">
      <alignment horizontal="right" vertical="center"/>
    </xf>
    <xf numFmtId="0" fontId="0" fillId="0" borderId="0" xfId="0" applyBorder="1"/>
    <xf numFmtId="166" fontId="52" fillId="0" borderId="0" xfId="0" applyNumberFormat="1" applyFont="1" applyAlignment="1">
      <alignment horizontal="right" vertical="top" wrapText="1"/>
    </xf>
    <xf numFmtId="166" fontId="52" fillId="0" borderId="0" xfId="0" applyNumberFormat="1" applyFont="1" applyAlignment="1">
      <alignment horizontal="right" vertical="top" wrapText="1" indent="2"/>
    </xf>
    <xf numFmtId="166" fontId="52" fillId="0" borderId="0" xfId="0" applyNumberFormat="1" applyFont="1" applyAlignment="1">
      <alignment horizontal="right" vertical="top" wrapText="1" indent="3"/>
    </xf>
    <xf numFmtId="0" fontId="53" fillId="0" borderId="0" xfId="0" applyFont="1" applyAlignment="1">
      <alignment horizontal="right" vertical="top" wrapText="1"/>
    </xf>
    <xf numFmtId="1" fontId="14" fillId="0" borderId="43" xfId="0" applyNumberFormat="1" applyFont="1" applyFill="1" applyBorder="1" applyAlignment="1">
      <alignment horizontal="center" vertical="top" wrapText="1"/>
    </xf>
    <xf numFmtId="0" fontId="51" fillId="0" borderId="19" xfId="0" applyFont="1" applyBorder="1" applyAlignment="1">
      <alignment horizontal="center" vertical="center" textRotation="90" wrapText="1"/>
    </xf>
    <xf numFmtId="0" fontId="51" fillId="0" borderId="20" xfId="0" applyFont="1" applyBorder="1" applyAlignment="1">
      <alignment horizontal="center" vertical="center" textRotation="90" wrapText="1"/>
    </xf>
    <xf numFmtId="0" fontId="51" fillId="0" borderId="21" xfId="0" applyFont="1" applyBorder="1" applyAlignment="1">
      <alignment horizontal="center" vertical="center" textRotation="90" wrapText="1"/>
    </xf>
    <xf numFmtId="0" fontId="4" fillId="0" borderId="13" xfId="0" applyFont="1" applyBorder="1" applyAlignment="1">
      <alignment horizontal="center" vertical="center" textRotation="90"/>
    </xf>
    <xf numFmtId="0" fontId="4" fillId="0" borderId="8" xfId="0" applyFont="1" applyBorder="1" applyAlignment="1">
      <alignment horizontal="center" vertical="center" textRotation="90"/>
    </xf>
    <xf numFmtId="0" fontId="4" fillId="0" borderId="20" xfId="0" applyFont="1" applyBorder="1" applyAlignment="1">
      <alignment horizontal="center" vertical="center" textRotation="90"/>
    </xf>
    <xf numFmtId="0" fontId="4" fillId="0" borderId="21" xfId="0" applyFont="1" applyBorder="1" applyAlignment="1">
      <alignment horizontal="center" vertical="center" textRotation="90"/>
    </xf>
    <xf numFmtId="3" fontId="0" fillId="0" borderId="18" xfId="0" quotePrefix="1" applyNumberFormat="1" applyBorder="1" applyAlignment="1">
      <alignment horizontal="center" vertical="center"/>
    </xf>
    <xf numFmtId="0" fontId="0" fillId="0" borderId="12" xfId="0" quotePrefix="1" applyBorder="1" applyAlignment="1">
      <alignment horizontal="center" vertical="center"/>
    </xf>
    <xf numFmtId="3" fontId="0" fillId="0" borderId="12" xfId="0" quotePrefix="1" applyNumberFormat="1" applyBorder="1" applyAlignment="1">
      <alignment horizontal="center" vertical="center"/>
    </xf>
    <xf numFmtId="0" fontId="0" fillId="0" borderId="15" xfId="0" quotePrefix="1" applyBorder="1" applyAlignment="1">
      <alignment horizontal="center" vertical="center"/>
    </xf>
    <xf numFmtId="3" fontId="7" fillId="0" borderId="18" xfId="0" quotePrefix="1" applyNumberFormat="1" applyFont="1" applyBorder="1" applyAlignment="1">
      <alignment horizontal="center" vertical="center"/>
    </xf>
    <xf numFmtId="0" fontId="7" fillId="0" borderId="12" xfId="0" quotePrefix="1" applyFont="1" applyBorder="1" applyAlignment="1">
      <alignment horizontal="center" vertical="center"/>
    </xf>
    <xf numFmtId="3" fontId="7" fillId="0" borderId="12" xfId="0" quotePrefix="1" applyNumberFormat="1" applyFont="1" applyBorder="1" applyAlignment="1">
      <alignment horizontal="center" vertical="center"/>
    </xf>
    <xf numFmtId="0" fontId="7" fillId="0" borderId="15" xfId="0" quotePrefix="1" applyFont="1" applyBorder="1" applyAlignment="1">
      <alignment horizontal="center" vertical="center"/>
    </xf>
    <xf numFmtId="9" fontId="0" fillId="0" borderId="18" xfId="0" quotePrefix="1" applyNumberFormat="1" applyBorder="1" applyAlignment="1">
      <alignment horizontal="center" vertical="center" wrapText="1"/>
    </xf>
    <xf numFmtId="0" fontId="0" fillId="0" borderId="12" xfId="0" applyBorder="1" applyAlignment="1">
      <alignment horizontal="center" vertical="center" wrapText="1"/>
    </xf>
    <xf numFmtId="0" fontId="0" fillId="0" borderId="15" xfId="0" applyBorder="1" applyAlignment="1">
      <alignment horizontal="center" vertical="center" wrapText="1"/>
    </xf>
    <xf numFmtId="9" fontId="0" fillId="0" borderId="17" xfId="0" quotePrefix="1" applyNumberFormat="1" applyBorder="1" applyAlignment="1">
      <alignment horizontal="center" vertical="center" wrapText="1"/>
    </xf>
    <xf numFmtId="0" fontId="0" fillId="0" borderId="0" xfId="0" applyAlignment="1">
      <alignment horizontal="center" vertical="center" wrapText="1"/>
    </xf>
    <xf numFmtId="9" fontId="0" fillId="0" borderId="0" xfId="0" quotePrefix="1" applyNumberFormat="1" applyAlignment="1">
      <alignment horizontal="center" vertical="center" wrapText="1"/>
    </xf>
    <xf numFmtId="0" fontId="0" fillId="0" borderId="14" xfId="0" applyBorder="1" applyAlignment="1">
      <alignment horizontal="center" vertical="center" wrapText="1"/>
    </xf>
    <xf numFmtId="0" fontId="7" fillId="0" borderId="17" xfId="0" quotePrefix="1" applyFont="1" applyBorder="1" applyAlignment="1">
      <alignment horizontal="center" vertical="center"/>
    </xf>
    <xf numFmtId="0" fontId="0" fillId="0" borderId="0" xfId="0" applyAlignment="1">
      <alignment horizontal="center" vertical="center"/>
    </xf>
    <xf numFmtId="0" fontId="0" fillId="0" borderId="14" xfId="0" applyBorder="1" applyAlignment="1">
      <alignment horizontal="center" vertical="center"/>
    </xf>
    <xf numFmtId="0" fontId="7" fillId="0" borderId="18" xfId="0" quotePrefix="1" applyFont="1" applyBorder="1" applyAlignment="1">
      <alignment horizontal="center" vertical="center"/>
    </xf>
    <xf numFmtId="0" fontId="0" fillId="0" borderId="12"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xf>
    <xf numFmtId="0" fontId="0" fillId="0" borderId="0" xfId="0" applyAlignment="1">
      <alignment horizontal="center"/>
    </xf>
    <xf numFmtId="0" fontId="1" fillId="0" borderId="29" xfId="0" applyFont="1" applyBorder="1" applyAlignment="1">
      <alignment vertical="center" wrapText="1"/>
    </xf>
    <xf numFmtId="0" fontId="1" fillId="0" borderId="0" xfId="0" applyFont="1" applyAlignment="1">
      <alignment vertical="center"/>
    </xf>
    <xf numFmtId="2" fontId="41" fillId="0" borderId="0" xfId="0" applyNumberFormat="1" applyFont="1" applyAlignment="1">
      <alignment horizontal="center" vertical="top" wrapText="1"/>
    </xf>
    <xf numFmtId="0" fontId="49" fillId="0" borderId="55" xfId="0" applyFont="1" applyBorder="1" applyAlignment="1">
      <alignment horizontal="center" vertical="top" wrapText="1" readingOrder="1"/>
    </xf>
    <xf numFmtId="0" fontId="49" fillId="0" borderId="56" xfId="0" applyFont="1" applyBorder="1" applyAlignment="1">
      <alignment horizontal="center" vertical="top" wrapText="1" readingOrder="1"/>
    </xf>
    <xf numFmtId="0" fontId="47" fillId="23" borderId="54" xfId="0" applyFont="1" applyFill="1" applyBorder="1" applyAlignment="1">
      <alignment vertical="top" wrapText="1" readingOrder="1"/>
    </xf>
    <xf numFmtId="0" fontId="48" fillId="0" borderId="58" xfId="0" applyFont="1" applyBorder="1" applyAlignment="1">
      <alignment vertical="top" wrapText="1"/>
    </xf>
    <xf numFmtId="0" fontId="48" fillId="0" borderId="59" xfId="0" applyFont="1" applyBorder="1" applyAlignment="1">
      <alignment vertical="top" wrapText="1"/>
    </xf>
    <xf numFmtId="0" fontId="35" fillId="0" borderId="0" xfId="0" applyFont="1" applyAlignment="1">
      <alignment horizontal="left" wrapText="1"/>
    </xf>
    <xf numFmtId="0" fontId="32" fillId="10" borderId="32" xfId="0" applyFont="1" applyFill="1" applyBorder="1" applyAlignment="1">
      <alignment horizontal="left" vertical="center" wrapText="1"/>
    </xf>
    <xf numFmtId="0" fontId="32" fillId="10" borderId="46" xfId="0" applyFont="1" applyFill="1" applyBorder="1" applyAlignment="1">
      <alignment horizontal="left" vertical="center" wrapText="1"/>
    </xf>
    <xf numFmtId="0" fontId="32" fillId="10" borderId="34" xfId="0" applyFont="1" applyFill="1" applyBorder="1" applyAlignment="1">
      <alignment horizontal="left" vertical="top" wrapText="1"/>
    </xf>
    <xf numFmtId="0" fontId="32" fillId="10" borderId="39" xfId="0" applyFont="1" applyFill="1" applyBorder="1" applyAlignment="1">
      <alignment horizontal="left" vertical="top" wrapText="1"/>
    </xf>
    <xf numFmtId="0" fontId="32" fillId="10" borderId="34" xfId="0" applyFont="1" applyFill="1" applyBorder="1" applyAlignment="1">
      <alignment horizontal="left" vertical="top" wrapText="1" indent="1"/>
    </xf>
    <xf numFmtId="0" fontId="32" fillId="10" borderId="39" xfId="0" applyFont="1" applyFill="1" applyBorder="1" applyAlignment="1">
      <alignment horizontal="left" vertical="top" wrapText="1" indent="1"/>
    </xf>
    <xf numFmtId="0" fontId="32" fillId="10" borderId="31" xfId="0" applyFont="1" applyFill="1" applyBorder="1" applyAlignment="1">
      <alignment horizontal="left" vertical="top" wrapText="1" indent="1"/>
    </xf>
    <xf numFmtId="0" fontId="32" fillId="9" borderId="43" xfId="0" applyFont="1" applyFill="1" applyBorder="1" applyAlignment="1">
      <alignment horizontal="left" vertical="center" wrapText="1" indent="1"/>
    </xf>
    <xf numFmtId="0" fontId="32" fillId="9" borderId="33" xfId="0" applyFont="1" applyFill="1" applyBorder="1" applyAlignment="1">
      <alignment horizontal="left" vertical="center" wrapText="1" indent="1"/>
    </xf>
    <xf numFmtId="0" fontId="4" fillId="0" borderId="0" xfId="0" applyFont="1" applyAlignment="1">
      <alignment horizontal="center"/>
    </xf>
    <xf numFmtId="0" fontId="38" fillId="0" borderId="0" xfId="0" applyFont="1" applyAlignment="1">
      <alignment horizontal="center"/>
    </xf>
    <xf numFmtId="0" fontId="15" fillId="0" borderId="32" xfId="0" applyFont="1" applyBorder="1" applyAlignment="1">
      <alignment horizontal="left" vertical="center" wrapText="1" indent="1"/>
    </xf>
    <xf numFmtId="0" fontId="15" fillId="0" borderId="33" xfId="0" applyFont="1" applyBorder="1" applyAlignment="1">
      <alignment horizontal="left" vertical="center" wrapText="1" inden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2" xfId="0" applyFont="1" applyBorder="1" applyAlignment="1">
      <alignment horizontal="center" vertical="top" wrapText="1"/>
    </xf>
    <xf numFmtId="0" fontId="15" fillId="0" borderId="33" xfId="0" applyFont="1" applyBorder="1" applyAlignment="1">
      <alignment horizontal="center" vertical="top" wrapText="1"/>
    </xf>
    <xf numFmtId="0" fontId="17" fillId="0" borderId="36" xfId="0" applyFont="1" applyBorder="1" applyAlignment="1">
      <alignment horizontal="left" vertical="top" wrapText="1" indent="3"/>
    </xf>
    <xf numFmtId="0" fontId="17" fillId="0" borderId="38" xfId="0" applyFont="1" applyBorder="1" applyAlignment="1">
      <alignment horizontal="left" vertical="top" wrapText="1" indent="3"/>
    </xf>
    <xf numFmtId="0" fontId="17" fillId="0" borderId="37" xfId="0" applyFont="1" applyBorder="1" applyAlignment="1">
      <alignment horizontal="left" vertical="top" wrapText="1" indent="3"/>
    </xf>
    <xf numFmtId="0" fontId="27" fillId="0" borderId="0" xfId="0" applyFont="1" applyAlignment="1">
      <alignment horizontal="left" vertical="top" wrapText="1" indent="7"/>
    </xf>
    <xf numFmtId="0" fontId="27" fillId="0" borderId="0" xfId="0" applyFont="1" applyAlignment="1">
      <alignment horizontal="left" vertical="top" wrapText="1" indent="2"/>
    </xf>
    <xf numFmtId="0" fontId="21" fillId="0" borderId="0" xfId="0" applyFont="1" applyAlignment="1">
      <alignment horizontal="center" vertical="center" wrapText="1"/>
    </xf>
    <xf numFmtId="0" fontId="21" fillId="0" borderId="42" xfId="0" applyFont="1" applyBorder="1" applyAlignment="1">
      <alignment horizontal="center" vertical="center" wrapText="1"/>
    </xf>
    <xf numFmtId="0" fontId="21" fillId="0" borderId="42" xfId="0" applyFont="1" applyBorder="1" applyAlignment="1">
      <alignment horizontal="left" vertical="center" wrapText="1" indent="2"/>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60" xfId="0" applyBorder="1" applyAlignment="1">
      <alignment horizontal="left"/>
    </xf>
    <xf numFmtId="0" fontId="0" fillId="0" borderId="0" xfId="0" applyAlignment="1">
      <alignment horizontal="left" wrapText="1"/>
    </xf>
    <xf numFmtId="0" fontId="0" fillId="0" borderId="60" xfId="0" applyBorder="1" applyAlignment="1">
      <alignment horizontal="left" wrapText="1"/>
    </xf>
    <xf numFmtId="0" fontId="0" fillId="0" borderId="60"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0" fillId="0" borderId="10" xfId="0" applyBorder="1" applyAlignment="1">
      <alignment horizontal="center" wrapText="1"/>
    </xf>
    <xf numFmtId="166" fontId="0" fillId="24" borderId="8" xfId="0" applyNumberFormat="1" applyFill="1" applyBorder="1" applyAlignment="1">
      <alignment horizontal="center"/>
    </xf>
    <xf numFmtId="0" fontId="0" fillId="24" borderId="9" xfId="0" applyFill="1" applyBorder="1" applyAlignment="1">
      <alignment horizontal="center"/>
    </xf>
    <xf numFmtId="0" fontId="0" fillId="24" borderId="10" xfId="0" applyFill="1" applyBorder="1" applyAlignment="1">
      <alignment horizontal="center"/>
    </xf>
    <xf numFmtId="166" fontId="0" fillId="25" borderId="8" xfId="0" applyNumberFormat="1" applyFill="1" applyBorder="1" applyAlignment="1">
      <alignment horizontal="center"/>
    </xf>
    <xf numFmtId="0" fontId="0" fillId="25" borderId="9" xfId="0" applyFill="1" applyBorder="1" applyAlignment="1">
      <alignment horizontal="center"/>
    </xf>
    <xf numFmtId="0" fontId="0" fillId="25" borderId="10" xfId="0" applyFill="1" applyBorder="1" applyAlignment="1">
      <alignment horizontal="center"/>
    </xf>
    <xf numFmtId="166" fontId="0" fillId="26" borderId="8" xfId="0" applyNumberFormat="1" applyFill="1" applyBorder="1" applyAlignment="1">
      <alignment horizontal="center"/>
    </xf>
    <xf numFmtId="166" fontId="0" fillId="26" borderId="9" xfId="0" applyNumberFormat="1" applyFill="1" applyBorder="1" applyAlignment="1">
      <alignment horizontal="center"/>
    </xf>
    <xf numFmtId="166" fontId="0" fillId="26" borderId="10" xfId="0" applyNumberFormat="1" applyFill="1" applyBorder="1" applyAlignment="1">
      <alignment horizontal="center"/>
    </xf>
    <xf numFmtId="0" fontId="0" fillId="0" borderId="0" xfId="0" applyAlignment="1">
      <alignment horizontal="left"/>
    </xf>
  </cellXfs>
  <cellStyles count="5">
    <cellStyle name="Bad" xfId="3" builtinId="27"/>
    <cellStyle name="Comma" xfId="4" builtinId="3"/>
    <cellStyle name="Good" xfId="2" builtinId="26"/>
    <cellStyle name="Normal" xfId="0" builtinId="0"/>
    <cellStyle name="Percent" xfId="1" builtinId="5"/>
  </cellStyles>
  <dxfs count="0"/>
  <tableStyles count="0" defaultTableStyle="TableStyleMedium2" defaultPivotStyle="PivotStyleLight16"/>
  <colors>
    <mruColors>
      <color rgb="FFD5EFE0"/>
      <color rgb="FFC0E6CF"/>
      <color rgb="FFABDDBF"/>
      <color rgb="FF8BCFA7"/>
      <color rgb="FF68C08C"/>
      <color rgb="FF44A16A"/>
      <color rgb="FF368255"/>
      <color rgb="FF98B1CC"/>
      <color rgb="FF649A94"/>
      <color rgb="FF9FC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873920128702"/>
          <c:y val="5.0925925925925923E-2"/>
          <c:w val="0.84052388597397309"/>
          <c:h val="0.83616107589559574"/>
        </c:manualLayout>
      </c:layout>
      <c:barChart>
        <c:barDir val="col"/>
        <c:grouping val="stacked"/>
        <c:varyColors val="0"/>
        <c:ser>
          <c:idx val="0"/>
          <c:order val="0"/>
          <c:tx>
            <c:v>Adults</c:v>
          </c:tx>
          <c:spPr>
            <a:solidFill>
              <a:srgbClr val="368255"/>
            </a:solidFill>
            <a:ln>
              <a:solidFill>
                <a:schemeClr val="tx1"/>
              </a:solidFill>
            </a:ln>
            <a:effectLst/>
          </c:spPr>
          <c:invertIfNegative val="0"/>
          <c:cat>
            <c:numRef>
              <c:f>Run!$BR$59:$BR$88</c:f>
              <c:numCache>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formatCode="General">
                  <c:v>2017</c:v>
                </c:pt>
                <c:pt idx="28">
                  <c:v>2018</c:v>
                </c:pt>
                <c:pt idx="29">
                  <c:v>2019</c:v>
                </c:pt>
              </c:numCache>
            </c:numRef>
          </c:cat>
          <c:val>
            <c:numRef>
              <c:f>Run!$BX$59:$BX$88</c:f>
              <c:numCache>
                <c:formatCode>#,##0</c:formatCode>
                <c:ptCount val="30"/>
                <c:pt idx="0">
                  <c:v>127900</c:v>
                </c:pt>
                <c:pt idx="1">
                  <c:v>105530</c:v>
                </c:pt>
                <c:pt idx="2">
                  <c:v>72197</c:v>
                </c:pt>
                <c:pt idx="3">
                  <c:v>62778</c:v>
                </c:pt>
                <c:pt idx="4">
                  <c:v>48804</c:v>
                </c:pt>
                <c:pt idx="5">
                  <c:v>40854</c:v>
                </c:pt>
                <c:pt idx="6">
                  <c:v>33358</c:v>
                </c:pt>
                <c:pt idx="7">
                  <c:v>34540</c:v>
                </c:pt>
                <c:pt idx="8">
                  <c:v>43497</c:v>
                </c:pt>
                <c:pt idx="9">
                  <c:v>52584</c:v>
                </c:pt>
                <c:pt idx="10">
                  <c:v>55740</c:v>
                </c:pt>
                <c:pt idx="11">
                  <c:v>78502</c:v>
                </c:pt>
                <c:pt idx="12">
                  <c:v>120161</c:v>
                </c:pt>
                <c:pt idx="13">
                  <c:v>123355</c:v>
                </c:pt>
                <c:pt idx="14">
                  <c:v>143240</c:v>
                </c:pt>
                <c:pt idx="15">
                  <c:v>59471</c:v>
                </c:pt>
                <c:pt idx="16">
                  <c:v>59311</c:v>
                </c:pt>
                <c:pt idx="17">
                  <c:v>39963</c:v>
                </c:pt>
                <c:pt idx="18">
                  <c:v>26615</c:v>
                </c:pt>
                <c:pt idx="19">
                  <c:v>35432</c:v>
                </c:pt>
                <c:pt idx="20">
                  <c:v>107675</c:v>
                </c:pt>
                <c:pt idx="21">
                  <c:v>76549</c:v>
                </c:pt>
                <c:pt idx="22">
                  <c:v>63037</c:v>
                </c:pt>
                <c:pt idx="23">
                  <c:v>44880</c:v>
                </c:pt>
                <c:pt idx="24">
                  <c:v>49765</c:v>
                </c:pt>
                <c:pt idx="25">
                  <c:v>84532</c:v>
                </c:pt>
                <c:pt idx="26">
                  <c:v>47225</c:v>
                </c:pt>
                <c:pt idx="27">
                  <c:v>50774</c:v>
                </c:pt>
                <c:pt idx="28">
                  <c:v>37441</c:v>
                </c:pt>
                <c:pt idx="29">
                  <c:v>27292</c:v>
                </c:pt>
              </c:numCache>
            </c:numRef>
          </c:val>
          <c:extLst>
            <c:ext xmlns:c16="http://schemas.microsoft.com/office/drawing/2014/chart" uri="{C3380CC4-5D6E-409C-BE32-E72D297353CC}">
              <c16:uniqueId val="{00000000-80A8-4051-9607-0824D67CE24C}"/>
            </c:ext>
          </c:extLst>
        </c:ser>
        <c:dLbls>
          <c:showLegendKey val="0"/>
          <c:showVal val="0"/>
          <c:showCatName val="0"/>
          <c:showSerName val="0"/>
          <c:showPercent val="0"/>
          <c:showBubbleSize val="0"/>
        </c:dLbls>
        <c:gapWidth val="10"/>
        <c:overlap val="100"/>
        <c:axId val="94339840"/>
        <c:axId val="94341376"/>
      </c:barChart>
      <c:catAx>
        <c:axId val="94339840"/>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94341376"/>
        <c:crosses val="autoZero"/>
        <c:auto val="1"/>
        <c:lblAlgn val="ctr"/>
        <c:lblOffset val="100"/>
        <c:tickLblSkip val="4"/>
        <c:tickMarkSkip val="4"/>
        <c:noMultiLvlLbl val="0"/>
      </c:catAx>
      <c:valAx>
        <c:axId val="94341376"/>
        <c:scaling>
          <c:orientation val="minMax"/>
          <c:max val="150000"/>
          <c:min val="0"/>
        </c:scaling>
        <c:delete val="0"/>
        <c:axPos val="l"/>
        <c:majorGridlines>
          <c:spPr>
            <a:ln w="952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en-US" sz="1400" b="1">
                    <a:solidFill>
                      <a:schemeClr val="tx1"/>
                    </a:solidFill>
                  </a:rPr>
                  <a:t>Columbia River Mouth Return (adults)</a:t>
                </a:r>
              </a:p>
            </c:rich>
          </c:tx>
          <c:layout>
            <c:manualLayout>
              <c:xMode val="edge"/>
              <c:yMode val="edge"/>
              <c:x val="4.3172771834610445E-3"/>
              <c:y val="9.6636045494313205E-2"/>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94339840"/>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u="none">
                <a:solidFill>
                  <a:schemeClr val="tx1"/>
                </a:solidFill>
              </a:rPr>
              <a:t>Current</a:t>
            </a:r>
            <a:r>
              <a:rPr lang="en-US" sz="1400" b="1" u="none" baseline="0">
                <a:solidFill>
                  <a:schemeClr val="tx1"/>
                </a:solidFill>
              </a:rPr>
              <a:t> Hatchery Production (smolts)</a:t>
            </a:r>
            <a:endParaRPr lang="en-US" sz="1400" b="1" u="none">
              <a:solidFill>
                <a:schemeClr val="tx1"/>
              </a:solidFill>
            </a:endParaRPr>
          </a:p>
        </c:rich>
      </c:tx>
      <c:layout>
        <c:manualLayout>
          <c:xMode val="edge"/>
          <c:yMode val="edge"/>
          <c:x val="0.20004588399498194"/>
          <c:y val="1.656322571869197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7249618506988954"/>
          <c:y val="0.23617129681152968"/>
          <c:w val="0.4821394128059574"/>
          <c:h val="0.68677400395080967"/>
        </c:manualLayout>
      </c:layout>
      <c:pieChart>
        <c:varyColors val="1"/>
        <c:ser>
          <c:idx val="0"/>
          <c:order val="0"/>
          <c:spPr>
            <a:ln w="3175"/>
          </c:spPr>
          <c:dPt>
            <c:idx val="0"/>
            <c:bubble3D val="0"/>
            <c:spPr>
              <a:solidFill>
                <a:schemeClr val="accent6">
                  <a:tint val="54000"/>
                </a:schemeClr>
              </a:solidFill>
              <a:ln w="3175">
                <a:solidFill>
                  <a:schemeClr val="lt1"/>
                </a:solidFill>
              </a:ln>
              <a:effectLst/>
            </c:spPr>
            <c:extLst>
              <c:ext xmlns:c16="http://schemas.microsoft.com/office/drawing/2014/chart" uri="{C3380CC4-5D6E-409C-BE32-E72D297353CC}">
                <c16:uniqueId val="{00000001-C9C9-4BFC-81EB-04E86B625DD5}"/>
              </c:ext>
            </c:extLst>
          </c:dPt>
          <c:dPt>
            <c:idx val="1"/>
            <c:bubble3D val="0"/>
            <c:spPr>
              <a:solidFill>
                <a:schemeClr val="accent6">
                  <a:tint val="77000"/>
                </a:schemeClr>
              </a:solidFill>
              <a:ln w="3175">
                <a:solidFill>
                  <a:schemeClr val="lt1"/>
                </a:solidFill>
              </a:ln>
              <a:effectLst/>
            </c:spPr>
            <c:extLst>
              <c:ext xmlns:c16="http://schemas.microsoft.com/office/drawing/2014/chart" uri="{C3380CC4-5D6E-409C-BE32-E72D297353CC}">
                <c16:uniqueId val="{00000003-C9C9-4BFC-81EB-04E86B625DD5}"/>
              </c:ext>
            </c:extLst>
          </c:dPt>
          <c:dPt>
            <c:idx val="2"/>
            <c:bubble3D val="0"/>
            <c:spPr>
              <a:solidFill>
                <a:schemeClr val="accent6"/>
              </a:solidFill>
              <a:ln w="3175">
                <a:solidFill>
                  <a:schemeClr val="lt1"/>
                </a:solidFill>
              </a:ln>
              <a:effectLst/>
            </c:spPr>
            <c:extLst>
              <c:ext xmlns:c16="http://schemas.microsoft.com/office/drawing/2014/chart" uri="{C3380CC4-5D6E-409C-BE32-E72D297353CC}">
                <c16:uniqueId val="{00000005-C9C9-4BFC-81EB-04E86B625DD5}"/>
              </c:ext>
            </c:extLst>
          </c:dPt>
          <c:dPt>
            <c:idx val="3"/>
            <c:bubble3D val="0"/>
            <c:spPr>
              <a:solidFill>
                <a:schemeClr val="accent6">
                  <a:shade val="76000"/>
                </a:schemeClr>
              </a:solidFill>
              <a:ln w="3175">
                <a:solidFill>
                  <a:schemeClr val="lt1"/>
                </a:solidFill>
              </a:ln>
              <a:effectLst/>
            </c:spPr>
            <c:extLst>
              <c:ext xmlns:c16="http://schemas.microsoft.com/office/drawing/2014/chart" uri="{C3380CC4-5D6E-409C-BE32-E72D297353CC}">
                <c16:uniqueId val="{00000007-C9C9-4BFC-81EB-04E86B625DD5}"/>
              </c:ext>
            </c:extLst>
          </c:dPt>
          <c:dPt>
            <c:idx val="4"/>
            <c:bubble3D val="0"/>
            <c:spPr>
              <a:solidFill>
                <a:schemeClr val="accent6">
                  <a:shade val="53000"/>
                </a:schemeClr>
              </a:solidFill>
              <a:ln w="3175">
                <a:solidFill>
                  <a:schemeClr val="lt1"/>
                </a:solidFill>
              </a:ln>
              <a:effectLst/>
            </c:spPr>
            <c:extLst>
              <c:ext xmlns:c16="http://schemas.microsoft.com/office/drawing/2014/chart" uri="{C3380CC4-5D6E-409C-BE32-E72D297353CC}">
                <c16:uniqueId val="{00000009-C9C9-4BFC-81EB-04E86B625DD5}"/>
              </c:ext>
            </c:extLst>
          </c:dPt>
          <c:dLbls>
            <c:dLbl>
              <c:idx val="0"/>
              <c:layout>
                <c:manualLayout>
                  <c:x val="3.6490740206996546E-2"/>
                  <c:y val="3.7464743489939667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2757767197704934"/>
                      <c:h val="0.13786056354682544"/>
                    </c:manualLayout>
                  </c15:layout>
                </c:ext>
                <c:ext xmlns:c16="http://schemas.microsoft.com/office/drawing/2014/chart" uri="{C3380CC4-5D6E-409C-BE32-E72D297353CC}">
                  <c16:uniqueId val="{00000001-C9C9-4BFC-81EB-04E86B625DD5}"/>
                </c:ext>
              </c:extLst>
            </c:dLbl>
            <c:dLbl>
              <c:idx val="1"/>
              <c:layout>
                <c:manualLayout>
                  <c:x val="-5.2796689685060318E-3"/>
                  <c:y val="-2.480009702198244E-2"/>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8781145089421961"/>
                      <c:h val="0.27580416017472592"/>
                    </c:manualLayout>
                  </c15:layout>
                </c:ext>
                <c:ext xmlns:c16="http://schemas.microsoft.com/office/drawing/2014/chart" uri="{C3380CC4-5D6E-409C-BE32-E72D297353CC}">
                  <c16:uniqueId val="{00000003-C9C9-4BFC-81EB-04E86B625DD5}"/>
                </c:ext>
              </c:extLst>
            </c:dLbl>
            <c:dLbl>
              <c:idx val="2"/>
              <c:layout>
                <c:manualLayout>
                  <c:x val="6.8036681267592825E-2"/>
                  <c:y val="-1.6388848372013748E-7"/>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2447689678325092"/>
                      <c:h val="0.1985094909854766"/>
                    </c:manualLayout>
                  </c15:layout>
                </c:ext>
                <c:ext xmlns:c16="http://schemas.microsoft.com/office/drawing/2014/chart" uri="{C3380CC4-5D6E-409C-BE32-E72D297353CC}">
                  <c16:uniqueId val="{00000005-C9C9-4BFC-81EB-04E86B625DD5}"/>
                </c:ext>
              </c:extLst>
            </c:dLbl>
            <c:dLbl>
              <c:idx val="3"/>
              <c:layout>
                <c:manualLayout>
                  <c:x val="2.8075587746889804E-3"/>
                  <c:y val="3.680037389921105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9399224806201546"/>
                      <c:h val="0.1985094909854766"/>
                    </c:manualLayout>
                  </c15:layout>
                </c:ext>
                <c:ext xmlns:c16="http://schemas.microsoft.com/office/drawing/2014/chart" uri="{C3380CC4-5D6E-409C-BE32-E72D297353CC}">
                  <c16:uniqueId val="{00000007-C9C9-4BFC-81EB-04E86B625DD5}"/>
                </c:ext>
              </c:extLst>
            </c:dLbl>
            <c:dLbl>
              <c:idx val="4"/>
              <c:layout>
                <c:manualLayout>
                  <c:x val="2.1365458611918866E-3"/>
                  <c:y val="2.208416012069727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33222883476774706"/>
                      <c:h val="0.13786056354682544"/>
                    </c:manualLayout>
                  </c15:layout>
                </c:ext>
                <c:ext xmlns:c16="http://schemas.microsoft.com/office/drawing/2014/chart" uri="{C3380CC4-5D6E-409C-BE32-E72D297353CC}">
                  <c16:uniqueId val="{00000009-C9C9-4BFC-81EB-04E86B625DD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Summary!$S$15:$S$21</c:f>
              <c:strCache>
                <c:ptCount val="7"/>
                <c:pt idx="0">
                  <c:v>Clackamas Hat</c:v>
                </c:pt>
                <c:pt idx="1">
                  <c:v>N Santiam (Marion Forks Hat)</c:v>
                </c:pt>
                <c:pt idx="2">
                  <c:v>S Santiam Hat</c:v>
                </c:pt>
                <c:pt idx="3">
                  <c:v>Middle Fk Will (Willamette Hat)</c:v>
                </c:pt>
                <c:pt idx="4">
                  <c:v>McKenzie Hat</c:v>
                </c:pt>
                <c:pt idx="5">
                  <c:v>Coast Fork Will</c:v>
                </c:pt>
                <c:pt idx="6">
                  <c:v>Molalla</c:v>
                </c:pt>
              </c:strCache>
            </c:strRef>
          </c:cat>
          <c:val>
            <c:numRef>
              <c:f>Summary!$V$15:$V$19</c:f>
              <c:numCache>
                <c:formatCode>#,##0</c:formatCode>
                <c:ptCount val="5"/>
                <c:pt idx="0">
                  <c:v>873000</c:v>
                </c:pt>
                <c:pt idx="1">
                  <c:v>704000</c:v>
                </c:pt>
                <c:pt idx="2">
                  <c:v>1021000</c:v>
                </c:pt>
                <c:pt idx="3">
                  <c:v>1672000</c:v>
                </c:pt>
                <c:pt idx="4">
                  <c:v>604750</c:v>
                </c:pt>
              </c:numCache>
            </c:numRef>
          </c:val>
          <c:extLst>
            <c:ext xmlns:c16="http://schemas.microsoft.com/office/drawing/2014/chart" uri="{C3380CC4-5D6E-409C-BE32-E72D297353CC}">
              <c16:uniqueId val="{0000000A-C9C9-4BFC-81EB-04E86B625DD5}"/>
            </c:ext>
          </c:extLst>
        </c:ser>
        <c:dLbls>
          <c:dLblPos val="outEnd"/>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u="none">
                <a:solidFill>
                  <a:schemeClr val="tx1"/>
                </a:solidFill>
              </a:rPr>
              <a:t>Harvest Distribution </a:t>
            </a:r>
          </a:p>
          <a:p>
            <a:pPr>
              <a:defRPr sz="1400" b="1" i="0" u="none" strike="noStrike" kern="1200" spc="0" baseline="0">
                <a:solidFill>
                  <a:schemeClr val="tx1">
                    <a:lumMod val="65000"/>
                    <a:lumOff val="35000"/>
                  </a:schemeClr>
                </a:solidFill>
                <a:latin typeface="+mn-lt"/>
                <a:ea typeface="+mn-ea"/>
                <a:cs typeface="+mn-cs"/>
              </a:defRPr>
            </a:pPr>
            <a:r>
              <a:rPr lang="en-US" sz="1400" b="1" u="none">
                <a:solidFill>
                  <a:schemeClr val="tx1"/>
                </a:solidFill>
              </a:rPr>
              <a:t>(Wild/Natl Exploitation Rate)</a:t>
            </a:r>
          </a:p>
        </c:rich>
      </c:tx>
      <c:layout>
        <c:manualLayout>
          <c:xMode val="edge"/>
          <c:yMode val="edge"/>
          <c:x val="0.20834104251935423"/>
          <c:y val="0"/>
        </c:manualLayout>
      </c:layout>
      <c:overlay val="0"/>
      <c:spPr>
        <a:noFill/>
        <a:ln>
          <a:noFill/>
        </a:ln>
        <a:effectLst/>
      </c:spPr>
    </c:title>
    <c:autoTitleDeleted val="0"/>
    <c:plotArea>
      <c:layout>
        <c:manualLayout>
          <c:layoutTarget val="inner"/>
          <c:xMode val="edge"/>
          <c:yMode val="edge"/>
          <c:x val="0.21059654446944193"/>
          <c:y val="0.24248665588468113"/>
          <c:w val="0.56499572801424014"/>
          <c:h val="0.72548050909262007"/>
        </c:manualLayout>
      </c:layout>
      <c:pieChart>
        <c:varyColors val="1"/>
        <c:ser>
          <c:idx val="0"/>
          <c:order val="0"/>
          <c:spPr>
            <a:ln w="3175"/>
          </c:spPr>
          <c:dPt>
            <c:idx val="0"/>
            <c:bubble3D val="0"/>
            <c:spPr>
              <a:solidFill>
                <a:srgbClr val="368255"/>
              </a:solidFill>
              <a:ln w="3175">
                <a:solidFill>
                  <a:schemeClr val="lt1"/>
                </a:solidFill>
              </a:ln>
              <a:effectLst/>
            </c:spPr>
            <c:extLst>
              <c:ext xmlns:c16="http://schemas.microsoft.com/office/drawing/2014/chart" uri="{C3380CC4-5D6E-409C-BE32-E72D297353CC}">
                <c16:uniqueId val="{00000001-70DC-4134-99BC-454162AEC239}"/>
              </c:ext>
            </c:extLst>
          </c:dPt>
          <c:dPt>
            <c:idx val="1"/>
            <c:bubble3D val="0"/>
            <c:spPr>
              <a:solidFill>
                <a:srgbClr val="44A16A"/>
              </a:solidFill>
              <a:ln w="3175">
                <a:solidFill>
                  <a:schemeClr val="lt1"/>
                </a:solidFill>
              </a:ln>
              <a:effectLst/>
            </c:spPr>
            <c:extLst>
              <c:ext xmlns:c16="http://schemas.microsoft.com/office/drawing/2014/chart" uri="{C3380CC4-5D6E-409C-BE32-E72D297353CC}">
                <c16:uniqueId val="{00000003-70DC-4134-99BC-454162AEC239}"/>
              </c:ext>
            </c:extLst>
          </c:dPt>
          <c:dPt>
            <c:idx val="2"/>
            <c:bubble3D val="0"/>
            <c:spPr>
              <a:solidFill>
                <a:srgbClr val="68C08C"/>
              </a:solidFill>
              <a:ln w="3175">
                <a:solidFill>
                  <a:schemeClr val="lt1"/>
                </a:solidFill>
              </a:ln>
              <a:effectLst/>
            </c:spPr>
            <c:extLst>
              <c:ext xmlns:c16="http://schemas.microsoft.com/office/drawing/2014/chart" uri="{C3380CC4-5D6E-409C-BE32-E72D297353CC}">
                <c16:uniqueId val="{00000005-70DC-4134-99BC-454162AEC239}"/>
              </c:ext>
            </c:extLst>
          </c:dPt>
          <c:dPt>
            <c:idx val="3"/>
            <c:bubble3D val="0"/>
            <c:spPr>
              <a:solidFill>
                <a:srgbClr val="8BCFA7"/>
              </a:solidFill>
              <a:ln w="3175">
                <a:solidFill>
                  <a:schemeClr val="lt1"/>
                </a:solidFill>
              </a:ln>
              <a:effectLst/>
            </c:spPr>
            <c:extLst>
              <c:ext xmlns:c16="http://schemas.microsoft.com/office/drawing/2014/chart" uri="{C3380CC4-5D6E-409C-BE32-E72D297353CC}">
                <c16:uniqueId val="{00000007-70DC-4134-99BC-454162AEC239}"/>
              </c:ext>
            </c:extLst>
          </c:dPt>
          <c:dPt>
            <c:idx val="4"/>
            <c:bubble3D val="0"/>
            <c:spPr>
              <a:solidFill>
                <a:srgbClr val="ABDDBF"/>
              </a:solidFill>
              <a:ln w="3175">
                <a:solidFill>
                  <a:schemeClr val="lt1"/>
                </a:solidFill>
              </a:ln>
              <a:effectLst/>
            </c:spPr>
            <c:extLst>
              <c:ext xmlns:c16="http://schemas.microsoft.com/office/drawing/2014/chart" uri="{C3380CC4-5D6E-409C-BE32-E72D297353CC}">
                <c16:uniqueId val="{00000009-70DC-4134-99BC-454162AEC239}"/>
              </c:ext>
            </c:extLst>
          </c:dPt>
          <c:dPt>
            <c:idx val="5"/>
            <c:bubble3D val="0"/>
            <c:spPr>
              <a:solidFill>
                <a:srgbClr val="C0E6CF"/>
              </a:solidFill>
              <a:ln w="3175">
                <a:solidFill>
                  <a:schemeClr val="lt1"/>
                </a:solidFill>
              </a:ln>
              <a:effectLst/>
            </c:spPr>
            <c:extLst>
              <c:ext xmlns:c16="http://schemas.microsoft.com/office/drawing/2014/chart" uri="{C3380CC4-5D6E-409C-BE32-E72D297353CC}">
                <c16:uniqueId val="{0000000B-44A1-4824-AA17-6DD400C45FA4}"/>
              </c:ext>
            </c:extLst>
          </c:dPt>
          <c:dPt>
            <c:idx val="6"/>
            <c:bubble3D val="0"/>
            <c:spPr>
              <a:solidFill>
                <a:srgbClr val="D5EFE0"/>
              </a:solidFill>
              <a:ln w="3175">
                <a:solidFill>
                  <a:schemeClr val="lt1"/>
                </a:solidFill>
              </a:ln>
              <a:effectLst/>
            </c:spPr>
            <c:extLst>
              <c:ext xmlns:c16="http://schemas.microsoft.com/office/drawing/2014/chart" uri="{C3380CC4-5D6E-409C-BE32-E72D297353CC}">
                <c16:uniqueId val="{0000000A-44A1-4824-AA17-6DD400C45FA4}"/>
              </c:ext>
            </c:extLst>
          </c:dPt>
          <c:dLbls>
            <c:dLbl>
              <c:idx val="0"/>
              <c:layout>
                <c:manualLayout>
                  <c:x val="-0.20471985398608139"/>
                  <c:y val="-6.769788041538808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DC-4134-99BC-454162AEC239}"/>
                </c:ext>
              </c:extLst>
            </c:dLbl>
            <c:dLbl>
              <c:idx val="1"/>
              <c:layout>
                <c:manualLayout>
                  <c:x val="-3.0033330265577439E-2"/>
                  <c:y val="1.654176594608940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DC-4134-99BC-454162AEC239}"/>
                </c:ext>
              </c:extLst>
            </c:dLbl>
            <c:dLbl>
              <c:idx val="2"/>
              <c:layout>
                <c:manualLayout>
                  <c:x val="-0.13647078495899745"/>
                  <c:y val="6.5756029578558223E-2"/>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41679562618847266"/>
                      <c:h val="0.14286462180048554"/>
                    </c:manualLayout>
                  </c15:layout>
                </c:ext>
                <c:ext xmlns:c16="http://schemas.microsoft.com/office/drawing/2014/chart" uri="{C3380CC4-5D6E-409C-BE32-E72D297353CC}">
                  <c16:uniqueId val="{00000005-70DC-4134-99BC-454162AEC239}"/>
                </c:ext>
              </c:extLst>
            </c:dLbl>
            <c:dLbl>
              <c:idx val="3"/>
              <c:layout>
                <c:manualLayout>
                  <c:x val="1.6369957956276486E-2"/>
                  <c:y val="3.6655106018992085E-2"/>
                </c:manualLayout>
              </c:layout>
              <c:showLegendKey val="0"/>
              <c:showVal val="1"/>
              <c:showCatName val="1"/>
              <c:showSerName val="0"/>
              <c:showPercent val="0"/>
              <c:showBubbleSize val="0"/>
              <c:extLst>
                <c:ext xmlns:c15="http://schemas.microsoft.com/office/drawing/2012/chart" uri="{CE6537A1-D6FC-4f65-9D91-7224C49458BB}">
                  <c15:layout>
                    <c:manualLayout>
                      <c:w val="0.29875173270204586"/>
                      <c:h val="0.13571087048794284"/>
                    </c:manualLayout>
                  </c15:layout>
                </c:ext>
                <c:ext xmlns:c16="http://schemas.microsoft.com/office/drawing/2014/chart" uri="{C3380CC4-5D6E-409C-BE32-E72D297353CC}">
                  <c16:uniqueId val="{00000007-70DC-4134-99BC-454162AEC239}"/>
                </c:ext>
              </c:extLst>
            </c:dLbl>
            <c:dLbl>
              <c:idx val="4"/>
              <c:layout>
                <c:manualLayout>
                  <c:x val="-1.8414269241211114E-3"/>
                  <c:y val="0.16211182449816883"/>
                </c:manualLayout>
              </c:layout>
              <c:showLegendKey val="0"/>
              <c:showVal val="1"/>
              <c:showCatName val="1"/>
              <c:showSerName val="0"/>
              <c:showPercent val="0"/>
              <c:showBubbleSize val="0"/>
              <c:extLst>
                <c:ext xmlns:c15="http://schemas.microsoft.com/office/drawing/2012/chart" uri="{CE6537A1-D6FC-4f65-9D91-7224C49458BB}">
                  <c15:layout>
                    <c:manualLayout>
                      <c:w val="0.3192141801473915"/>
                      <c:h val="0.19883220559861392"/>
                    </c:manualLayout>
                  </c15:layout>
                </c:ext>
                <c:ext xmlns:c16="http://schemas.microsoft.com/office/drawing/2014/chart" uri="{C3380CC4-5D6E-409C-BE32-E72D297353CC}">
                  <c16:uniqueId val="{00000009-70DC-4134-99BC-454162AEC239}"/>
                </c:ext>
              </c:extLst>
            </c:dLbl>
            <c:dLbl>
              <c:idx val="6"/>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44A1-4824-AA17-6DD400C45FA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Summary!$T$26:$T$32</c:f>
              <c:strCache>
                <c:ptCount val="7"/>
                <c:pt idx="0">
                  <c:v>Ocean (AK)</c:v>
                </c:pt>
                <c:pt idx="1">
                  <c:v>Ocean (Can)</c:v>
                </c:pt>
                <c:pt idx="2">
                  <c:v>Ocean (WA/OR)</c:v>
                </c:pt>
                <c:pt idx="3">
                  <c:v>Col sport</c:v>
                </c:pt>
                <c:pt idx="4">
                  <c:v>Col commercial</c:v>
                </c:pt>
                <c:pt idx="5">
                  <c:v>L Willamette sport</c:v>
                </c:pt>
                <c:pt idx="6">
                  <c:v>U Willamette sport</c:v>
                </c:pt>
              </c:strCache>
            </c:strRef>
          </c:cat>
          <c:val>
            <c:numRef>
              <c:f>Summary!$U$26:$U$32</c:f>
              <c:numCache>
                <c:formatCode>0.0%</c:formatCode>
                <c:ptCount val="7"/>
                <c:pt idx="0">
                  <c:v>4.1000000000000002E-2</c:v>
                </c:pt>
                <c:pt idx="1">
                  <c:v>2.5000000000000001E-2</c:v>
                </c:pt>
                <c:pt idx="2">
                  <c:v>2.1999999999999999E-2</c:v>
                </c:pt>
                <c:pt idx="3">
                  <c:v>4.0000000000000001E-3</c:v>
                </c:pt>
                <c:pt idx="4">
                  <c:v>4.0000000000000001E-3</c:v>
                </c:pt>
                <c:pt idx="5">
                  <c:v>2.5999999999999999E-2</c:v>
                </c:pt>
                <c:pt idx="6">
                  <c:v>7.0000000000000001E-3</c:v>
                </c:pt>
              </c:numCache>
            </c:numRef>
          </c:val>
          <c:extLst>
            <c:ext xmlns:c16="http://schemas.microsoft.com/office/drawing/2014/chart" uri="{C3380CC4-5D6E-409C-BE32-E72D297353CC}">
              <c16:uniqueId val="{0000000A-70DC-4134-99BC-454162AEC239}"/>
            </c:ext>
          </c:extLst>
        </c:ser>
        <c:dLbls>
          <c:showLegendKey val="0"/>
          <c:showVal val="1"/>
          <c:showCatName val="0"/>
          <c:showSerName val="0"/>
          <c:showPercent val="0"/>
          <c:showBubbleSize val="0"/>
          <c:showLeaderLines val="0"/>
        </c:dLbls>
        <c:firstSliceAng val="137"/>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9036328925000056"/>
          <c:y val="0.12186139039733319"/>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381356535482255"/>
          <c:y val="3.4988527180001408E-2"/>
          <c:w val="0.66419605033598261"/>
          <c:h val="0.81931659578889438"/>
        </c:manualLayout>
      </c:layout>
      <c:barChart>
        <c:barDir val="bar"/>
        <c:grouping val="clustered"/>
        <c:varyColors val="0"/>
        <c:ser>
          <c:idx val="0"/>
          <c:order val="0"/>
          <c:tx>
            <c:v>Natural Production</c:v>
          </c:tx>
          <c:spPr>
            <a:solidFill>
              <a:srgbClr val="44A16A"/>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Summary!$C$24:$C$28</c:f>
              <c:strCache>
                <c:ptCount val="5"/>
                <c:pt idx="0">
                  <c:v>Current</c:v>
                </c:pt>
                <c:pt idx="1">
                  <c:v>Low goal</c:v>
                </c:pt>
                <c:pt idx="2">
                  <c:v>Med goal</c:v>
                </c:pt>
                <c:pt idx="3">
                  <c:v>High goal</c:v>
                </c:pt>
                <c:pt idx="4">
                  <c:v>Historical</c:v>
                </c:pt>
              </c:strCache>
            </c:strRef>
          </c:cat>
          <c:val>
            <c:numRef>
              <c:f>Summary!$D$24:$D$28</c:f>
              <c:numCache>
                <c:formatCode>#,##0</c:formatCode>
                <c:ptCount val="5"/>
                <c:pt idx="0">
                  <c:v>4277.7620081935511</c:v>
                </c:pt>
                <c:pt idx="1">
                  <c:v>28900</c:v>
                </c:pt>
                <c:pt idx="2">
                  <c:v>47850</c:v>
                </c:pt>
                <c:pt idx="3">
                  <c:v>66800</c:v>
                </c:pt>
                <c:pt idx="4">
                  <c:v>312170</c:v>
                </c:pt>
              </c:numCache>
            </c:numRef>
          </c:val>
          <c:extLst>
            <c:ext xmlns:c16="http://schemas.microsoft.com/office/drawing/2014/chart" uri="{C3380CC4-5D6E-409C-BE32-E72D297353CC}">
              <c16:uniqueId val="{00000000-852E-439D-A257-7E783DC6A08C}"/>
            </c:ext>
          </c:extLst>
        </c:ser>
        <c:dLbls>
          <c:dLblPos val="outEnd"/>
          <c:showLegendKey val="0"/>
          <c:showVal val="1"/>
          <c:showCatName val="0"/>
          <c:showSerName val="0"/>
          <c:showPercent val="0"/>
          <c:showBubbleSize val="0"/>
        </c:dLbls>
        <c:gapWidth val="20"/>
        <c:axId val="67160704"/>
        <c:axId val="67163648"/>
      </c:barChart>
      <c:catAx>
        <c:axId val="67160704"/>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67163648"/>
        <c:crosses val="autoZero"/>
        <c:auto val="1"/>
        <c:lblAlgn val="ctr"/>
        <c:lblOffset val="100"/>
        <c:noMultiLvlLbl val="0"/>
      </c:catAx>
      <c:valAx>
        <c:axId val="671636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6716070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emf"/><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emf"/><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emf"/><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emf"/><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12" Type="http://schemas.openxmlformats.org/officeDocument/2006/relationships/image" Target="../media/image38.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11" Type="http://schemas.openxmlformats.org/officeDocument/2006/relationships/image" Target="../media/image37.png"/><Relationship Id="rId5" Type="http://schemas.openxmlformats.org/officeDocument/2006/relationships/image" Target="../media/image3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s>
</file>

<file path=xl/drawings/_rels/drawing4.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image" Target="../media/image51.png"/><Relationship Id="rId18" Type="http://schemas.openxmlformats.org/officeDocument/2006/relationships/image" Target="../media/image56.png"/><Relationship Id="rId3" Type="http://schemas.openxmlformats.org/officeDocument/2006/relationships/image" Target="../media/image41.png"/><Relationship Id="rId21" Type="http://schemas.openxmlformats.org/officeDocument/2006/relationships/image" Target="../media/image59.png"/><Relationship Id="rId7" Type="http://schemas.openxmlformats.org/officeDocument/2006/relationships/image" Target="../media/image45.png"/><Relationship Id="rId12" Type="http://schemas.openxmlformats.org/officeDocument/2006/relationships/image" Target="../media/image50.png"/><Relationship Id="rId17" Type="http://schemas.openxmlformats.org/officeDocument/2006/relationships/image" Target="../media/image55.png"/><Relationship Id="rId2" Type="http://schemas.openxmlformats.org/officeDocument/2006/relationships/image" Target="../media/image40.png"/><Relationship Id="rId16" Type="http://schemas.openxmlformats.org/officeDocument/2006/relationships/image" Target="../media/image54.png"/><Relationship Id="rId20" Type="http://schemas.openxmlformats.org/officeDocument/2006/relationships/image" Target="../media/image58.png"/><Relationship Id="rId1" Type="http://schemas.openxmlformats.org/officeDocument/2006/relationships/image" Target="../media/image39.png"/><Relationship Id="rId6" Type="http://schemas.openxmlformats.org/officeDocument/2006/relationships/image" Target="../media/image44.png"/><Relationship Id="rId11" Type="http://schemas.openxmlformats.org/officeDocument/2006/relationships/image" Target="../media/image49.png"/><Relationship Id="rId5" Type="http://schemas.openxmlformats.org/officeDocument/2006/relationships/image" Target="../media/image43.png"/><Relationship Id="rId15" Type="http://schemas.openxmlformats.org/officeDocument/2006/relationships/image" Target="../media/image53.png"/><Relationship Id="rId23" Type="http://schemas.openxmlformats.org/officeDocument/2006/relationships/image" Target="../media/image61.png"/><Relationship Id="rId10" Type="http://schemas.openxmlformats.org/officeDocument/2006/relationships/image" Target="../media/image48.png"/><Relationship Id="rId19" Type="http://schemas.openxmlformats.org/officeDocument/2006/relationships/image" Target="../media/image57.png"/><Relationship Id="rId4" Type="http://schemas.openxmlformats.org/officeDocument/2006/relationships/image" Target="../media/image42.png"/><Relationship Id="rId9" Type="http://schemas.openxmlformats.org/officeDocument/2006/relationships/image" Target="../media/image47.png"/><Relationship Id="rId14" Type="http://schemas.openxmlformats.org/officeDocument/2006/relationships/image" Target="../media/image52.png"/><Relationship Id="rId22" Type="http://schemas.openxmlformats.org/officeDocument/2006/relationships/image" Target="../media/image60.png"/></Relationships>
</file>

<file path=xl/drawings/_rels/drawing5.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png"/><Relationship Id="rId1" Type="http://schemas.openxmlformats.org/officeDocument/2006/relationships/image" Target="../media/image62.png"/><Relationship Id="rId6" Type="http://schemas.openxmlformats.org/officeDocument/2006/relationships/image" Target="../media/image67.png"/><Relationship Id="rId5" Type="http://schemas.openxmlformats.org/officeDocument/2006/relationships/image" Target="../media/image66.png"/><Relationship Id="rId4" Type="http://schemas.openxmlformats.org/officeDocument/2006/relationships/image" Target="../media/image65.png"/></Relationships>
</file>

<file path=xl/drawings/drawing1.xml><?xml version="1.0" encoding="utf-8"?>
<xdr:wsDr xmlns:xdr="http://schemas.openxmlformats.org/drawingml/2006/spreadsheetDrawing" xmlns:a="http://schemas.openxmlformats.org/drawingml/2006/main">
  <xdr:twoCellAnchor>
    <xdr:from>
      <xdr:col>1</xdr:col>
      <xdr:colOff>16194</xdr:colOff>
      <xdr:row>1</xdr:row>
      <xdr:rowOff>89059</xdr:rowOff>
    </xdr:from>
    <xdr:to>
      <xdr:col>7</xdr:col>
      <xdr:colOff>49529</xdr:colOff>
      <xdr:row>17</xdr:row>
      <xdr:rowOff>166686</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7632" y="315278"/>
          <a:ext cx="3605210" cy="29351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marR="0" lvl="0" indent="-171450" defTabSz="914400" eaLnBrk="1" fontAlgn="auto" latinLnBrk="0" hangingPunct="1">
            <a:lnSpc>
              <a:spcPct val="100000"/>
            </a:lnSpc>
            <a:spcBef>
              <a:spcPts val="0"/>
            </a:spcBef>
            <a:spcAft>
              <a:spcPts val="100"/>
            </a:spcAft>
            <a:buClrTx/>
            <a:buSzTx/>
            <a:buFont typeface="Arial" panose="020B0604020202020204" pitchFamily="34" charset="0"/>
            <a:buChar char="•"/>
            <a:tabLst/>
            <a:defRPr/>
          </a:pPr>
          <a:r>
            <a:rPr lang="en-US" sz="1600" i="0" baseline="0">
              <a:solidFill>
                <a:schemeClr val="dk1"/>
              </a:solidFill>
              <a:effectLst/>
              <a:latin typeface="+mn-lt"/>
              <a:ea typeface="+mn-ea"/>
              <a:cs typeface="+mn-cs"/>
            </a:rPr>
            <a:t>Return to mid to high elevations streams on the western slope of the Cascades.</a:t>
          </a:r>
        </a:p>
        <a:p>
          <a:pPr marL="171450" marR="0" lvl="0" indent="-171450" defTabSz="914400" eaLnBrk="1" fontAlgn="auto" latinLnBrk="0" hangingPunct="1">
            <a:lnSpc>
              <a:spcPct val="100000"/>
            </a:lnSpc>
            <a:spcBef>
              <a:spcPts val="0"/>
            </a:spcBef>
            <a:spcAft>
              <a:spcPts val="100"/>
            </a:spcAft>
            <a:buClrTx/>
            <a:buSzTx/>
            <a:buFont typeface="Arial" panose="020B0604020202020204" pitchFamily="34" charset="0"/>
            <a:buChar char="•"/>
            <a:tabLst/>
            <a:defRPr/>
          </a:pPr>
          <a:r>
            <a:rPr lang="en-US" sz="1600" i="0" baseline="0">
              <a:solidFill>
                <a:schemeClr val="dk1"/>
              </a:solidFill>
              <a:effectLst/>
              <a:latin typeface="+mn-lt"/>
              <a:ea typeface="+mn-ea"/>
              <a:cs typeface="+mn-cs"/>
            </a:rPr>
            <a:t>Five of the seven historical populations are currently at low levels of viability.</a:t>
          </a:r>
        </a:p>
        <a:p>
          <a:pPr marL="171450" marR="0" lvl="0" indent="-171450" defTabSz="914400" eaLnBrk="1" fontAlgn="auto" latinLnBrk="0" hangingPunct="1">
            <a:lnSpc>
              <a:spcPct val="100000"/>
            </a:lnSpc>
            <a:spcBef>
              <a:spcPts val="0"/>
            </a:spcBef>
            <a:spcAft>
              <a:spcPts val="100"/>
            </a:spcAft>
            <a:buClrTx/>
            <a:buSzTx/>
            <a:buFont typeface="Arial" panose="020B0604020202020204" pitchFamily="34" charset="0"/>
            <a:buChar char="•"/>
            <a:tabLst/>
            <a:defRPr/>
          </a:pPr>
          <a:r>
            <a:rPr lang="en-US" sz="1600" i="0" baseline="0">
              <a:solidFill>
                <a:schemeClr val="dk1"/>
              </a:solidFill>
              <a:effectLst/>
              <a:latin typeface="+mn-lt"/>
              <a:ea typeface="+mn-ea"/>
              <a:cs typeface="+mn-cs"/>
            </a:rPr>
            <a:t>Dams block passage to historical production areas in the Santiam and Middle Fork Willamette rivers.</a:t>
          </a:r>
        </a:p>
        <a:p>
          <a:pPr marL="171450" marR="0" lvl="0" indent="-171450" defTabSz="914400" eaLnBrk="1" fontAlgn="auto" latinLnBrk="0" hangingPunct="1">
            <a:lnSpc>
              <a:spcPct val="100000"/>
            </a:lnSpc>
            <a:spcBef>
              <a:spcPts val="0"/>
            </a:spcBef>
            <a:spcAft>
              <a:spcPts val="100"/>
            </a:spcAft>
            <a:buClrTx/>
            <a:buSzTx/>
            <a:buFont typeface="Arial" panose="020B0604020202020204" pitchFamily="34" charset="0"/>
            <a:buChar char="•"/>
            <a:tabLst/>
            <a:defRPr/>
          </a:pPr>
          <a:r>
            <a:rPr lang="en-US" sz="1600" i="0" baseline="0">
              <a:solidFill>
                <a:schemeClr val="dk1"/>
              </a:solidFill>
              <a:effectLst/>
              <a:latin typeface="+mn-lt"/>
              <a:ea typeface="+mn-ea"/>
              <a:cs typeface="+mn-cs"/>
            </a:rPr>
            <a:t>Significant hatchery production occurs as mitigation for reduced natural production.</a:t>
          </a:r>
          <a:endParaRPr lang="en-US" sz="1600" i="0"/>
        </a:p>
      </xdr:txBody>
    </xdr:sp>
    <xdr:clientData/>
  </xdr:twoCellAnchor>
  <xdr:twoCellAnchor>
    <xdr:from>
      <xdr:col>0</xdr:col>
      <xdr:colOff>55722</xdr:colOff>
      <xdr:row>33</xdr:row>
      <xdr:rowOff>79535</xdr:rowOff>
    </xdr:from>
    <xdr:to>
      <xdr:col>17</xdr:col>
      <xdr:colOff>-1</xdr:colOff>
      <xdr:row>49</xdr:row>
      <xdr:rowOff>132874</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221932</xdr:colOff>
      <xdr:row>49</xdr:row>
      <xdr:rowOff>108110</xdr:rowOff>
    </xdr:from>
    <xdr:to>
      <xdr:col>15</xdr:col>
      <xdr:colOff>374333</xdr:colOff>
      <xdr:row>66</xdr:row>
      <xdr:rowOff>63340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369092</xdr:colOff>
      <xdr:row>49</xdr:row>
      <xdr:rowOff>184784</xdr:rowOff>
    </xdr:from>
    <xdr:to>
      <xdr:col>8</xdr:col>
      <xdr:colOff>77152</xdr:colOff>
      <xdr:row>66</xdr:row>
      <xdr:rowOff>107156</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47625</xdr:colOff>
      <xdr:row>1</xdr:row>
      <xdr:rowOff>55108</xdr:rowOff>
    </xdr:from>
    <xdr:to>
      <xdr:col>16</xdr:col>
      <xdr:colOff>18498</xdr:colOff>
      <xdr:row>33</xdr:row>
      <xdr:rowOff>150416</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640"/>
        <a:stretch/>
      </xdr:blipFill>
      <xdr:spPr bwMode="auto">
        <a:xfrm>
          <a:off x="3690938" y="281327"/>
          <a:ext cx="5342020" cy="5822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23</xdr:col>
      <xdr:colOff>476250</xdr:colOff>
      <xdr:row>5</xdr:row>
      <xdr:rowOff>142875</xdr:rowOff>
    </xdr:from>
    <xdr:ext cx="184731" cy="2645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4457700" y="8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19526</xdr:colOff>
      <xdr:row>17</xdr:row>
      <xdr:rowOff>91439</xdr:rowOff>
    </xdr:from>
    <xdr:to>
      <xdr:col>6</xdr:col>
      <xdr:colOff>587217</xdr:colOff>
      <xdr:row>33</xdr:row>
      <xdr:rowOff>74082</xdr:rowOff>
    </xdr:to>
    <xdr:graphicFrame macro="">
      <xdr:nvGraphicFramePr>
        <xdr:cNvPr id="9" name="Chart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xdr:colOff>
      <xdr:row>1</xdr:row>
      <xdr:rowOff>9524</xdr:rowOff>
    </xdr:from>
    <xdr:to>
      <xdr:col>23</xdr:col>
      <xdr:colOff>209550</xdr:colOff>
      <xdr:row>29</xdr:row>
      <xdr:rowOff>47434</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200024"/>
          <a:ext cx="6296025" cy="6924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47625</xdr:colOff>
      <xdr:row>31</xdr:row>
      <xdr:rowOff>5922</xdr:rowOff>
    </xdr:from>
    <xdr:to>
      <xdr:col>22</xdr:col>
      <xdr:colOff>561975</xdr:colOff>
      <xdr:row>46</xdr:row>
      <xdr:rowOff>133350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34550" y="7130622"/>
          <a:ext cx="6000750" cy="299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400050</xdr:colOff>
      <xdr:row>1</xdr:row>
      <xdr:rowOff>95250</xdr:rowOff>
    </xdr:from>
    <xdr:to>
      <xdr:col>37</xdr:col>
      <xdr:colOff>123825</xdr:colOff>
      <xdr:row>26</xdr:row>
      <xdr:rowOff>161925</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82975" y="285750"/>
          <a:ext cx="8258175" cy="624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590550</xdr:colOff>
      <xdr:row>26</xdr:row>
      <xdr:rowOff>57150</xdr:rowOff>
    </xdr:from>
    <xdr:to>
      <xdr:col>37</xdr:col>
      <xdr:colOff>85725</xdr:colOff>
      <xdr:row>31</xdr:row>
      <xdr:rowOff>114300</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73475" y="6219825"/>
          <a:ext cx="80295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0</xdr:colOff>
      <xdr:row>3</xdr:row>
      <xdr:rowOff>76200</xdr:rowOff>
    </xdr:from>
    <xdr:to>
      <xdr:col>59</xdr:col>
      <xdr:colOff>589791</xdr:colOff>
      <xdr:row>37</xdr:row>
      <xdr:rowOff>75261</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34070925" y="657225"/>
          <a:ext cx="6076191" cy="7514286"/>
        </a:xfrm>
        <a:prstGeom prst="rect">
          <a:avLst/>
        </a:prstGeom>
      </xdr:spPr>
    </xdr:pic>
    <xdr:clientData/>
  </xdr:twoCellAnchor>
  <xdr:twoCellAnchor editAs="oneCell">
    <xdr:from>
      <xdr:col>50</xdr:col>
      <xdr:colOff>0</xdr:colOff>
      <xdr:row>36</xdr:row>
      <xdr:rowOff>66675</xdr:rowOff>
    </xdr:from>
    <xdr:to>
      <xdr:col>60</xdr:col>
      <xdr:colOff>142096</xdr:colOff>
      <xdr:row>71</xdr:row>
      <xdr:rowOff>103936</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6"/>
        <a:stretch>
          <a:fillRect/>
        </a:stretch>
      </xdr:blipFill>
      <xdr:spPr>
        <a:xfrm>
          <a:off x="33937575" y="8134350"/>
          <a:ext cx="6238096" cy="6714286"/>
        </a:xfrm>
        <a:prstGeom prst="rect">
          <a:avLst/>
        </a:prstGeom>
      </xdr:spPr>
    </xdr:pic>
    <xdr:clientData/>
  </xdr:twoCellAnchor>
  <xdr:twoCellAnchor editAs="oneCell">
    <xdr:from>
      <xdr:col>39</xdr:col>
      <xdr:colOff>209550</xdr:colOff>
      <xdr:row>2</xdr:row>
      <xdr:rowOff>0</xdr:rowOff>
    </xdr:from>
    <xdr:to>
      <xdr:col>50</xdr:col>
      <xdr:colOff>11658</xdr:colOff>
      <xdr:row>14</xdr:row>
      <xdr:rowOff>110756</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7"/>
        <a:stretch>
          <a:fillRect/>
        </a:stretch>
      </xdr:blipFill>
      <xdr:spPr>
        <a:xfrm>
          <a:off x="25746075" y="381000"/>
          <a:ext cx="6507708" cy="3815981"/>
        </a:xfrm>
        <a:prstGeom prst="rect">
          <a:avLst/>
        </a:prstGeom>
      </xdr:spPr>
    </xdr:pic>
    <xdr:clientData/>
  </xdr:twoCellAnchor>
  <xdr:twoCellAnchor editAs="oneCell">
    <xdr:from>
      <xdr:col>39</xdr:col>
      <xdr:colOff>257002</xdr:colOff>
      <xdr:row>16</xdr:row>
      <xdr:rowOff>0</xdr:rowOff>
    </xdr:from>
    <xdr:to>
      <xdr:col>50</xdr:col>
      <xdr:colOff>56385</xdr:colOff>
      <xdr:row>50</xdr:row>
      <xdr:rowOff>28575</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8"/>
        <a:stretch>
          <a:fillRect/>
        </a:stretch>
      </xdr:blipFill>
      <xdr:spPr>
        <a:xfrm>
          <a:off x="25793527" y="4267200"/>
          <a:ext cx="6504983" cy="6515100"/>
        </a:xfrm>
        <a:prstGeom prst="rect">
          <a:avLst/>
        </a:prstGeom>
      </xdr:spPr>
    </xdr:pic>
    <xdr:clientData/>
  </xdr:twoCellAnchor>
  <xdr:twoCellAnchor editAs="oneCell">
    <xdr:from>
      <xdr:col>101</xdr:col>
      <xdr:colOff>0</xdr:colOff>
      <xdr:row>45</xdr:row>
      <xdr:rowOff>0</xdr:rowOff>
    </xdr:from>
    <xdr:to>
      <xdr:col>113</xdr:col>
      <xdr:colOff>399266</xdr:colOff>
      <xdr:row>62</xdr:row>
      <xdr:rowOff>85309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9"/>
        <a:stretch>
          <a:fillRect/>
        </a:stretch>
      </xdr:blipFill>
      <xdr:spPr>
        <a:xfrm>
          <a:off x="67275075" y="9810750"/>
          <a:ext cx="6276191" cy="3333334"/>
        </a:xfrm>
        <a:prstGeom prst="rect">
          <a:avLst/>
        </a:prstGeom>
      </xdr:spPr>
    </xdr:pic>
    <xdr:clientData/>
  </xdr:twoCellAnchor>
  <xdr:twoCellAnchor editAs="oneCell">
    <xdr:from>
      <xdr:col>61</xdr:col>
      <xdr:colOff>114300</xdr:colOff>
      <xdr:row>4</xdr:row>
      <xdr:rowOff>133350</xdr:rowOff>
    </xdr:from>
    <xdr:to>
      <xdr:col>71</xdr:col>
      <xdr:colOff>589729</xdr:colOff>
      <xdr:row>42</xdr:row>
      <xdr:rowOff>46602</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0"/>
        <a:stretch>
          <a:fillRect/>
        </a:stretch>
      </xdr:blipFill>
      <xdr:spPr>
        <a:xfrm>
          <a:off x="39062025" y="1285875"/>
          <a:ext cx="6571429" cy="8190477"/>
        </a:xfrm>
        <a:prstGeom prst="rect">
          <a:avLst/>
        </a:prstGeom>
      </xdr:spPr>
    </xdr:pic>
    <xdr:clientData/>
  </xdr:twoCellAnchor>
  <xdr:twoCellAnchor editAs="oneCell">
    <xdr:from>
      <xdr:col>73</xdr:col>
      <xdr:colOff>0</xdr:colOff>
      <xdr:row>6</xdr:row>
      <xdr:rowOff>0</xdr:rowOff>
    </xdr:from>
    <xdr:to>
      <xdr:col>87</xdr:col>
      <xdr:colOff>608458</xdr:colOff>
      <xdr:row>38</xdr:row>
      <xdr:rowOff>46730</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1"/>
        <a:stretch>
          <a:fillRect/>
        </a:stretch>
      </xdr:blipFill>
      <xdr:spPr>
        <a:xfrm>
          <a:off x="46262925" y="1552575"/>
          <a:ext cx="9142858" cy="7161905"/>
        </a:xfrm>
        <a:prstGeom prst="rect">
          <a:avLst/>
        </a:prstGeom>
      </xdr:spPr>
    </xdr:pic>
    <xdr:clientData/>
  </xdr:twoCellAnchor>
  <xdr:twoCellAnchor editAs="oneCell">
    <xdr:from>
      <xdr:col>73</xdr:col>
      <xdr:colOff>0</xdr:colOff>
      <xdr:row>43</xdr:row>
      <xdr:rowOff>0</xdr:rowOff>
    </xdr:from>
    <xdr:to>
      <xdr:col>87</xdr:col>
      <xdr:colOff>446553</xdr:colOff>
      <xdr:row>80</xdr:row>
      <xdr:rowOff>84833</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2"/>
        <a:stretch>
          <a:fillRect/>
        </a:stretch>
      </xdr:blipFill>
      <xdr:spPr>
        <a:xfrm>
          <a:off x="46262925" y="9429750"/>
          <a:ext cx="8980953" cy="7142858"/>
        </a:xfrm>
        <a:prstGeom prst="rect">
          <a:avLst/>
        </a:prstGeom>
      </xdr:spPr>
    </xdr:pic>
    <xdr:clientData/>
  </xdr:twoCellAnchor>
  <xdr:twoCellAnchor editAs="oneCell">
    <xdr:from>
      <xdr:col>73</xdr:col>
      <xdr:colOff>0</xdr:colOff>
      <xdr:row>81</xdr:row>
      <xdr:rowOff>0</xdr:rowOff>
    </xdr:from>
    <xdr:to>
      <xdr:col>87</xdr:col>
      <xdr:colOff>408458</xdr:colOff>
      <xdr:row>114</xdr:row>
      <xdr:rowOff>123024</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3"/>
        <a:stretch>
          <a:fillRect/>
        </a:stretch>
      </xdr:blipFill>
      <xdr:spPr>
        <a:xfrm>
          <a:off x="46262925" y="16678275"/>
          <a:ext cx="8942858" cy="6409524"/>
        </a:xfrm>
        <a:prstGeom prst="rect">
          <a:avLst/>
        </a:prstGeom>
      </xdr:spPr>
    </xdr:pic>
    <xdr:clientData/>
  </xdr:twoCellAnchor>
  <xdr:twoCellAnchor editAs="oneCell">
    <xdr:from>
      <xdr:col>73</xdr:col>
      <xdr:colOff>0</xdr:colOff>
      <xdr:row>118</xdr:row>
      <xdr:rowOff>0</xdr:rowOff>
    </xdr:from>
    <xdr:to>
      <xdr:col>88</xdr:col>
      <xdr:colOff>170286</xdr:colOff>
      <xdr:row>156</xdr:row>
      <xdr:rowOff>56239</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4"/>
        <a:stretch>
          <a:fillRect/>
        </a:stretch>
      </xdr:blipFill>
      <xdr:spPr>
        <a:xfrm>
          <a:off x="46262925" y="23726775"/>
          <a:ext cx="9314286" cy="7295239"/>
        </a:xfrm>
        <a:prstGeom prst="rect">
          <a:avLst/>
        </a:prstGeom>
      </xdr:spPr>
    </xdr:pic>
    <xdr:clientData/>
  </xdr:twoCellAnchor>
  <xdr:twoCellAnchor editAs="oneCell">
    <xdr:from>
      <xdr:col>73</xdr:col>
      <xdr:colOff>0</xdr:colOff>
      <xdr:row>157</xdr:row>
      <xdr:rowOff>57150</xdr:rowOff>
    </xdr:from>
    <xdr:to>
      <xdr:col>88</xdr:col>
      <xdr:colOff>236953</xdr:colOff>
      <xdr:row>178</xdr:row>
      <xdr:rowOff>37603</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5"/>
        <a:stretch>
          <a:fillRect/>
        </a:stretch>
      </xdr:blipFill>
      <xdr:spPr>
        <a:xfrm>
          <a:off x="46262925" y="31213425"/>
          <a:ext cx="9380953" cy="3980953"/>
        </a:xfrm>
        <a:prstGeom prst="rect">
          <a:avLst/>
        </a:prstGeom>
      </xdr:spPr>
    </xdr:pic>
    <xdr:clientData/>
  </xdr:twoCellAnchor>
  <xdr:twoCellAnchor editAs="oneCell">
    <xdr:from>
      <xdr:col>73</xdr:col>
      <xdr:colOff>0</xdr:colOff>
      <xdr:row>182</xdr:row>
      <xdr:rowOff>0</xdr:rowOff>
    </xdr:from>
    <xdr:to>
      <xdr:col>87</xdr:col>
      <xdr:colOff>389410</xdr:colOff>
      <xdr:row>218</xdr:row>
      <xdr:rowOff>84858</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6"/>
        <a:stretch>
          <a:fillRect/>
        </a:stretch>
      </xdr:blipFill>
      <xdr:spPr>
        <a:xfrm>
          <a:off x="46262925" y="35918775"/>
          <a:ext cx="8923810" cy="6942858"/>
        </a:xfrm>
        <a:prstGeom prst="rect">
          <a:avLst/>
        </a:prstGeom>
      </xdr:spPr>
    </xdr:pic>
    <xdr:clientData/>
  </xdr:twoCellAnchor>
  <xdr:twoCellAnchor editAs="oneCell">
    <xdr:from>
      <xdr:col>73</xdr:col>
      <xdr:colOff>0</xdr:colOff>
      <xdr:row>219</xdr:row>
      <xdr:rowOff>0</xdr:rowOff>
    </xdr:from>
    <xdr:to>
      <xdr:col>87</xdr:col>
      <xdr:colOff>446553</xdr:colOff>
      <xdr:row>257</xdr:row>
      <xdr:rowOff>46715</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7"/>
        <a:stretch>
          <a:fillRect/>
        </a:stretch>
      </xdr:blipFill>
      <xdr:spPr>
        <a:xfrm>
          <a:off x="46262925" y="42967275"/>
          <a:ext cx="8980953" cy="7285715"/>
        </a:xfrm>
        <a:prstGeom prst="rect">
          <a:avLst/>
        </a:prstGeom>
      </xdr:spPr>
    </xdr:pic>
    <xdr:clientData/>
  </xdr:twoCellAnchor>
  <xdr:twoCellAnchor editAs="oneCell">
    <xdr:from>
      <xdr:col>73</xdr:col>
      <xdr:colOff>0</xdr:colOff>
      <xdr:row>261</xdr:row>
      <xdr:rowOff>0</xdr:rowOff>
    </xdr:from>
    <xdr:to>
      <xdr:col>87</xdr:col>
      <xdr:colOff>541791</xdr:colOff>
      <xdr:row>298</xdr:row>
      <xdr:rowOff>170548</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8"/>
        <a:stretch>
          <a:fillRect/>
        </a:stretch>
      </xdr:blipFill>
      <xdr:spPr>
        <a:xfrm>
          <a:off x="46262925" y="50968275"/>
          <a:ext cx="9076191" cy="7219048"/>
        </a:xfrm>
        <a:prstGeom prst="rect">
          <a:avLst/>
        </a:prstGeom>
      </xdr:spPr>
    </xdr:pic>
    <xdr:clientData/>
  </xdr:twoCellAnchor>
  <xdr:twoCellAnchor editAs="oneCell">
    <xdr:from>
      <xdr:col>73</xdr:col>
      <xdr:colOff>0</xdr:colOff>
      <xdr:row>300</xdr:row>
      <xdr:rowOff>0</xdr:rowOff>
    </xdr:from>
    <xdr:to>
      <xdr:col>87</xdr:col>
      <xdr:colOff>284648</xdr:colOff>
      <xdr:row>309</xdr:row>
      <xdr:rowOff>66453</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9"/>
        <a:stretch>
          <a:fillRect/>
        </a:stretch>
      </xdr:blipFill>
      <xdr:spPr>
        <a:xfrm>
          <a:off x="46262925" y="58397775"/>
          <a:ext cx="8819048" cy="1780953"/>
        </a:xfrm>
        <a:prstGeom prst="rect">
          <a:avLst/>
        </a:prstGeom>
      </xdr:spPr>
    </xdr:pic>
    <xdr:clientData/>
  </xdr:twoCellAnchor>
  <xdr:twoCellAnchor editAs="oneCell">
    <xdr:from>
      <xdr:col>73</xdr:col>
      <xdr:colOff>0</xdr:colOff>
      <xdr:row>313</xdr:row>
      <xdr:rowOff>0</xdr:rowOff>
    </xdr:from>
    <xdr:to>
      <xdr:col>87</xdr:col>
      <xdr:colOff>389410</xdr:colOff>
      <xdr:row>350</xdr:row>
      <xdr:rowOff>170548</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0"/>
        <a:stretch>
          <a:fillRect/>
        </a:stretch>
      </xdr:blipFill>
      <xdr:spPr>
        <a:xfrm>
          <a:off x="46262925" y="60874275"/>
          <a:ext cx="8923810" cy="7219048"/>
        </a:xfrm>
        <a:prstGeom prst="rect">
          <a:avLst/>
        </a:prstGeom>
      </xdr:spPr>
    </xdr:pic>
    <xdr:clientData/>
  </xdr:twoCellAnchor>
  <xdr:twoCellAnchor editAs="oneCell">
    <xdr:from>
      <xdr:col>73</xdr:col>
      <xdr:colOff>0</xdr:colOff>
      <xdr:row>352</xdr:row>
      <xdr:rowOff>0</xdr:rowOff>
    </xdr:from>
    <xdr:to>
      <xdr:col>87</xdr:col>
      <xdr:colOff>446553</xdr:colOff>
      <xdr:row>389</xdr:row>
      <xdr:rowOff>151500</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1"/>
        <a:stretch>
          <a:fillRect/>
        </a:stretch>
      </xdr:blipFill>
      <xdr:spPr>
        <a:xfrm>
          <a:off x="46262925" y="68303775"/>
          <a:ext cx="8980953" cy="7200000"/>
        </a:xfrm>
        <a:prstGeom prst="rect">
          <a:avLst/>
        </a:prstGeom>
      </xdr:spPr>
    </xdr:pic>
    <xdr:clientData/>
  </xdr:twoCellAnchor>
  <xdr:twoCellAnchor editAs="oneCell">
    <xdr:from>
      <xdr:col>73</xdr:col>
      <xdr:colOff>0</xdr:colOff>
      <xdr:row>393</xdr:row>
      <xdr:rowOff>0</xdr:rowOff>
    </xdr:from>
    <xdr:to>
      <xdr:col>87</xdr:col>
      <xdr:colOff>408458</xdr:colOff>
      <xdr:row>430</xdr:row>
      <xdr:rowOff>161024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2"/>
        <a:stretch>
          <a:fillRect/>
        </a:stretch>
      </xdr:blipFill>
      <xdr:spPr>
        <a:xfrm>
          <a:off x="46262925" y="76114275"/>
          <a:ext cx="8942858" cy="7209524"/>
        </a:xfrm>
        <a:prstGeom prst="rect">
          <a:avLst/>
        </a:prstGeom>
      </xdr:spPr>
    </xdr:pic>
    <xdr:clientData/>
  </xdr:twoCellAnchor>
  <xdr:twoCellAnchor editAs="oneCell">
    <xdr:from>
      <xdr:col>73</xdr:col>
      <xdr:colOff>0</xdr:colOff>
      <xdr:row>432</xdr:row>
      <xdr:rowOff>0</xdr:rowOff>
    </xdr:from>
    <xdr:to>
      <xdr:col>87</xdr:col>
      <xdr:colOff>503696</xdr:colOff>
      <xdr:row>451</xdr:row>
      <xdr:rowOff>37643</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3"/>
        <a:stretch>
          <a:fillRect/>
        </a:stretch>
      </xdr:blipFill>
      <xdr:spPr>
        <a:xfrm>
          <a:off x="46262925" y="83543775"/>
          <a:ext cx="9038096" cy="3657143"/>
        </a:xfrm>
        <a:prstGeom prst="rect">
          <a:avLst/>
        </a:prstGeom>
      </xdr:spPr>
    </xdr:pic>
    <xdr:clientData/>
  </xdr:twoCellAnchor>
  <xdr:twoCellAnchor editAs="oneCell">
    <xdr:from>
      <xdr:col>128</xdr:col>
      <xdr:colOff>542925</xdr:colOff>
      <xdr:row>28</xdr:row>
      <xdr:rowOff>133350</xdr:rowOff>
    </xdr:from>
    <xdr:to>
      <xdr:col>137</xdr:col>
      <xdr:colOff>313668</xdr:colOff>
      <xdr:row>57</xdr:row>
      <xdr:rowOff>85039</xdr:rowOff>
    </xdr:to>
    <xdr:pic>
      <xdr:nvPicPr>
        <xdr:cNvPr id="6" name="Picture 5">
          <a:extLst>
            <a:ext uri="{FF2B5EF4-FFF2-40B4-BE49-F238E27FC236}">
              <a16:creationId xmlns:a16="http://schemas.microsoft.com/office/drawing/2014/main" id="{72C63945-81B2-440E-8C07-BBB04862E071}"/>
            </a:ext>
          </a:extLst>
        </xdr:cNvPr>
        <xdr:cNvPicPr>
          <a:picLocks noChangeAspect="1"/>
        </xdr:cNvPicPr>
      </xdr:nvPicPr>
      <xdr:blipFill>
        <a:blip xmlns:r="http://schemas.openxmlformats.org/officeDocument/2006/relationships" r:embed="rId24"/>
        <a:stretch>
          <a:fillRect/>
        </a:stretch>
      </xdr:blipFill>
      <xdr:spPr>
        <a:xfrm>
          <a:off x="84553425" y="6886575"/>
          <a:ext cx="5257143" cy="5485714"/>
        </a:xfrm>
        <a:prstGeom prst="rect">
          <a:avLst/>
        </a:prstGeom>
      </xdr:spPr>
    </xdr:pic>
    <xdr:clientData/>
  </xdr:twoCellAnchor>
  <xdr:twoCellAnchor editAs="oneCell">
    <xdr:from>
      <xdr:col>129</xdr:col>
      <xdr:colOff>0</xdr:colOff>
      <xdr:row>4</xdr:row>
      <xdr:rowOff>0</xdr:rowOff>
    </xdr:from>
    <xdr:to>
      <xdr:col>136</xdr:col>
      <xdr:colOff>361371</xdr:colOff>
      <xdr:row>26</xdr:row>
      <xdr:rowOff>37443</xdr:rowOff>
    </xdr:to>
    <xdr:pic>
      <xdr:nvPicPr>
        <xdr:cNvPr id="9" name="Picture 8">
          <a:extLst>
            <a:ext uri="{FF2B5EF4-FFF2-40B4-BE49-F238E27FC236}">
              <a16:creationId xmlns:a16="http://schemas.microsoft.com/office/drawing/2014/main" id="{53FAACDE-72B0-4E95-8146-3BC13C33BAE6}"/>
            </a:ext>
          </a:extLst>
        </xdr:cNvPr>
        <xdr:cNvPicPr>
          <a:picLocks noChangeAspect="1"/>
        </xdr:cNvPicPr>
      </xdr:nvPicPr>
      <xdr:blipFill>
        <a:blip xmlns:r="http://schemas.openxmlformats.org/officeDocument/2006/relationships" r:embed="rId25"/>
        <a:stretch>
          <a:fillRect/>
        </a:stretch>
      </xdr:blipFill>
      <xdr:spPr>
        <a:xfrm>
          <a:off x="84620100" y="1152525"/>
          <a:ext cx="4628571" cy="5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47625</xdr:colOff>
      <xdr:row>5</xdr:row>
      <xdr:rowOff>200025</xdr:rowOff>
    </xdr:from>
    <xdr:to>
      <xdr:col>61</xdr:col>
      <xdr:colOff>599330</xdr:colOff>
      <xdr:row>10</xdr:row>
      <xdr:rowOff>456799</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33766125" y="1209675"/>
          <a:ext cx="5961905" cy="3209524"/>
        </a:xfrm>
        <a:prstGeom prst="rect">
          <a:avLst/>
        </a:prstGeom>
      </xdr:spPr>
    </xdr:pic>
    <xdr:clientData/>
  </xdr:twoCellAnchor>
  <xdr:twoCellAnchor editAs="oneCell">
    <xdr:from>
      <xdr:col>78</xdr:col>
      <xdr:colOff>180975</xdr:colOff>
      <xdr:row>5</xdr:row>
      <xdr:rowOff>295275</xdr:rowOff>
    </xdr:from>
    <xdr:to>
      <xdr:col>88</xdr:col>
      <xdr:colOff>46866</xdr:colOff>
      <xdr:row>14</xdr:row>
      <xdr:rowOff>304142</xdr:rowOff>
    </xdr:to>
    <xdr:pic>
      <xdr:nvPicPr>
        <xdr:cNvPr id="33" name="Picture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2"/>
        <a:stretch>
          <a:fillRect/>
        </a:stretch>
      </xdr:blipFill>
      <xdr:spPr>
        <a:xfrm>
          <a:off x="48710850" y="1304925"/>
          <a:ext cx="6076191" cy="5266667"/>
        </a:xfrm>
        <a:prstGeom prst="rect">
          <a:avLst/>
        </a:prstGeom>
      </xdr:spPr>
    </xdr:pic>
    <xdr:clientData/>
  </xdr:twoCellAnchor>
  <xdr:twoCellAnchor editAs="oneCell">
    <xdr:from>
      <xdr:col>66</xdr:col>
      <xdr:colOff>523875</xdr:colOff>
      <xdr:row>5</xdr:row>
      <xdr:rowOff>314325</xdr:rowOff>
    </xdr:from>
    <xdr:to>
      <xdr:col>75</xdr:col>
      <xdr:colOff>589781</xdr:colOff>
      <xdr:row>8</xdr:row>
      <xdr:rowOff>285529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stretch>
          <a:fillRect/>
        </a:stretch>
      </xdr:blipFill>
      <xdr:spPr>
        <a:xfrm>
          <a:off x="41005125" y="1323975"/>
          <a:ext cx="6152381" cy="1771429"/>
        </a:xfrm>
        <a:prstGeom prst="rect">
          <a:avLst/>
        </a:prstGeom>
      </xdr:spPr>
    </xdr:pic>
    <xdr:clientData/>
  </xdr:twoCellAnchor>
  <xdr:twoCellAnchor editAs="oneCell">
    <xdr:from>
      <xdr:col>66</xdr:col>
      <xdr:colOff>457200</xdr:colOff>
      <xdr:row>9</xdr:row>
      <xdr:rowOff>514350</xdr:rowOff>
    </xdr:from>
    <xdr:to>
      <xdr:col>75</xdr:col>
      <xdr:colOff>418344</xdr:colOff>
      <xdr:row>12</xdr:row>
      <xdr:rowOff>476008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stretch>
          <a:fillRect/>
        </a:stretch>
      </xdr:blipFill>
      <xdr:spPr>
        <a:xfrm>
          <a:off x="40938450" y="3619500"/>
          <a:ext cx="6047619" cy="1933333"/>
        </a:xfrm>
        <a:prstGeom prst="rect">
          <a:avLst/>
        </a:prstGeom>
      </xdr:spPr>
    </xdr:pic>
    <xdr:clientData/>
  </xdr:twoCellAnchor>
  <xdr:twoCellAnchor editAs="oneCell">
    <xdr:from>
      <xdr:col>91</xdr:col>
      <xdr:colOff>0</xdr:colOff>
      <xdr:row>5</xdr:row>
      <xdr:rowOff>0</xdr:rowOff>
    </xdr:from>
    <xdr:to>
      <xdr:col>100</xdr:col>
      <xdr:colOff>313583</xdr:colOff>
      <xdr:row>7</xdr:row>
      <xdr:rowOff>276027</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a:stretch>
          <a:fillRect/>
        </a:stretch>
      </xdr:blipFill>
      <xdr:spPr>
        <a:xfrm>
          <a:off x="56568975" y="1009650"/>
          <a:ext cx="5933333" cy="1580952"/>
        </a:xfrm>
        <a:prstGeom prst="rect">
          <a:avLst/>
        </a:prstGeom>
      </xdr:spPr>
    </xdr:pic>
    <xdr:clientData/>
  </xdr:twoCellAnchor>
  <xdr:twoCellAnchor editAs="oneCell">
    <xdr:from>
      <xdr:col>91</xdr:col>
      <xdr:colOff>0</xdr:colOff>
      <xdr:row>9</xdr:row>
      <xdr:rowOff>0</xdr:rowOff>
    </xdr:from>
    <xdr:to>
      <xdr:col>101</xdr:col>
      <xdr:colOff>418269</xdr:colOff>
      <xdr:row>16</xdr:row>
      <xdr:rowOff>323295</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6"/>
        <a:stretch>
          <a:fillRect/>
        </a:stretch>
      </xdr:blipFill>
      <xdr:spPr>
        <a:xfrm>
          <a:off x="56568975" y="3105150"/>
          <a:ext cx="6647619" cy="4438095"/>
        </a:xfrm>
        <a:prstGeom prst="rect">
          <a:avLst/>
        </a:prstGeom>
      </xdr:spPr>
    </xdr:pic>
    <xdr:clientData/>
  </xdr:twoCellAnchor>
  <xdr:twoCellAnchor editAs="oneCell">
    <xdr:from>
      <xdr:col>115</xdr:col>
      <xdr:colOff>114300</xdr:colOff>
      <xdr:row>6</xdr:row>
      <xdr:rowOff>266700</xdr:rowOff>
    </xdr:from>
    <xdr:to>
      <xdr:col>124</xdr:col>
      <xdr:colOff>561233</xdr:colOff>
      <xdr:row>9</xdr:row>
      <xdr:rowOff>361752</xdr:rowOff>
    </xdr:to>
    <xdr:pic>
      <xdr:nvPicPr>
        <xdr:cNvPr id="32" name="Picture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5"/>
        <a:stretch>
          <a:fillRect/>
        </a:stretch>
      </xdr:blipFill>
      <xdr:spPr>
        <a:xfrm>
          <a:off x="71589900" y="1885950"/>
          <a:ext cx="5933333" cy="1580952"/>
        </a:xfrm>
        <a:prstGeom prst="rect">
          <a:avLst/>
        </a:prstGeom>
      </xdr:spPr>
    </xdr:pic>
    <xdr:clientData/>
  </xdr:twoCellAnchor>
  <xdr:twoCellAnchor editAs="oneCell">
    <xdr:from>
      <xdr:col>115</xdr:col>
      <xdr:colOff>190500</xdr:colOff>
      <xdr:row>9</xdr:row>
      <xdr:rowOff>504825</xdr:rowOff>
    </xdr:from>
    <xdr:to>
      <xdr:col>126</xdr:col>
      <xdr:colOff>132519</xdr:colOff>
      <xdr:row>17</xdr:row>
      <xdr:rowOff>170895</xdr:rowOff>
    </xdr:to>
    <xdr:pic>
      <xdr:nvPicPr>
        <xdr:cNvPr id="35" name="Pictur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6"/>
        <a:stretch>
          <a:fillRect/>
        </a:stretch>
      </xdr:blipFill>
      <xdr:spPr>
        <a:xfrm>
          <a:off x="71666100" y="3609975"/>
          <a:ext cx="6647619" cy="4438095"/>
        </a:xfrm>
        <a:prstGeom prst="rect">
          <a:avLst/>
        </a:prstGeom>
      </xdr:spPr>
    </xdr:pic>
    <xdr:clientData/>
  </xdr:twoCellAnchor>
  <xdr:twoCellAnchor editAs="oneCell">
    <xdr:from>
      <xdr:col>104</xdr:col>
      <xdr:colOff>0</xdr:colOff>
      <xdr:row>5</xdr:row>
      <xdr:rowOff>0</xdr:rowOff>
    </xdr:from>
    <xdr:to>
      <xdr:col>113</xdr:col>
      <xdr:colOff>265963</xdr:colOff>
      <xdr:row>12</xdr:row>
      <xdr:rowOff>447086</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7"/>
        <a:stretch>
          <a:fillRect/>
        </a:stretch>
      </xdr:blipFill>
      <xdr:spPr>
        <a:xfrm>
          <a:off x="64627125" y="1009650"/>
          <a:ext cx="5895238" cy="4714286"/>
        </a:xfrm>
        <a:prstGeom prst="rect">
          <a:avLst/>
        </a:prstGeom>
      </xdr:spPr>
    </xdr:pic>
    <xdr:clientData/>
  </xdr:twoCellAnchor>
  <xdr:twoCellAnchor editAs="oneCell">
    <xdr:from>
      <xdr:col>104</xdr:col>
      <xdr:colOff>0</xdr:colOff>
      <xdr:row>14</xdr:row>
      <xdr:rowOff>0</xdr:rowOff>
    </xdr:from>
    <xdr:to>
      <xdr:col>113</xdr:col>
      <xdr:colOff>199296</xdr:colOff>
      <xdr:row>23</xdr:row>
      <xdr:rowOff>227913</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stretch>
          <a:fillRect/>
        </a:stretch>
      </xdr:blipFill>
      <xdr:spPr>
        <a:xfrm>
          <a:off x="64627125" y="6067425"/>
          <a:ext cx="5828571" cy="5495238"/>
        </a:xfrm>
        <a:prstGeom prst="rect">
          <a:avLst/>
        </a:prstGeom>
      </xdr:spPr>
    </xdr:pic>
    <xdr:clientData/>
  </xdr:twoCellAnchor>
  <xdr:twoCellAnchor editAs="oneCell">
    <xdr:from>
      <xdr:col>115</xdr:col>
      <xdr:colOff>419100</xdr:colOff>
      <xdr:row>18</xdr:row>
      <xdr:rowOff>219075</xdr:rowOff>
    </xdr:from>
    <xdr:to>
      <xdr:col>125</xdr:col>
      <xdr:colOff>46909</xdr:colOff>
      <xdr:row>21</xdr:row>
      <xdr:rowOff>123651</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a:stretch>
          <a:fillRect/>
        </a:stretch>
      </xdr:blipFill>
      <xdr:spPr>
        <a:xfrm>
          <a:off x="71894700" y="8753475"/>
          <a:ext cx="5723809" cy="1390476"/>
        </a:xfrm>
        <a:prstGeom prst="rect">
          <a:avLst/>
        </a:prstGeom>
      </xdr:spPr>
    </xdr:pic>
    <xdr:clientData/>
  </xdr:twoCellAnchor>
  <xdr:twoCellAnchor editAs="oneCell">
    <xdr:from>
      <xdr:col>67</xdr:col>
      <xdr:colOff>581025</xdr:colOff>
      <xdr:row>14</xdr:row>
      <xdr:rowOff>304800</xdr:rowOff>
    </xdr:from>
    <xdr:to>
      <xdr:col>77</xdr:col>
      <xdr:colOff>275418</xdr:colOff>
      <xdr:row>27</xdr:row>
      <xdr:rowOff>46711</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0"/>
        <a:stretch>
          <a:fillRect/>
        </a:stretch>
      </xdr:blipFill>
      <xdr:spPr>
        <a:xfrm>
          <a:off x="53768625" y="6572250"/>
          <a:ext cx="6457143" cy="7314286"/>
        </a:xfrm>
        <a:prstGeom prst="rect">
          <a:avLst/>
        </a:prstGeom>
      </xdr:spPr>
    </xdr:pic>
    <xdr:clientData/>
  </xdr:twoCellAnchor>
  <xdr:twoCellAnchor editAs="oneCell">
    <xdr:from>
      <xdr:col>129</xdr:col>
      <xdr:colOff>0</xdr:colOff>
      <xdr:row>5</xdr:row>
      <xdr:rowOff>0</xdr:rowOff>
    </xdr:from>
    <xdr:to>
      <xdr:col>146</xdr:col>
      <xdr:colOff>398706</xdr:colOff>
      <xdr:row>17</xdr:row>
      <xdr:rowOff>75308</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1"/>
        <a:stretch>
          <a:fillRect/>
        </a:stretch>
      </xdr:blipFill>
      <xdr:spPr>
        <a:xfrm>
          <a:off x="80010000" y="1009650"/>
          <a:ext cx="10761906" cy="7142858"/>
        </a:xfrm>
        <a:prstGeom prst="rect">
          <a:avLst/>
        </a:prstGeom>
      </xdr:spPr>
    </xdr:pic>
    <xdr:clientData/>
  </xdr:twoCellAnchor>
  <xdr:twoCellAnchor editAs="oneCell">
    <xdr:from>
      <xdr:col>52</xdr:col>
      <xdr:colOff>76200</xdr:colOff>
      <xdr:row>15</xdr:row>
      <xdr:rowOff>28575</xdr:rowOff>
    </xdr:from>
    <xdr:to>
      <xdr:col>64</xdr:col>
      <xdr:colOff>9525</xdr:colOff>
      <xdr:row>24</xdr:row>
      <xdr:rowOff>234820</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1"/>
        <a:stretch>
          <a:fillRect/>
        </a:stretch>
      </xdr:blipFill>
      <xdr:spPr>
        <a:xfrm>
          <a:off x="39128700" y="6791325"/>
          <a:ext cx="7981950" cy="5635495"/>
        </a:xfrm>
        <a:prstGeom prst="rect">
          <a:avLst/>
        </a:prstGeom>
      </xdr:spPr>
    </xdr:pic>
    <xdr:clientData/>
  </xdr:twoCellAnchor>
  <xdr:twoCellAnchor editAs="oneCell">
    <xdr:from>
      <xdr:col>52</xdr:col>
      <xdr:colOff>295275</xdr:colOff>
      <xdr:row>27</xdr:row>
      <xdr:rowOff>361950</xdr:rowOff>
    </xdr:from>
    <xdr:to>
      <xdr:col>71</xdr:col>
      <xdr:colOff>36535</xdr:colOff>
      <xdr:row>34</xdr:row>
      <xdr:rowOff>275742</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2"/>
        <a:stretch>
          <a:fillRect/>
        </a:stretch>
      </xdr:blipFill>
      <xdr:spPr>
        <a:xfrm>
          <a:off x="39347775" y="14201775"/>
          <a:ext cx="12523810" cy="38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71</xdr:col>
      <xdr:colOff>352425</xdr:colOff>
      <xdr:row>5</xdr:row>
      <xdr:rowOff>0</xdr:rowOff>
    </xdr:from>
    <xdr:to>
      <xdr:col>82</xdr:col>
      <xdr:colOff>303997</xdr:colOff>
      <xdr:row>15</xdr:row>
      <xdr:rowOff>152155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22669500" y="952500"/>
          <a:ext cx="6428572" cy="1961905"/>
        </a:xfrm>
        <a:prstGeom prst="rect">
          <a:avLst/>
        </a:prstGeom>
      </xdr:spPr>
    </xdr:pic>
    <xdr:clientData/>
  </xdr:twoCellAnchor>
  <xdr:twoCellAnchor editAs="oneCell">
    <xdr:from>
      <xdr:col>70</xdr:col>
      <xdr:colOff>0</xdr:colOff>
      <xdr:row>16</xdr:row>
      <xdr:rowOff>0</xdr:rowOff>
    </xdr:from>
    <xdr:to>
      <xdr:col>84</xdr:col>
      <xdr:colOff>277115</xdr:colOff>
      <xdr:row>48</xdr:row>
      <xdr:rowOff>124977</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stretch>
          <a:fillRect/>
        </a:stretch>
      </xdr:blipFill>
      <xdr:spPr>
        <a:xfrm>
          <a:off x="21707475" y="2943225"/>
          <a:ext cx="8123810" cy="6028572"/>
        </a:xfrm>
        <a:prstGeom prst="rect">
          <a:avLst/>
        </a:prstGeom>
      </xdr:spPr>
    </xdr:pic>
    <xdr:clientData/>
  </xdr:twoCellAnchor>
  <xdr:twoCellAnchor editAs="oneCell">
    <xdr:from>
      <xdr:col>69</xdr:col>
      <xdr:colOff>523875</xdr:colOff>
      <xdr:row>48</xdr:row>
      <xdr:rowOff>114300</xdr:rowOff>
    </xdr:from>
    <xdr:to>
      <xdr:col>85</xdr:col>
      <xdr:colOff>37057</xdr:colOff>
      <xdr:row>73</xdr:row>
      <xdr:rowOff>60348</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a:stretch>
          <a:fillRect/>
        </a:stretch>
      </xdr:blipFill>
      <xdr:spPr>
        <a:xfrm>
          <a:off x="38814375" y="8963025"/>
          <a:ext cx="8352382" cy="4895238"/>
        </a:xfrm>
        <a:prstGeom prst="rect">
          <a:avLst/>
        </a:prstGeom>
      </xdr:spPr>
    </xdr:pic>
    <xdr:clientData/>
  </xdr:twoCellAnchor>
  <xdr:twoCellAnchor editAs="oneCell">
    <xdr:from>
      <xdr:col>87</xdr:col>
      <xdr:colOff>9525</xdr:colOff>
      <xdr:row>18</xdr:row>
      <xdr:rowOff>0</xdr:rowOff>
    </xdr:from>
    <xdr:to>
      <xdr:col>104</xdr:col>
      <xdr:colOff>326326</xdr:colOff>
      <xdr:row>47</xdr:row>
      <xdr:rowOff>136476</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a:stretch>
          <a:fillRect/>
        </a:stretch>
      </xdr:blipFill>
      <xdr:spPr>
        <a:xfrm>
          <a:off x="47520225" y="3305175"/>
          <a:ext cx="10676191" cy="5476191"/>
        </a:xfrm>
        <a:prstGeom prst="rect">
          <a:avLst/>
        </a:prstGeom>
      </xdr:spPr>
    </xdr:pic>
    <xdr:clientData/>
  </xdr:twoCellAnchor>
  <xdr:twoCellAnchor editAs="oneCell">
    <xdr:from>
      <xdr:col>89</xdr:col>
      <xdr:colOff>314325</xdr:colOff>
      <xdr:row>6</xdr:row>
      <xdr:rowOff>0</xdr:rowOff>
    </xdr:from>
    <xdr:to>
      <xdr:col>103</xdr:col>
      <xdr:colOff>59926</xdr:colOff>
      <xdr:row>17</xdr:row>
      <xdr:rowOff>163561</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5"/>
        <a:stretch>
          <a:fillRect/>
        </a:stretch>
      </xdr:blipFill>
      <xdr:spPr>
        <a:xfrm>
          <a:off x="49044225" y="1133475"/>
          <a:ext cx="8276191" cy="2152381"/>
        </a:xfrm>
        <a:prstGeom prst="rect">
          <a:avLst/>
        </a:prstGeom>
      </xdr:spPr>
    </xdr:pic>
    <xdr:clientData/>
  </xdr:twoCellAnchor>
  <xdr:twoCellAnchor editAs="oneCell">
    <xdr:from>
      <xdr:col>87</xdr:col>
      <xdr:colOff>0</xdr:colOff>
      <xdr:row>49</xdr:row>
      <xdr:rowOff>0</xdr:rowOff>
    </xdr:from>
    <xdr:to>
      <xdr:col>104</xdr:col>
      <xdr:colOff>97754</xdr:colOff>
      <xdr:row>76</xdr:row>
      <xdr:rowOff>64093</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a:stretch>
          <a:fillRect/>
        </a:stretch>
      </xdr:blipFill>
      <xdr:spPr>
        <a:xfrm>
          <a:off x="47510700" y="9048750"/>
          <a:ext cx="10457144" cy="5419048"/>
        </a:xfrm>
        <a:prstGeom prst="rect">
          <a:avLst/>
        </a:prstGeom>
      </xdr:spPr>
    </xdr:pic>
    <xdr:clientData/>
  </xdr:twoCellAnchor>
  <xdr:twoCellAnchor editAs="oneCell">
    <xdr:from>
      <xdr:col>114</xdr:col>
      <xdr:colOff>523875</xdr:colOff>
      <xdr:row>5</xdr:row>
      <xdr:rowOff>104775</xdr:rowOff>
    </xdr:from>
    <xdr:to>
      <xdr:col>126</xdr:col>
      <xdr:colOff>37247</xdr:colOff>
      <xdr:row>15</xdr:row>
      <xdr:rowOff>60740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7"/>
        <a:stretch>
          <a:fillRect/>
        </a:stretch>
      </xdr:blipFill>
      <xdr:spPr>
        <a:xfrm>
          <a:off x="65436750" y="1057275"/>
          <a:ext cx="6828572" cy="1761905"/>
        </a:xfrm>
        <a:prstGeom prst="rect">
          <a:avLst/>
        </a:prstGeom>
      </xdr:spPr>
    </xdr:pic>
    <xdr:clientData/>
  </xdr:twoCellAnchor>
  <xdr:twoCellAnchor editAs="oneCell">
    <xdr:from>
      <xdr:col>111</xdr:col>
      <xdr:colOff>523875</xdr:colOff>
      <xdr:row>14</xdr:row>
      <xdr:rowOff>152400</xdr:rowOff>
    </xdr:from>
    <xdr:to>
      <xdr:col>130</xdr:col>
      <xdr:colOff>177666</xdr:colOff>
      <xdr:row>45</xdr:row>
      <xdr:rowOff>174550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8"/>
        <a:stretch>
          <a:fillRect/>
        </a:stretch>
      </xdr:blipFill>
      <xdr:spPr>
        <a:xfrm>
          <a:off x="63607950" y="2733675"/>
          <a:ext cx="11238096" cy="5685715"/>
        </a:xfrm>
        <a:prstGeom prst="rect">
          <a:avLst/>
        </a:prstGeom>
      </xdr:spPr>
    </xdr:pic>
    <xdr:clientData/>
  </xdr:twoCellAnchor>
  <xdr:twoCellAnchor editAs="oneCell">
    <xdr:from>
      <xdr:col>136</xdr:col>
      <xdr:colOff>676275</xdr:colOff>
      <xdr:row>5</xdr:row>
      <xdr:rowOff>85725</xdr:rowOff>
    </xdr:from>
    <xdr:to>
      <xdr:col>153</xdr:col>
      <xdr:colOff>581630</xdr:colOff>
      <xdr:row>34</xdr:row>
      <xdr:rowOff>10784</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xfrm>
          <a:off x="80143350" y="1038225"/>
          <a:ext cx="10409525" cy="5171429"/>
        </a:xfrm>
        <a:prstGeom prst="rect">
          <a:avLst/>
        </a:prstGeom>
      </xdr:spPr>
    </xdr:pic>
    <xdr:clientData/>
  </xdr:twoCellAnchor>
  <xdr:twoCellAnchor editAs="oneCell">
    <xdr:from>
      <xdr:col>138</xdr:col>
      <xdr:colOff>571500</xdr:colOff>
      <xdr:row>36</xdr:row>
      <xdr:rowOff>114300</xdr:rowOff>
    </xdr:from>
    <xdr:to>
      <xdr:col>151</xdr:col>
      <xdr:colOff>532415</xdr:colOff>
      <xdr:row>46</xdr:row>
      <xdr:rowOff>190255</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0"/>
        <a:stretch>
          <a:fillRect/>
        </a:stretch>
      </xdr:blipFill>
      <xdr:spPr>
        <a:xfrm>
          <a:off x="88572975" y="6677025"/>
          <a:ext cx="7885715" cy="1961905"/>
        </a:xfrm>
        <a:prstGeom prst="rect">
          <a:avLst/>
        </a:prstGeom>
      </xdr:spPr>
    </xdr:pic>
    <xdr:clientData/>
  </xdr:twoCellAnchor>
  <xdr:twoCellAnchor editAs="oneCell">
    <xdr:from>
      <xdr:col>167</xdr:col>
      <xdr:colOff>57150</xdr:colOff>
      <xdr:row>15</xdr:row>
      <xdr:rowOff>114300</xdr:rowOff>
    </xdr:from>
    <xdr:to>
      <xdr:col>180</xdr:col>
      <xdr:colOff>86636</xdr:colOff>
      <xdr:row>38</xdr:row>
      <xdr:rowOff>98542</xdr:rowOff>
    </xdr:to>
    <xdr:pic>
      <xdr:nvPicPr>
        <xdr:cNvPr id="32" name="Picture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1"/>
        <a:stretch>
          <a:fillRect/>
        </a:stretch>
      </xdr:blipFill>
      <xdr:spPr>
        <a:xfrm>
          <a:off x="97821750" y="2876550"/>
          <a:ext cx="7952381" cy="4142857"/>
        </a:xfrm>
        <a:prstGeom prst="rect">
          <a:avLst/>
        </a:prstGeom>
      </xdr:spPr>
    </xdr:pic>
    <xdr:clientData/>
  </xdr:twoCellAnchor>
  <xdr:twoCellAnchor editAs="oneCell">
    <xdr:from>
      <xdr:col>168</xdr:col>
      <xdr:colOff>0</xdr:colOff>
      <xdr:row>6</xdr:row>
      <xdr:rowOff>0</xdr:rowOff>
    </xdr:from>
    <xdr:to>
      <xdr:col>179</xdr:col>
      <xdr:colOff>124877</xdr:colOff>
      <xdr:row>15</xdr:row>
      <xdr:rowOff>136940</xdr:rowOff>
    </xdr:to>
    <xdr:pic>
      <xdr:nvPicPr>
        <xdr:cNvPr id="36" name="Picture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7"/>
        <a:stretch>
          <a:fillRect/>
        </a:stretch>
      </xdr:blipFill>
      <xdr:spPr>
        <a:xfrm>
          <a:off x="98374200" y="1133475"/>
          <a:ext cx="6828572" cy="1761905"/>
        </a:xfrm>
        <a:prstGeom prst="rect">
          <a:avLst/>
        </a:prstGeom>
      </xdr:spPr>
    </xdr:pic>
    <xdr:clientData/>
  </xdr:twoCellAnchor>
  <xdr:twoCellAnchor editAs="oneCell">
    <xdr:from>
      <xdr:col>167</xdr:col>
      <xdr:colOff>47625</xdr:colOff>
      <xdr:row>40</xdr:row>
      <xdr:rowOff>0</xdr:rowOff>
    </xdr:from>
    <xdr:to>
      <xdr:col>180</xdr:col>
      <xdr:colOff>326636</xdr:colOff>
      <xdr:row>61</xdr:row>
      <xdr:rowOff>102339</xdr:rowOff>
    </xdr:to>
    <xdr:pic>
      <xdr:nvPicPr>
        <xdr:cNvPr id="38" name="Picture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12"/>
        <a:stretch>
          <a:fillRect/>
        </a:stretch>
      </xdr:blipFill>
      <xdr:spPr>
        <a:xfrm>
          <a:off x="97812225" y="7286625"/>
          <a:ext cx="8200001" cy="4247619"/>
        </a:xfrm>
        <a:prstGeom prst="rect">
          <a:avLst/>
        </a:prstGeom>
      </xdr:spPr>
    </xdr:pic>
    <xdr:clientData/>
  </xdr:twoCellAnchor>
  <xdr:twoCellAnchor editAs="oneCell">
    <xdr:from>
      <xdr:col>166</xdr:col>
      <xdr:colOff>600075</xdr:colOff>
      <xdr:row>62</xdr:row>
      <xdr:rowOff>47625</xdr:rowOff>
    </xdr:from>
    <xdr:to>
      <xdr:col>180</xdr:col>
      <xdr:colOff>391390</xdr:colOff>
      <xdr:row>83</xdr:row>
      <xdr:rowOff>87111</xdr:rowOff>
    </xdr:to>
    <xdr:pic>
      <xdr:nvPicPr>
        <xdr:cNvPr id="39" name="Picture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3"/>
        <a:stretch>
          <a:fillRect/>
        </a:stretch>
      </xdr:blipFill>
      <xdr:spPr>
        <a:xfrm>
          <a:off x="97755075" y="11677650"/>
          <a:ext cx="8323810" cy="4152381"/>
        </a:xfrm>
        <a:prstGeom prst="rect">
          <a:avLst/>
        </a:prstGeom>
      </xdr:spPr>
    </xdr:pic>
    <xdr:clientData/>
  </xdr:twoCellAnchor>
  <xdr:twoCellAnchor editAs="oneCell">
    <xdr:from>
      <xdr:col>4</xdr:col>
      <xdr:colOff>352425</xdr:colOff>
      <xdr:row>65</xdr:row>
      <xdr:rowOff>38100</xdr:rowOff>
    </xdr:from>
    <xdr:to>
      <xdr:col>30</xdr:col>
      <xdr:colOff>330187</xdr:colOff>
      <xdr:row>102</xdr:row>
      <xdr:rowOff>140062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14"/>
        <a:stretch>
          <a:fillRect/>
        </a:stretch>
      </xdr:blipFill>
      <xdr:spPr>
        <a:xfrm>
          <a:off x="2552700" y="12249150"/>
          <a:ext cx="10266667" cy="7266667"/>
        </a:xfrm>
        <a:prstGeom prst="rect">
          <a:avLst/>
        </a:prstGeom>
      </xdr:spPr>
    </xdr:pic>
    <xdr:clientData/>
  </xdr:twoCellAnchor>
  <xdr:twoCellAnchor editAs="oneCell">
    <xdr:from>
      <xdr:col>5</xdr:col>
      <xdr:colOff>247650</xdr:colOff>
      <xdr:row>102</xdr:row>
      <xdr:rowOff>123825</xdr:rowOff>
    </xdr:from>
    <xdr:to>
      <xdr:col>25</xdr:col>
      <xdr:colOff>303811</xdr:colOff>
      <xdr:row>141</xdr:row>
      <xdr:rowOff>180039</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15"/>
        <a:stretch>
          <a:fillRect/>
        </a:stretch>
      </xdr:blipFill>
      <xdr:spPr>
        <a:xfrm>
          <a:off x="2971800" y="19488150"/>
          <a:ext cx="7914286" cy="7495239"/>
        </a:xfrm>
        <a:prstGeom prst="rect">
          <a:avLst/>
        </a:prstGeom>
      </xdr:spPr>
    </xdr:pic>
    <xdr:clientData/>
  </xdr:twoCellAnchor>
  <xdr:twoCellAnchor editAs="oneCell">
    <xdr:from>
      <xdr:col>5</xdr:col>
      <xdr:colOff>533400</xdr:colOff>
      <xdr:row>142</xdr:row>
      <xdr:rowOff>123825</xdr:rowOff>
    </xdr:from>
    <xdr:to>
      <xdr:col>23</xdr:col>
      <xdr:colOff>368704</xdr:colOff>
      <xdr:row>183</xdr:row>
      <xdr:rowOff>136183</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16"/>
        <a:stretch>
          <a:fillRect/>
        </a:stretch>
      </xdr:blipFill>
      <xdr:spPr>
        <a:xfrm>
          <a:off x="3257550" y="27108150"/>
          <a:ext cx="6933334" cy="7819048"/>
        </a:xfrm>
        <a:prstGeom prst="rect">
          <a:avLst/>
        </a:prstGeom>
      </xdr:spPr>
    </xdr:pic>
    <xdr:clientData/>
  </xdr:twoCellAnchor>
  <xdr:twoCellAnchor editAs="oneCell">
    <xdr:from>
      <xdr:col>31</xdr:col>
      <xdr:colOff>266700</xdr:colOff>
      <xdr:row>59</xdr:row>
      <xdr:rowOff>95250</xdr:rowOff>
    </xdr:from>
    <xdr:to>
      <xdr:col>39</xdr:col>
      <xdr:colOff>913755</xdr:colOff>
      <xdr:row>81</xdr:row>
      <xdr:rowOff>125185</xdr:rowOff>
    </xdr:to>
    <xdr:pic>
      <xdr:nvPicPr>
        <xdr:cNvPr id="52" name="Picture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17"/>
        <a:stretch>
          <a:fillRect/>
        </a:stretch>
      </xdr:blipFill>
      <xdr:spPr>
        <a:xfrm>
          <a:off x="13134975" y="11125200"/>
          <a:ext cx="5161905" cy="4361905"/>
        </a:xfrm>
        <a:prstGeom prst="rect">
          <a:avLst/>
        </a:prstGeom>
      </xdr:spPr>
    </xdr:pic>
    <xdr:clientData/>
  </xdr:twoCellAnchor>
  <xdr:twoCellAnchor editAs="oneCell">
    <xdr:from>
      <xdr:col>10</xdr:col>
      <xdr:colOff>342900</xdr:colOff>
      <xdr:row>51</xdr:row>
      <xdr:rowOff>19050</xdr:rowOff>
    </xdr:from>
    <xdr:to>
      <xdr:col>22</xdr:col>
      <xdr:colOff>48996</xdr:colOff>
      <xdr:row>60</xdr:row>
      <xdr:rowOff>1684</xdr:rowOff>
    </xdr:to>
    <xdr:pic>
      <xdr:nvPicPr>
        <xdr:cNvPr id="55" name="Picture 5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18"/>
        <a:stretch>
          <a:fillRect/>
        </a:stretch>
      </xdr:blipFill>
      <xdr:spPr>
        <a:xfrm>
          <a:off x="5210175" y="9458325"/>
          <a:ext cx="4276191" cy="1771429"/>
        </a:xfrm>
        <a:prstGeom prst="rect">
          <a:avLst/>
        </a:prstGeom>
      </xdr:spPr>
    </xdr:pic>
    <xdr:clientData/>
  </xdr:twoCellAnchor>
  <xdr:twoCellAnchor editAs="oneCell">
    <xdr:from>
      <xdr:col>14</xdr:col>
      <xdr:colOff>219075</xdr:colOff>
      <xdr:row>60</xdr:row>
      <xdr:rowOff>57150</xdr:rowOff>
    </xdr:from>
    <xdr:to>
      <xdr:col>17</xdr:col>
      <xdr:colOff>277980</xdr:colOff>
      <xdr:row>62</xdr:row>
      <xdr:rowOff>76148</xdr:rowOff>
    </xdr:to>
    <xdr:pic>
      <xdr:nvPicPr>
        <xdr:cNvPr id="57" name="Picture 56">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19"/>
        <a:stretch>
          <a:fillRect/>
        </a:stretch>
      </xdr:blipFill>
      <xdr:spPr>
        <a:xfrm>
          <a:off x="6610350" y="11287125"/>
          <a:ext cx="1200000" cy="419048"/>
        </a:xfrm>
        <a:prstGeom prst="rect">
          <a:avLst/>
        </a:prstGeom>
      </xdr:spPr>
    </xdr:pic>
    <xdr:clientData/>
  </xdr:twoCellAnchor>
  <xdr:twoCellAnchor editAs="oneCell">
    <xdr:from>
      <xdr:col>36</xdr:col>
      <xdr:colOff>990600</xdr:colOff>
      <xdr:row>56</xdr:row>
      <xdr:rowOff>161925</xdr:rowOff>
    </xdr:from>
    <xdr:to>
      <xdr:col>38</xdr:col>
      <xdr:colOff>152283</xdr:colOff>
      <xdr:row>58</xdr:row>
      <xdr:rowOff>102827</xdr:rowOff>
    </xdr:to>
    <xdr:pic>
      <xdr:nvPicPr>
        <xdr:cNvPr id="59" name="Picture 58">
          <a:extLst>
            <a:ext uri="{FF2B5EF4-FFF2-40B4-BE49-F238E27FC236}">
              <a16:creationId xmlns:a16="http://schemas.microsoft.com/office/drawing/2014/main" id="{00000000-0008-0000-0300-00003B000000}"/>
            </a:ext>
          </a:extLst>
        </xdr:cNvPr>
        <xdr:cNvPicPr>
          <a:picLocks noChangeAspect="1"/>
        </xdr:cNvPicPr>
      </xdr:nvPicPr>
      <xdr:blipFill>
        <a:blip xmlns:r="http://schemas.openxmlformats.org/officeDocument/2006/relationships" r:embed="rId20"/>
        <a:stretch>
          <a:fillRect/>
        </a:stretch>
      </xdr:blipFill>
      <xdr:spPr>
        <a:xfrm>
          <a:off x="15992475" y="10591800"/>
          <a:ext cx="933333" cy="342857"/>
        </a:xfrm>
        <a:prstGeom prst="rect">
          <a:avLst/>
        </a:prstGeom>
      </xdr:spPr>
    </xdr:pic>
    <xdr:clientData/>
  </xdr:twoCellAnchor>
  <xdr:twoCellAnchor editAs="oneCell">
    <xdr:from>
      <xdr:col>36</xdr:col>
      <xdr:colOff>0</xdr:colOff>
      <xdr:row>51</xdr:row>
      <xdr:rowOff>0</xdr:rowOff>
    </xdr:from>
    <xdr:to>
      <xdr:col>39</xdr:col>
      <xdr:colOff>521607</xdr:colOff>
      <xdr:row>56</xdr:row>
      <xdr:rowOff>76067</xdr:rowOff>
    </xdr:to>
    <xdr:pic>
      <xdr:nvPicPr>
        <xdr:cNvPr id="61" name="Picture 60">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21"/>
        <a:stretch>
          <a:fillRect/>
        </a:stretch>
      </xdr:blipFill>
      <xdr:spPr>
        <a:xfrm>
          <a:off x="15001875" y="9439275"/>
          <a:ext cx="2904762" cy="1066667"/>
        </a:xfrm>
        <a:prstGeom prst="rect">
          <a:avLst/>
        </a:prstGeom>
      </xdr:spPr>
    </xdr:pic>
    <xdr:clientData/>
  </xdr:twoCellAnchor>
  <xdr:twoCellAnchor editAs="oneCell">
    <xdr:from>
      <xdr:col>32</xdr:col>
      <xdr:colOff>0</xdr:colOff>
      <xdr:row>83</xdr:row>
      <xdr:rowOff>0</xdr:rowOff>
    </xdr:from>
    <xdr:to>
      <xdr:col>39</xdr:col>
      <xdr:colOff>1245198</xdr:colOff>
      <xdr:row>105</xdr:row>
      <xdr:rowOff>48999</xdr:rowOff>
    </xdr:to>
    <xdr:pic>
      <xdr:nvPicPr>
        <xdr:cNvPr id="63" name="Picture 62">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22"/>
        <a:stretch>
          <a:fillRect/>
        </a:stretch>
      </xdr:blipFill>
      <xdr:spPr>
        <a:xfrm>
          <a:off x="13249275" y="15744825"/>
          <a:ext cx="5380953" cy="4247619"/>
        </a:xfrm>
        <a:prstGeom prst="rect">
          <a:avLst/>
        </a:prstGeom>
      </xdr:spPr>
    </xdr:pic>
    <xdr:clientData/>
  </xdr:twoCellAnchor>
  <xdr:twoCellAnchor editAs="oneCell">
    <xdr:from>
      <xdr:col>32</xdr:col>
      <xdr:colOff>0</xdr:colOff>
      <xdr:row>106</xdr:row>
      <xdr:rowOff>0</xdr:rowOff>
    </xdr:from>
    <xdr:to>
      <xdr:col>45</xdr:col>
      <xdr:colOff>265482</xdr:colOff>
      <xdr:row>134</xdr:row>
      <xdr:rowOff>102191</xdr:rowOff>
    </xdr:to>
    <xdr:pic>
      <xdr:nvPicPr>
        <xdr:cNvPr id="64" name="Picture 63">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23"/>
        <a:stretch>
          <a:fillRect/>
        </a:stretch>
      </xdr:blipFill>
      <xdr:spPr>
        <a:xfrm>
          <a:off x="13249275" y="20126325"/>
          <a:ext cx="9752382" cy="54380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100</xdr:col>
      <xdr:colOff>114300</xdr:colOff>
      <xdr:row>4</xdr:row>
      <xdr:rowOff>133350</xdr:rowOff>
    </xdr:from>
    <xdr:to>
      <xdr:col>110</xdr:col>
      <xdr:colOff>321158</xdr:colOff>
      <xdr:row>31</xdr:row>
      <xdr:rowOff>170799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70485000" y="1333500"/>
          <a:ext cx="6295238" cy="5209524"/>
        </a:xfrm>
        <a:prstGeom prst="rect">
          <a:avLst/>
        </a:prstGeom>
      </xdr:spPr>
    </xdr:pic>
    <xdr:clientData/>
  </xdr:twoCellAnchor>
  <xdr:twoCellAnchor editAs="oneCell">
    <xdr:from>
      <xdr:col>99</xdr:col>
      <xdr:colOff>419100</xdr:colOff>
      <xdr:row>33</xdr:row>
      <xdr:rowOff>133350</xdr:rowOff>
    </xdr:from>
    <xdr:to>
      <xdr:col>111</xdr:col>
      <xdr:colOff>517234</xdr:colOff>
      <xdr:row>53</xdr:row>
      <xdr:rowOff>1522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61645800" y="6858000"/>
          <a:ext cx="7409524" cy="3704762"/>
        </a:xfrm>
        <a:prstGeom prst="rect">
          <a:avLst/>
        </a:prstGeom>
      </xdr:spPr>
    </xdr:pic>
    <xdr:clientData/>
  </xdr:twoCellAnchor>
  <xdr:oneCellAnchor>
    <xdr:from>
      <xdr:col>239</xdr:col>
      <xdr:colOff>114300</xdr:colOff>
      <xdr:row>1</xdr:row>
      <xdr:rowOff>28575</xdr:rowOff>
    </xdr:from>
    <xdr:ext cx="2657143" cy="438095"/>
    <xdr:pic>
      <xdr:nvPicPr>
        <xdr:cNvPr id="12" name="Picture 11">
          <a:extLst>
            <a:ext uri="{FF2B5EF4-FFF2-40B4-BE49-F238E27FC236}">
              <a16:creationId xmlns:a16="http://schemas.microsoft.com/office/drawing/2014/main" id="{859B594A-4868-400B-8A82-7F3C47906D62}"/>
            </a:ext>
          </a:extLst>
        </xdr:cNvPr>
        <xdr:cNvPicPr>
          <a:picLocks noChangeAspect="1"/>
        </xdr:cNvPicPr>
      </xdr:nvPicPr>
      <xdr:blipFill>
        <a:blip xmlns:r="http://schemas.openxmlformats.org/officeDocument/2006/relationships" r:embed="rId3"/>
        <a:stretch>
          <a:fillRect/>
        </a:stretch>
      </xdr:blipFill>
      <xdr:spPr>
        <a:xfrm>
          <a:off x="140188950" y="228600"/>
          <a:ext cx="2657143" cy="438095"/>
        </a:xfrm>
        <a:prstGeom prst="rect">
          <a:avLst/>
        </a:prstGeom>
      </xdr:spPr>
    </xdr:pic>
    <xdr:clientData/>
  </xdr:oneCellAnchor>
  <xdr:oneCellAnchor>
    <xdr:from>
      <xdr:col>243</xdr:col>
      <xdr:colOff>504825</xdr:colOff>
      <xdr:row>1</xdr:row>
      <xdr:rowOff>19050</xdr:rowOff>
    </xdr:from>
    <xdr:ext cx="3457143" cy="438095"/>
    <xdr:pic>
      <xdr:nvPicPr>
        <xdr:cNvPr id="13" name="Picture 12">
          <a:extLst>
            <a:ext uri="{FF2B5EF4-FFF2-40B4-BE49-F238E27FC236}">
              <a16:creationId xmlns:a16="http://schemas.microsoft.com/office/drawing/2014/main" id="{EC576A54-7A29-41A1-8359-FFFEAD35DBE6}"/>
            </a:ext>
          </a:extLst>
        </xdr:cNvPr>
        <xdr:cNvPicPr>
          <a:picLocks noChangeAspect="1"/>
        </xdr:cNvPicPr>
      </xdr:nvPicPr>
      <xdr:blipFill>
        <a:blip xmlns:r="http://schemas.openxmlformats.org/officeDocument/2006/relationships" r:embed="rId4"/>
        <a:stretch>
          <a:fillRect/>
        </a:stretch>
      </xdr:blipFill>
      <xdr:spPr>
        <a:xfrm>
          <a:off x="143017875" y="219075"/>
          <a:ext cx="3457143" cy="438095"/>
        </a:xfrm>
        <a:prstGeom prst="rect">
          <a:avLst/>
        </a:prstGeom>
      </xdr:spPr>
    </xdr:pic>
    <xdr:clientData/>
  </xdr:oneCellAnchor>
  <xdr:oneCellAnchor>
    <xdr:from>
      <xdr:col>249</xdr:col>
      <xdr:colOff>552450</xdr:colOff>
      <xdr:row>1</xdr:row>
      <xdr:rowOff>123825</xdr:rowOff>
    </xdr:from>
    <xdr:ext cx="1409524" cy="219048"/>
    <xdr:pic>
      <xdr:nvPicPr>
        <xdr:cNvPr id="14" name="Picture 13">
          <a:extLst>
            <a:ext uri="{FF2B5EF4-FFF2-40B4-BE49-F238E27FC236}">
              <a16:creationId xmlns:a16="http://schemas.microsoft.com/office/drawing/2014/main" id="{CD70DB02-4068-4385-9331-D5F0F8AF3C19}"/>
            </a:ext>
          </a:extLst>
        </xdr:cNvPr>
        <xdr:cNvPicPr>
          <a:picLocks noChangeAspect="1"/>
        </xdr:cNvPicPr>
      </xdr:nvPicPr>
      <xdr:blipFill>
        <a:blip xmlns:r="http://schemas.openxmlformats.org/officeDocument/2006/relationships" r:embed="rId5"/>
        <a:stretch>
          <a:fillRect/>
        </a:stretch>
      </xdr:blipFill>
      <xdr:spPr>
        <a:xfrm>
          <a:off x="146723100" y="323850"/>
          <a:ext cx="1409524" cy="219048"/>
        </a:xfrm>
        <a:prstGeom prst="rect">
          <a:avLst/>
        </a:prstGeom>
      </xdr:spPr>
    </xdr:pic>
    <xdr:clientData/>
  </xdr:oneCellAnchor>
  <xdr:twoCellAnchor editAs="oneCell">
    <xdr:from>
      <xdr:col>239</xdr:col>
      <xdr:colOff>228600</xdr:colOff>
      <xdr:row>2</xdr:row>
      <xdr:rowOff>666750</xdr:rowOff>
    </xdr:from>
    <xdr:to>
      <xdr:col>251</xdr:col>
      <xdr:colOff>244818</xdr:colOff>
      <xdr:row>3</xdr:row>
      <xdr:rowOff>169525</xdr:rowOff>
    </xdr:to>
    <xdr:pic>
      <xdr:nvPicPr>
        <xdr:cNvPr id="15" name="Picture 14">
          <a:extLst>
            <a:ext uri="{FF2B5EF4-FFF2-40B4-BE49-F238E27FC236}">
              <a16:creationId xmlns:a16="http://schemas.microsoft.com/office/drawing/2014/main" id="{C12B4FD9-C313-4B32-B054-AC56DC828E51}"/>
            </a:ext>
          </a:extLst>
        </xdr:cNvPr>
        <xdr:cNvPicPr>
          <a:picLocks noChangeAspect="1"/>
        </xdr:cNvPicPr>
      </xdr:nvPicPr>
      <xdr:blipFill>
        <a:blip xmlns:r="http://schemas.openxmlformats.org/officeDocument/2006/relationships" r:embed="rId6"/>
        <a:stretch>
          <a:fillRect/>
        </a:stretch>
      </xdr:blipFill>
      <xdr:spPr>
        <a:xfrm>
          <a:off x="82572225" y="1066800"/>
          <a:ext cx="7419048" cy="1619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J93"/>
  <sheetViews>
    <sheetView tabSelected="1" topLeftCell="A40" zoomScale="90" zoomScaleNormal="90" workbookViewId="0">
      <selection activeCell="S43" sqref="S43:X64"/>
    </sheetView>
  </sheetViews>
  <sheetFormatPr defaultRowHeight="14.4" x14ac:dyDescent="0.3"/>
  <cols>
    <col min="1" max="1" width="1.109375" customWidth="1"/>
    <col min="2" max="16" width="8.77734375" customWidth="1"/>
    <col min="17" max="17" width="1" customWidth="1"/>
    <col min="18" max="18" width="2.33203125" style="5" customWidth="1"/>
    <col min="19" max="19" width="6.33203125" customWidth="1"/>
    <col min="20" max="20" width="21.5546875" customWidth="1"/>
    <col min="21" max="21" width="12.33203125" customWidth="1"/>
    <col min="22" max="22" width="11.44140625" customWidth="1"/>
    <col min="23" max="23" width="10.109375" customWidth="1"/>
    <col min="24" max="25" width="12.109375" customWidth="1"/>
    <col min="26" max="26" width="10.88671875" customWidth="1"/>
    <col min="27" max="27" width="1.33203125" style="5" customWidth="1"/>
    <col min="28" max="28" width="7.109375" customWidth="1"/>
    <col min="30" max="30" width="8.109375" customWidth="1"/>
  </cols>
  <sheetData>
    <row r="1" spans="1:27" s="42" customFormat="1" ht="18" x14ac:dyDescent="0.35">
      <c r="A1" s="402"/>
      <c r="B1" s="402" t="s">
        <v>41</v>
      </c>
      <c r="C1" s="402"/>
      <c r="D1" s="402"/>
      <c r="E1" s="402"/>
      <c r="F1" s="402" t="s">
        <v>4</v>
      </c>
      <c r="G1" s="402"/>
      <c r="H1" s="402"/>
      <c r="I1" s="402"/>
      <c r="J1" s="402" t="s">
        <v>692</v>
      </c>
      <c r="K1" s="402"/>
      <c r="L1" s="402"/>
      <c r="M1" s="402"/>
      <c r="N1" s="402"/>
      <c r="O1" s="402"/>
      <c r="P1" s="402"/>
      <c r="Q1" s="402"/>
      <c r="R1" s="311"/>
      <c r="AA1" s="311"/>
    </row>
    <row r="2" spans="1:27" x14ac:dyDescent="0.3">
      <c r="A2" s="5"/>
      <c r="B2" s="5"/>
      <c r="C2" s="5"/>
      <c r="D2" s="5"/>
      <c r="E2" s="5"/>
      <c r="F2" s="5"/>
      <c r="G2" s="5"/>
      <c r="H2" s="5"/>
      <c r="I2" s="5"/>
      <c r="J2" s="5"/>
      <c r="K2" s="5"/>
      <c r="L2" s="5"/>
      <c r="M2" s="5"/>
      <c r="N2" s="5"/>
      <c r="O2" s="5"/>
      <c r="P2" s="5"/>
      <c r="Q2" s="5"/>
      <c r="S2" s="418" t="s">
        <v>9</v>
      </c>
      <c r="T2" s="419"/>
      <c r="U2" s="420" t="s">
        <v>10</v>
      </c>
      <c r="V2" s="421"/>
      <c r="W2" s="420" t="s">
        <v>11</v>
      </c>
      <c r="X2" s="422"/>
      <c r="Y2" s="423"/>
      <c r="Z2" s="5"/>
    </row>
    <row r="3" spans="1:27" x14ac:dyDescent="0.3">
      <c r="A3" s="5"/>
      <c r="B3" s="5"/>
      <c r="C3" s="5"/>
      <c r="D3" s="5"/>
      <c r="E3" s="5"/>
      <c r="F3" s="5"/>
      <c r="G3" s="5"/>
      <c r="H3" s="5"/>
      <c r="I3" s="5"/>
      <c r="J3" s="5"/>
      <c r="K3" s="5"/>
      <c r="L3" s="5"/>
      <c r="M3" s="5"/>
      <c r="N3" s="5"/>
      <c r="O3" s="5"/>
      <c r="P3" s="5"/>
      <c r="Q3" s="5"/>
      <c r="S3" s="427" t="s">
        <v>15</v>
      </c>
      <c r="T3" s="428" t="s">
        <v>16</v>
      </c>
      <c r="U3" s="424" t="s">
        <v>694</v>
      </c>
      <c r="V3" s="425" t="s">
        <v>17</v>
      </c>
      <c r="W3" s="426" t="s">
        <v>18</v>
      </c>
      <c r="X3" s="426" t="s">
        <v>19</v>
      </c>
      <c r="Y3" s="425" t="s">
        <v>20</v>
      </c>
      <c r="Z3" s="5"/>
    </row>
    <row r="4" spans="1:27" x14ac:dyDescent="0.3">
      <c r="A4" s="5"/>
      <c r="B4" s="5"/>
      <c r="C4" s="5"/>
      <c r="D4" s="5"/>
      <c r="E4" s="5"/>
      <c r="F4" s="5"/>
      <c r="G4" s="5"/>
      <c r="H4" s="5"/>
      <c r="I4" s="5"/>
      <c r="J4" s="5"/>
      <c r="K4" s="5"/>
      <c r="N4" s="5"/>
      <c r="O4" s="5"/>
      <c r="P4" s="5"/>
      <c r="Q4" s="5"/>
      <c r="S4" s="460" t="s">
        <v>88</v>
      </c>
      <c r="T4" s="54" t="s">
        <v>53</v>
      </c>
      <c r="U4" s="274">
        <f>Spawners!CN17</f>
        <v>1695.3418016905109</v>
      </c>
      <c r="V4" s="15">
        <v>27670</v>
      </c>
      <c r="W4" s="305">
        <f>ROUND(Spawners!J14,-1)</f>
        <v>2310</v>
      </c>
      <c r="X4" s="275">
        <f t="shared" ref="X4:X10" si="0">(W4+Y4)/2</f>
        <v>3965</v>
      </c>
      <c r="Y4" s="276">
        <f>ROUND(Spawners!K14,-1)</f>
        <v>5620</v>
      </c>
      <c r="Z4" s="5"/>
    </row>
    <row r="5" spans="1:27" x14ac:dyDescent="0.3">
      <c r="A5" s="5"/>
      <c r="B5" s="5"/>
      <c r="C5" s="5"/>
      <c r="D5" s="5"/>
      <c r="E5" s="5"/>
      <c r="F5" s="5"/>
      <c r="G5" s="5"/>
      <c r="H5" s="5"/>
      <c r="I5" s="5"/>
      <c r="J5" s="5"/>
      <c r="K5" s="5"/>
      <c r="N5" s="5"/>
      <c r="O5" s="5"/>
      <c r="P5" s="5"/>
      <c r="Q5" s="5"/>
      <c r="S5" s="461"/>
      <c r="T5" s="54" t="s">
        <v>56</v>
      </c>
      <c r="U5" s="274" t="s">
        <v>164</v>
      </c>
      <c r="V5" s="15">
        <v>13750</v>
      </c>
      <c r="W5" s="306">
        <f>ROUND(Spawners!J15,-1)</f>
        <v>700</v>
      </c>
      <c r="X5" s="74">
        <f t="shared" si="0"/>
        <v>1665</v>
      </c>
      <c r="Y5" s="277">
        <f>ROUND(Spawners!K15,-1)</f>
        <v>2630</v>
      </c>
      <c r="Z5" s="5"/>
    </row>
    <row r="6" spans="1:27" x14ac:dyDescent="0.3">
      <c r="A6" s="5"/>
      <c r="B6" s="5"/>
      <c r="C6" s="5"/>
      <c r="D6" s="5"/>
      <c r="E6" s="5"/>
      <c r="F6" s="5"/>
      <c r="G6" s="5"/>
      <c r="H6" s="5"/>
      <c r="I6" s="5"/>
      <c r="J6" s="5"/>
      <c r="K6" s="5"/>
      <c r="N6" s="5"/>
      <c r="O6" s="5"/>
      <c r="P6" s="5"/>
      <c r="Q6" s="5"/>
      <c r="S6" s="461"/>
      <c r="T6" s="54" t="s">
        <v>59</v>
      </c>
      <c r="U6" s="274">
        <f>Spawners!CZ17</f>
        <v>361.13670960527679</v>
      </c>
      <c r="V6" s="15">
        <v>56100</v>
      </c>
      <c r="W6" s="306">
        <f>ROUND(Spawners!J16,-1)</f>
        <v>5430</v>
      </c>
      <c r="X6" s="74">
        <f t="shared" si="0"/>
        <v>10865</v>
      </c>
      <c r="Y6" s="277">
        <f>ROUND(W6*3,-2)</f>
        <v>16300</v>
      </c>
      <c r="Z6" s="5"/>
    </row>
    <row r="7" spans="1:27" x14ac:dyDescent="0.3">
      <c r="A7" s="5"/>
      <c r="B7" s="5"/>
      <c r="C7" s="5"/>
      <c r="D7" s="5"/>
      <c r="E7" s="5"/>
      <c r="F7" s="5"/>
      <c r="G7" s="5"/>
      <c r="H7" s="5"/>
      <c r="I7" s="5"/>
      <c r="J7" s="5"/>
      <c r="K7" s="5"/>
      <c r="N7" s="5"/>
      <c r="O7" s="5"/>
      <c r="P7" s="5"/>
      <c r="Q7" s="5"/>
      <c r="S7" s="461"/>
      <c r="T7" s="54" t="s">
        <v>60</v>
      </c>
      <c r="U7" s="274">
        <f>Spawners!DD17</f>
        <v>536.08816508255256</v>
      </c>
      <c r="V7" s="15">
        <v>37400</v>
      </c>
      <c r="W7" s="306">
        <f>ROUND(Spawners!J17,-1)</f>
        <v>3120</v>
      </c>
      <c r="X7" s="74">
        <f t="shared" si="0"/>
        <v>6240</v>
      </c>
      <c r="Y7" s="277">
        <f>ROUND(W7*3,-1)</f>
        <v>9360</v>
      </c>
      <c r="Z7" s="5"/>
    </row>
    <row r="8" spans="1:27" x14ac:dyDescent="0.3">
      <c r="A8" s="5"/>
      <c r="B8" s="5"/>
      <c r="C8" s="5"/>
      <c r="D8" s="5"/>
      <c r="E8" s="5"/>
      <c r="F8" s="5"/>
      <c r="G8" s="5"/>
      <c r="H8" s="5"/>
      <c r="I8" s="5"/>
      <c r="J8" s="5"/>
      <c r="K8" s="5"/>
      <c r="N8" s="5"/>
      <c r="O8" s="5"/>
      <c r="P8" s="5"/>
      <c r="Q8" s="5"/>
      <c r="S8" s="461"/>
      <c r="T8" s="54" t="s">
        <v>61</v>
      </c>
      <c r="U8" s="274">
        <v>0</v>
      </c>
      <c r="V8" s="15">
        <v>9500</v>
      </c>
      <c r="W8" s="306">
        <f>ROUND(Spawners!J18,-1)</f>
        <v>600</v>
      </c>
      <c r="X8" s="74">
        <f t="shared" si="0"/>
        <v>1210</v>
      </c>
      <c r="Y8" s="277">
        <f>ROUND(Spawners!K18,-1)</f>
        <v>1820</v>
      </c>
      <c r="Z8" s="5"/>
    </row>
    <row r="9" spans="1:27" x14ac:dyDescent="0.3">
      <c r="A9" s="5"/>
      <c r="B9" s="5"/>
      <c r="C9" s="5"/>
      <c r="D9" s="5"/>
      <c r="E9" s="5"/>
      <c r="F9" s="5"/>
      <c r="G9" s="5"/>
      <c r="H9" s="5"/>
      <c r="I9" s="5"/>
      <c r="J9" s="5"/>
      <c r="K9" s="5"/>
      <c r="L9" s="5"/>
      <c r="M9" s="5"/>
      <c r="N9" s="5"/>
      <c r="O9" s="5"/>
      <c r="P9" s="5"/>
      <c r="Q9" s="5"/>
      <c r="S9" s="461"/>
      <c r="T9" s="54" t="s">
        <v>62</v>
      </c>
      <c r="U9" s="274">
        <f>Spawners!DJ17</f>
        <v>1548.7152024255211</v>
      </c>
      <c r="V9" s="15">
        <v>110000</v>
      </c>
      <c r="W9" s="306">
        <f>ROUND(Spawners!J19,-1)</f>
        <v>10920</v>
      </c>
      <c r="X9" s="74">
        <f t="shared" si="0"/>
        <v>12265</v>
      </c>
      <c r="Y9" s="277">
        <f>ROUND(Spawners!K19,-1)</f>
        <v>13610</v>
      </c>
      <c r="Z9" s="5"/>
    </row>
    <row r="10" spans="1:27" x14ac:dyDescent="0.3">
      <c r="A10" s="5"/>
      <c r="B10" s="5"/>
      <c r="C10" s="5"/>
      <c r="D10" s="5"/>
      <c r="E10" s="5"/>
      <c r="F10" s="5"/>
      <c r="G10" s="5"/>
      <c r="H10" s="5"/>
      <c r="I10" s="5"/>
      <c r="J10" s="5"/>
      <c r="K10" s="5"/>
      <c r="L10" s="5"/>
      <c r="M10" s="5"/>
      <c r="N10" s="5"/>
      <c r="O10" s="5"/>
      <c r="P10" s="5"/>
      <c r="Q10" s="5"/>
      <c r="S10" s="461"/>
      <c r="T10" s="54" t="s">
        <v>202</v>
      </c>
      <c r="U10" s="290">
        <f>Spawners!DN17</f>
        <v>136.48012938968895</v>
      </c>
      <c r="V10" s="278">
        <v>57750</v>
      </c>
      <c r="W10" s="307">
        <f>Spawners!J20</f>
        <v>5820</v>
      </c>
      <c r="X10" s="19">
        <f t="shared" si="0"/>
        <v>11640</v>
      </c>
      <c r="Y10" s="308">
        <f>ROUND(W10*3,-1)</f>
        <v>17460</v>
      </c>
      <c r="Z10" s="5"/>
    </row>
    <row r="11" spans="1:27" x14ac:dyDescent="0.3">
      <c r="A11" s="5"/>
      <c r="B11" s="5"/>
      <c r="C11" s="5"/>
      <c r="D11" s="5"/>
      <c r="E11" s="5"/>
      <c r="F11" s="5"/>
      <c r="G11" s="5"/>
      <c r="H11" s="5"/>
      <c r="I11" s="5"/>
      <c r="J11" s="5"/>
      <c r="K11" s="5"/>
      <c r="L11" s="5"/>
      <c r="M11" s="5"/>
      <c r="N11" s="5"/>
      <c r="O11" s="5"/>
      <c r="P11" s="5"/>
      <c r="Q11" s="5"/>
      <c r="S11" s="429" t="s">
        <v>8</v>
      </c>
      <c r="T11" s="430"/>
      <c r="U11" s="431">
        <f>SUM(U4:U10)</f>
        <v>4277.7620081935511</v>
      </c>
      <c r="V11" s="432">
        <f>SUM(V4:V10)</f>
        <v>312170</v>
      </c>
      <c r="W11" s="433">
        <f>SUM(W4:W10)</f>
        <v>28900</v>
      </c>
      <c r="X11" s="434">
        <f>SUM(X4:X10)</f>
        <v>47850</v>
      </c>
      <c r="Y11" s="435">
        <f>SUM(Y4:Y10)</f>
        <v>66800</v>
      </c>
      <c r="Z11" s="5"/>
    </row>
    <row r="12" spans="1:27" x14ac:dyDescent="0.3">
      <c r="A12" s="5"/>
      <c r="B12" s="5"/>
      <c r="C12" s="5"/>
      <c r="D12" s="5"/>
      <c r="E12" s="5"/>
      <c r="F12" s="5"/>
      <c r="G12" s="5"/>
      <c r="H12" s="5"/>
      <c r="I12" s="5"/>
      <c r="J12" s="5"/>
      <c r="K12" s="5"/>
      <c r="L12" s="5"/>
      <c r="M12" s="5"/>
      <c r="N12" s="5"/>
      <c r="O12" s="5"/>
      <c r="P12" s="5"/>
      <c r="Q12" s="5"/>
      <c r="S12" s="5"/>
      <c r="T12" s="5"/>
      <c r="U12" s="5"/>
      <c r="V12" s="5"/>
      <c r="W12" s="5"/>
      <c r="X12" s="5"/>
      <c r="Y12" s="5"/>
      <c r="Z12" s="5"/>
    </row>
    <row r="13" spans="1:27" x14ac:dyDescent="0.3">
      <c r="A13" s="5"/>
      <c r="B13" s="5"/>
      <c r="C13" s="5"/>
      <c r="D13" s="5"/>
      <c r="E13" s="5"/>
      <c r="F13" s="5"/>
      <c r="G13" s="5"/>
      <c r="H13" s="5"/>
      <c r="I13" s="5"/>
      <c r="J13" s="5"/>
      <c r="K13" s="5"/>
      <c r="L13" s="5"/>
      <c r="M13" s="5"/>
      <c r="N13" s="5"/>
      <c r="O13" s="5"/>
      <c r="P13" s="5"/>
      <c r="Q13" s="5"/>
      <c r="S13" s="29" t="s">
        <v>33</v>
      </c>
      <c r="T13" s="30"/>
      <c r="U13" s="31" t="s">
        <v>34</v>
      </c>
      <c r="V13" s="32"/>
      <c r="W13" s="229" t="s">
        <v>35</v>
      </c>
      <c r="X13" s="33" t="s">
        <v>693</v>
      </c>
      <c r="Y13" s="5"/>
      <c r="Z13" s="5"/>
    </row>
    <row r="14" spans="1:27" x14ac:dyDescent="0.3">
      <c r="A14" s="5"/>
      <c r="B14" s="5"/>
      <c r="C14" s="5"/>
      <c r="D14" s="5"/>
      <c r="E14" s="5"/>
      <c r="F14" s="5"/>
      <c r="G14" s="5"/>
      <c r="H14" s="5"/>
      <c r="I14" s="5"/>
      <c r="J14" s="5"/>
      <c r="K14" s="5"/>
      <c r="L14" s="5"/>
      <c r="M14" s="5"/>
      <c r="N14" s="5"/>
      <c r="O14" s="5"/>
      <c r="P14" s="5"/>
      <c r="Q14" s="5"/>
      <c r="S14" s="36" t="s">
        <v>36</v>
      </c>
      <c r="T14" s="37"/>
      <c r="U14" s="38" t="s">
        <v>37</v>
      </c>
      <c r="V14" s="38" t="s">
        <v>38</v>
      </c>
      <c r="W14" s="38" t="s">
        <v>22</v>
      </c>
      <c r="X14" s="318" t="s">
        <v>40</v>
      </c>
      <c r="Y14" s="5"/>
      <c r="Z14" s="5"/>
    </row>
    <row r="15" spans="1:27" x14ac:dyDescent="0.3">
      <c r="A15" s="5"/>
      <c r="B15" s="5"/>
      <c r="C15" s="5"/>
      <c r="D15" s="5"/>
      <c r="E15" s="5"/>
      <c r="F15" s="5"/>
      <c r="G15" s="5"/>
      <c r="H15" s="5"/>
      <c r="I15" s="5"/>
      <c r="J15" s="5"/>
      <c r="K15" s="5"/>
      <c r="L15" s="5"/>
      <c r="M15" s="5"/>
      <c r="N15" s="5"/>
      <c r="O15" s="5"/>
      <c r="P15" s="5"/>
      <c r="Q15" s="5"/>
      <c r="S15" s="16" t="s">
        <v>204</v>
      </c>
      <c r="U15" s="35"/>
      <c r="V15" s="74">
        <f>ROUND(Hatchery!BM10,-3)</f>
        <v>873000</v>
      </c>
      <c r="W15" s="35"/>
      <c r="X15" s="313">
        <v>1005000</v>
      </c>
      <c r="Y15" s="5"/>
      <c r="Z15" s="5"/>
    </row>
    <row r="16" spans="1:27" x14ac:dyDescent="0.3">
      <c r="A16" s="5"/>
      <c r="B16" s="5"/>
      <c r="C16" s="5"/>
      <c r="D16" s="5"/>
      <c r="E16" s="5"/>
      <c r="F16" s="5"/>
      <c r="G16" s="5"/>
      <c r="H16" s="5"/>
      <c r="I16" s="5"/>
      <c r="J16" s="5"/>
      <c r="K16" s="5"/>
      <c r="L16" s="5"/>
      <c r="M16" s="5"/>
      <c r="N16" s="5"/>
      <c r="O16" s="5"/>
      <c r="P16" s="5"/>
      <c r="Q16" s="5"/>
      <c r="S16" s="16" t="s">
        <v>207</v>
      </c>
      <c r="V16" s="74">
        <v>704000</v>
      </c>
      <c r="W16" s="35"/>
      <c r="X16" s="313">
        <v>704000</v>
      </c>
      <c r="Y16" s="5"/>
      <c r="Z16" s="5"/>
    </row>
    <row r="17" spans="1:36" x14ac:dyDescent="0.3">
      <c r="A17" s="5"/>
      <c r="B17" s="5"/>
      <c r="C17" s="5"/>
      <c r="D17" s="5"/>
      <c r="E17" s="5"/>
      <c r="F17" s="5"/>
      <c r="G17" s="5"/>
      <c r="H17" s="5"/>
      <c r="I17" s="5"/>
      <c r="J17" s="5"/>
      <c r="K17" s="5"/>
      <c r="L17" s="5"/>
      <c r="M17" s="5"/>
      <c r="N17" s="5"/>
      <c r="O17" s="5"/>
      <c r="P17" s="5"/>
      <c r="Q17" s="5"/>
      <c r="S17" s="16" t="s">
        <v>208</v>
      </c>
      <c r="V17" s="74">
        <v>1021000</v>
      </c>
      <c r="W17" s="35"/>
      <c r="X17" s="313">
        <v>1021000</v>
      </c>
      <c r="Y17" s="5"/>
      <c r="Z17" s="5"/>
    </row>
    <row r="18" spans="1:36" x14ac:dyDescent="0.3">
      <c r="A18" s="5"/>
      <c r="B18" s="5"/>
      <c r="C18" s="5"/>
      <c r="D18" s="5"/>
      <c r="E18" s="5"/>
      <c r="F18" s="5"/>
      <c r="G18" s="5"/>
      <c r="H18" s="5"/>
      <c r="I18" s="5"/>
      <c r="J18" s="5"/>
      <c r="K18" s="5"/>
      <c r="L18" s="5"/>
      <c r="M18" s="5"/>
      <c r="N18" s="5"/>
      <c r="O18" s="5"/>
      <c r="P18" s="5"/>
      <c r="Q18" s="5"/>
      <c r="S18" s="16" t="s">
        <v>206</v>
      </c>
      <c r="U18" s="35"/>
      <c r="V18" s="74">
        <v>1672000</v>
      </c>
      <c r="W18" s="35"/>
      <c r="X18" s="313">
        <v>1672000</v>
      </c>
      <c r="Y18" s="5"/>
      <c r="Z18" s="5"/>
    </row>
    <row r="19" spans="1:36" x14ac:dyDescent="0.3">
      <c r="A19" s="5"/>
      <c r="B19" s="5"/>
      <c r="C19" s="5"/>
      <c r="D19" s="5"/>
      <c r="E19" s="5"/>
      <c r="F19" s="5"/>
      <c r="G19" s="5"/>
      <c r="H19" s="5"/>
      <c r="I19" s="5"/>
      <c r="J19" s="5"/>
      <c r="K19" s="5"/>
      <c r="L19" s="5"/>
      <c r="M19" s="5"/>
      <c r="N19" s="5"/>
      <c r="O19" s="5"/>
      <c r="P19" s="5"/>
      <c r="Q19" s="5"/>
      <c r="S19" s="16" t="s">
        <v>205</v>
      </c>
      <c r="U19" s="74"/>
      <c r="V19" s="74">
        <v>604750</v>
      </c>
      <c r="W19" s="35"/>
      <c r="X19" s="313">
        <v>787000</v>
      </c>
      <c r="Y19" s="5"/>
      <c r="Z19" s="5"/>
    </row>
    <row r="20" spans="1:36" x14ac:dyDescent="0.3">
      <c r="A20" s="5"/>
      <c r="B20" s="5"/>
      <c r="C20" s="5"/>
      <c r="D20" s="5"/>
      <c r="E20" s="5"/>
      <c r="F20" s="5"/>
      <c r="G20" s="5"/>
      <c r="H20" s="5"/>
      <c r="I20" s="5"/>
      <c r="J20" s="5"/>
      <c r="K20" s="5"/>
      <c r="L20" s="5"/>
      <c r="M20" s="5"/>
      <c r="N20" s="5"/>
      <c r="O20" s="5"/>
      <c r="P20" s="5"/>
      <c r="Q20" s="5"/>
      <c r="S20" s="16" t="s">
        <v>624</v>
      </c>
      <c r="U20" s="74"/>
      <c r="V20" s="74">
        <v>267000</v>
      </c>
      <c r="W20" s="35"/>
      <c r="X20" s="313">
        <f>267000+261000</f>
        <v>528000</v>
      </c>
      <c r="Y20" s="5"/>
      <c r="Z20" s="5"/>
    </row>
    <row r="21" spans="1:36" x14ac:dyDescent="0.3">
      <c r="A21" s="5"/>
      <c r="B21" s="5"/>
      <c r="C21" s="5"/>
      <c r="D21" s="5"/>
      <c r="E21" s="5"/>
      <c r="F21" s="5"/>
      <c r="G21" s="5"/>
      <c r="H21" s="5"/>
      <c r="I21" s="5"/>
      <c r="J21" s="5"/>
      <c r="K21" s="5"/>
      <c r="L21" s="5"/>
      <c r="M21" s="5"/>
      <c r="N21" s="5"/>
      <c r="O21" s="5"/>
      <c r="P21" s="5"/>
      <c r="Q21" s="5"/>
      <c r="S21" s="39" t="s">
        <v>382</v>
      </c>
      <c r="T21" s="26"/>
      <c r="U21" s="19"/>
      <c r="V21" s="19">
        <f>ROUND(Hatchery!AV4,-2)</f>
        <v>99700</v>
      </c>
      <c r="W21" s="291"/>
      <c r="X21" s="314">
        <v>100000</v>
      </c>
      <c r="Y21" s="5"/>
      <c r="Z21" s="5"/>
    </row>
    <row r="22" spans="1:36" x14ac:dyDescent="0.3">
      <c r="A22" s="5"/>
      <c r="B22" s="5"/>
      <c r="C22" s="5"/>
      <c r="D22" s="5"/>
      <c r="E22" s="5"/>
      <c r="F22" s="5"/>
      <c r="G22" s="5"/>
      <c r="H22" s="5"/>
      <c r="I22" s="5"/>
      <c r="J22" s="5"/>
      <c r="K22" s="5"/>
      <c r="L22" s="5"/>
      <c r="M22" s="5"/>
      <c r="N22" s="5"/>
      <c r="O22" s="5"/>
      <c r="P22" s="5"/>
      <c r="Q22" s="5"/>
      <c r="S22" s="36" t="s">
        <v>8</v>
      </c>
      <c r="T22" s="37"/>
      <c r="U22" s="226"/>
      <c r="V22" s="226">
        <f>ROUND(SUM(V15:V21),-3)</f>
        <v>5241000</v>
      </c>
      <c r="W22" s="38"/>
      <c r="X22" s="312">
        <f>ROUND(SUM(X15:X21),-3)</f>
        <v>5817000</v>
      </c>
      <c r="Y22" s="5"/>
      <c r="Z22" s="5"/>
    </row>
    <row r="23" spans="1:36" x14ac:dyDescent="0.3">
      <c r="A23" s="5"/>
      <c r="B23" s="5"/>
      <c r="C23" s="5"/>
      <c r="D23" s="5"/>
      <c r="E23" s="5"/>
      <c r="F23" s="5"/>
      <c r="G23" s="5"/>
      <c r="H23" s="5"/>
      <c r="I23" s="5"/>
      <c r="J23" s="5"/>
      <c r="K23" s="5"/>
      <c r="L23" s="5"/>
      <c r="M23" s="5"/>
      <c r="N23" s="5"/>
      <c r="O23" s="5"/>
      <c r="P23" s="5"/>
      <c r="Q23" s="5"/>
      <c r="S23" s="5"/>
      <c r="T23" s="5"/>
      <c r="U23" s="219"/>
      <c r="V23" s="220"/>
      <c r="W23" s="219"/>
      <c r="X23" s="219"/>
      <c r="Y23" s="221"/>
      <c r="Z23" s="5"/>
    </row>
    <row r="24" spans="1:36" x14ac:dyDescent="0.3">
      <c r="A24" s="5"/>
      <c r="B24" s="5"/>
      <c r="C24" s="5" t="s">
        <v>39</v>
      </c>
      <c r="D24" s="219">
        <f>U11</f>
        <v>4277.7620081935511</v>
      </c>
      <c r="E24" s="5"/>
      <c r="F24" s="5"/>
      <c r="G24" s="5"/>
      <c r="H24" s="5"/>
      <c r="I24" s="5"/>
      <c r="J24" s="5"/>
      <c r="K24" s="5"/>
      <c r="L24" s="5"/>
      <c r="M24" s="5"/>
      <c r="N24" s="5"/>
      <c r="O24" s="5"/>
      <c r="P24" s="5"/>
      <c r="Q24" s="5"/>
      <c r="S24" s="6" t="s">
        <v>12</v>
      </c>
      <c r="T24" s="333"/>
      <c r="U24" s="315" t="s">
        <v>13</v>
      </c>
      <c r="V24" s="227"/>
      <c r="W24" s="227"/>
      <c r="X24" s="317"/>
      <c r="Y24" s="227" t="s">
        <v>14</v>
      </c>
      <c r="Z24" s="228"/>
      <c r="AC24" s="342"/>
      <c r="AD24" s="342"/>
      <c r="AE24" s="343"/>
      <c r="AF24" s="343"/>
      <c r="AG24" s="343"/>
      <c r="AH24" s="342"/>
      <c r="AI24" s="343"/>
      <c r="AJ24" s="343"/>
    </row>
    <row r="25" spans="1:36" x14ac:dyDescent="0.3">
      <c r="A25" s="5"/>
      <c r="B25" s="5"/>
      <c r="C25" s="5" t="s">
        <v>216</v>
      </c>
      <c r="D25" s="219">
        <f>W11</f>
        <v>28900</v>
      </c>
      <c r="E25" s="5"/>
      <c r="F25" s="5"/>
      <c r="G25" s="5"/>
      <c r="H25" s="5"/>
      <c r="I25" s="5"/>
      <c r="J25" s="5"/>
      <c r="K25" s="5"/>
      <c r="L25" s="5"/>
      <c r="M25" s="5"/>
      <c r="N25" s="5"/>
      <c r="O25" s="5"/>
      <c r="P25" s="5"/>
      <c r="Q25" s="5"/>
      <c r="S25" s="9"/>
      <c r="T25" s="10" t="s">
        <v>21</v>
      </c>
      <c r="U25" s="11" t="s">
        <v>714</v>
      </c>
      <c r="V25" s="11" t="s">
        <v>715</v>
      </c>
      <c r="W25" s="11" t="s">
        <v>233</v>
      </c>
      <c r="X25" s="12" t="s">
        <v>695</v>
      </c>
      <c r="Y25" s="11" t="s">
        <v>694</v>
      </c>
      <c r="Z25" s="12" t="s">
        <v>695</v>
      </c>
      <c r="AC25" s="253"/>
      <c r="AD25" s="253"/>
      <c r="AE25" s="323"/>
      <c r="AF25" s="323"/>
      <c r="AG25" s="323"/>
      <c r="AH25" s="323"/>
      <c r="AI25" s="323"/>
      <c r="AJ25" s="323"/>
    </row>
    <row r="26" spans="1:36" ht="15" customHeight="1" x14ac:dyDescent="0.3">
      <c r="A26" s="5"/>
      <c r="B26" s="5"/>
      <c r="C26" s="5" t="s">
        <v>217</v>
      </c>
      <c r="D26" s="219">
        <f>X11</f>
        <v>47850</v>
      </c>
      <c r="E26" s="5"/>
      <c r="F26" s="5"/>
      <c r="G26" s="5"/>
      <c r="H26" s="5"/>
      <c r="I26" s="5"/>
      <c r="J26" s="5"/>
      <c r="K26" s="5"/>
      <c r="L26" s="5"/>
      <c r="M26" s="5"/>
      <c r="N26" s="5"/>
      <c r="O26" s="5"/>
      <c r="P26" s="5"/>
      <c r="Q26" s="5"/>
      <c r="S26" s="462" t="s">
        <v>418</v>
      </c>
      <c r="T26" s="13" t="s">
        <v>23</v>
      </c>
      <c r="U26" s="270">
        <f>ROUND(Run!IE63/100,3)</f>
        <v>4.1000000000000002E-2</v>
      </c>
      <c r="V26" s="382" t="s">
        <v>107</v>
      </c>
      <c r="W26" s="475">
        <v>0.12</v>
      </c>
      <c r="X26" s="472" t="s">
        <v>774</v>
      </c>
      <c r="Y26" s="15">
        <f>ROUND(Run!IU63,-1)</f>
        <v>470</v>
      </c>
      <c r="Z26" s="464">
        <f>X62-X58</f>
        <v>21000</v>
      </c>
      <c r="AC26" s="347"/>
      <c r="AD26" s="190"/>
      <c r="AE26" s="87"/>
      <c r="AF26" s="14"/>
      <c r="AG26" s="349"/>
      <c r="AH26" s="349"/>
      <c r="AI26" s="15"/>
      <c r="AJ26" s="350"/>
    </row>
    <row r="27" spans="1:36" x14ac:dyDescent="0.3">
      <c r="A27" s="5"/>
      <c r="B27" s="5"/>
      <c r="C27" s="5" t="s">
        <v>218</v>
      </c>
      <c r="D27" s="219">
        <f>Y11</f>
        <v>66800</v>
      </c>
      <c r="E27" s="5"/>
      <c r="F27" s="5"/>
      <c r="G27" s="5"/>
      <c r="H27" s="5"/>
      <c r="I27" s="5"/>
      <c r="J27" s="5"/>
      <c r="K27" s="5"/>
      <c r="L27" s="5"/>
      <c r="M27" s="5"/>
      <c r="N27" s="5"/>
      <c r="O27" s="5"/>
      <c r="P27" s="5"/>
      <c r="Q27" s="5"/>
      <c r="S27" s="462"/>
      <c r="T27" s="13" t="s">
        <v>24</v>
      </c>
      <c r="U27" s="270">
        <f>ROUND(Run!IF63/100,3)</f>
        <v>2.5000000000000001E-2</v>
      </c>
      <c r="V27" s="271" t="s">
        <v>107</v>
      </c>
      <c r="W27" s="476"/>
      <c r="X27" s="473"/>
      <c r="Y27" s="15">
        <f>ROUND(Run!IV63,-1)</f>
        <v>260</v>
      </c>
      <c r="Z27" s="465"/>
      <c r="AC27" s="347"/>
      <c r="AD27" s="190"/>
      <c r="AE27" s="87"/>
      <c r="AF27" s="14"/>
      <c r="AG27" s="349"/>
      <c r="AH27" s="349"/>
      <c r="AI27" s="15"/>
      <c r="AJ27" s="350"/>
    </row>
    <row r="28" spans="1:36" x14ac:dyDescent="0.3">
      <c r="A28" s="5"/>
      <c r="B28" s="5"/>
      <c r="C28" s="5" t="s">
        <v>17</v>
      </c>
      <c r="D28" s="219">
        <f>V11</f>
        <v>312170</v>
      </c>
      <c r="E28" s="5"/>
      <c r="F28" s="5"/>
      <c r="G28" s="5"/>
      <c r="H28" s="5"/>
      <c r="I28" s="5"/>
      <c r="J28" s="5"/>
      <c r="K28" s="5"/>
      <c r="L28" s="5"/>
      <c r="M28" s="5"/>
      <c r="N28" s="5"/>
      <c r="O28" s="5"/>
      <c r="P28" s="5"/>
      <c r="Q28" s="5"/>
      <c r="S28" s="462"/>
      <c r="T28" s="13" t="s">
        <v>25</v>
      </c>
      <c r="U28" s="270">
        <f>ROUND(Run!IG63/100,3)</f>
        <v>2.1999999999999999E-2</v>
      </c>
      <c r="V28" s="271" t="s">
        <v>107</v>
      </c>
      <c r="W28" s="476"/>
      <c r="X28" s="473"/>
      <c r="Y28" s="15">
        <f>ROUND(Run!IW63,-1)</f>
        <v>280</v>
      </c>
      <c r="Z28" s="465"/>
      <c r="AC28" s="399">
        <f>SUM(U26:U28)</f>
        <v>8.7999999999999995E-2</v>
      </c>
      <c r="AD28" s="190"/>
      <c r="AE28" s="87"/>
      <c r="AF28" s="14"/>
      <c r="AG28" s="349"/>
      <c r="AH28" s="349"/>
      <c r="AI28" s="15"/>
      <c r="AJ28" s="350"/>
    </row>
    <row r="29" spans="1:36" x14ac:dyDescent="0.3">
      <c r="A29" s="5"/>
      <c r="B29" s="5"/>
      <c r="C29" s="5"/>
      <c r="D29" s="5"/>
      <c r="E29" s="5"/>
      <c r="F29" s="5"/>
      <c r="G29" s="5"/>
      <c r="H29" s="5"/>
      <c r="I29" s="5"/>
      <c r="J29" s="5"/>
      <c r="K29" s="5"/>
      <c r="L29" s="5"/>
      <c r="M29" s="5"/>
      <c r="N29" s="5"/>
      <c r="O29" s="5"/>
      <c r="P29" s="5"/>
      <c r="Q29" s="5"/>
      <c r="S29" s="462"/>
      <c r="T29" s="16" t="s">
        <v>26</v>
      </c>
      <c r="U29" s="270">
        <f>ROUND(Run!HU53,3)</f>
        <v>4.0000000000000001E-3</v>
      </c>
      <c r="V29" s="269">
        <f>ROUND(Run!HU34,3)</f>
        <v>4.0000000000000001E-3</v>
      </c>
      <c r="W29" s="477">
        <v>0.15</v>
      </c>
      <c r="X29" s="473"/>
      <c r="Y29" s="15">
        <f>ROUND(Run!HU17,-1)</f>
        <v>40</v>
      </c>
      <c r="Z29" s="466">
        <f>X58</f>
        <v>75000</v>
      </c>
      <c r="AC29" s="347"/>
      <c r="AE29" s="87"/>
      <c r="AF29" s="269"/>
      <c r="AG29" s="349"/>
      <c r="AH29" s="349"/>
      <c r="AI29" s="15"/>
      <c r="AJ29" s="350"/>
    </row>
    <row r="30" spans="1:36" x14ac:dyDescent="0.3">
      <c r="A30" s="5"/>
      <c r="B30" s="5"/>
      <c r="C30" s="5"/>
      <c r="D30" s="5"/>
      <c r="E30" s="5"/>
      <c r="F30" s="5"/>
      <c r="G30" s="5"/>
      <c r="H30" s="5"/>
      <c r="I30" s="5"/>
      <c r="J30" s="5"/>
      <c r="K30" s="5"/>
      <c r="L30" s="5"/>
      <c r="M30" s="5"/>
      <c r="N30" s="5"/>
      <c r="O30" s="5"/>
      <c r="P30" s="5"/>
      <c r="Q30" s="5"/>
      <c r="S30" s="462"/>
      <c r="T30" s="16" t="s">
        <v>27</v>
      </c>
      <c r="U30" s="270">
        <f>ROUND(Run!HX53,3)</f>
        <v>4.0000000000000001E-3</v>
      </c>
      <c r="V30" s="270">
        <f>ROUND(Run!HX34,3)</f>
        <v>4.0000000000000001E-3</v>
      </c>
      <c r="W30" s="476"/>
      <c r="X30" s="473"/>
      <c r="Y30" s="15">
        <f>ROUND(Run!HX17,-1)</f>
        <v>40</v>
      </c>
      <c r="Z30" s="465"/>
      <c r="AC30" s="347"/>
      <c r="AE30" s="87"/>
      <c r="AF30" s="270"/>
      <c r="AG30" s="349"/>
      <c r="AH30" s="349"/>
      <c r="AI30" s="15"/>
      <c r="AJ30" s="350"/>
    </row>
    <row r="31" spans="1:36" x14ac:dyDescent="0.3">
      <c r="A31" s="5"/>
      <c r="B31" s="5"/>
      <c r="C31" s="5"/>
      <c r="D31" s="5"/>
      <c r="E31" s="5"/>
      <c r="F31" s="5"/>
      <c r="G31" s="5"/>
      <c r="H31" s="5"/>
      <c r="I31" s="5"/>
      <c r="J31" s="5"/>
      <c r="K31" s="5"/>
      <c r="L31" s="5"/>
      <c r="M31" s="5"/>
      <c r="N31" s="5"/>
      <c r="O31" s="5"/>
      <c r="P31" s="5"/>
      <c r="Q31" s="5"/>
      <c r="S31" s="462"/>
      <c r="T31" s="13" t="s">
        <v>198</v>
      </c>
      <c r="U31" s="270">
        <f>ROUND(Run!HR53,3)</f>
        <v>2.5999999999999999E-2</v>
      </c>
      <c r="V31" s="271">
        <f>ROUND(Run!HR34,3)</f>
        <v>2.5999999999999999E-2</v>
      </c>
      <c r="W31" s="476"/>
      <c r="X31" s="473"/>
      <c r="Y31" s="18">
        <f>ROUND(Run!HR17,-1)</f>
        <v>240</v>
      </c>
      <c r="Z31" s="465"/>
      <c r="AC31" s="347"/>
      <c r="AD31" s="190"/>
      <c r="AE31" s="87"/>
      <c r="AF31" s="271"/>
      <c r="AG31" s="349"/>
      <c r="AH31" s="349"/>
      <c r="AI31" s="18"/>
      <c r="AJ31" s="350"/>
    </row>
    <row r="32" spans="1:36" x14ac:dyDescent="0.3">
      <c r="A32" s="5"/>
      <c r="B32" s="5"/>
      <c r="C32" s="5"/>
      <c r="D32" s="5"/>
      <c r="E32" s="5"/>
      <c r="F32" s="5"/>
      <c r="G32" s="5"/>
      <c r="H32" s="5"/>
      <c r="I32" s="5"/>
      <c r="J32" s="5"/>
      <c r="K32" s="5"/>
      <c r="L32" s="5"/>
      <c r="M32" s="5"/>
      <c r="N32" s="5"/>
      <c r="O32" s="5"/>
      <c r="P32" s="5"/>
      <c r="Q32" s="5"/>
      <c r="S32" s="462"/>
      <c r="T32" s="13" t="s">
        <v>199</v>
      </c>
      <c r="U32" s="270">
        <f>ROUND(Run!HL53,3)</f>
        <v>7.0000000000000001E-3</v>
      </c>
      <c r="V32" s="271">
        <f>ROUND(Run!HL34,3)</f>
        <v>7.0000000000000001E-3</v>
      </c>
      <c r="W32" s="478"/>
      <c r="X32" s="474"/>
      <c r="Y32" s="18">
        <f>ROUND(Run!HL17,-1)</f>
        <v>70</v>
      </c>
      <c r="Z32" s="467"/>
      <c r="AC32" s="347"/>
      <c r="AD32" s="190"/>
      <c r="AE32" s="87"/>
      <c r="AF32" s="271"/>
      <c r="AG32" s="349"/>
      <c r="AH32" s="349"/>
      <c r="AI32" s="18"/>
      <c r="AJ32" s="350"/>
    </row>
    <row r="33" spans="1:36" x14ac:dyDescent="0.3">
      <c r="A33" s="5"/>
      <c r="B33" s="5"/>
      <c r="C33" s="5"/>
      <c r="D33" s="5"/>
      <c r="E33" s="5"/>
      <c r="F33" s="5"/>
      <c r="G33" s="5"/>
      <c r="H33" s="5"/>
      <c r="I33" s="5"/>
      <c r="J33" s="5"/>
      <c r="K33" s="5"/>
      <c r="L33" s="5"/>
      <c r="M33" s="5"/>
      <c r="N33" s="5"/>
      <c r="O33" s="5"/>
      <c r="P33" s="5"/>
      <c r="Q33" s="5"/>
      <c r="S33" s="463"/>
      <c r="T33" s="20" t="s">
        <v>5</v>
      </c>
      <c r="U33" s="383">
        <f>SUM(U26:U32)</f>
        <v>0.129</v>
      </c>
      <c r="V33" s="21">
        <f>SUM(V29:V32)</f>
        <v>4.1000000000000002E-2</v>
      </c>
      <c r="W33" s="22"/>
      <c r="X33" s="316"/>
      <c r="Y33" s="23">
        <f>SUM(Y26:Y32)</f>
        <v>1400</v>
      </c>
      <c r="Z33" s="439">
        <f>SUM(Z26:Z32)</f>
        <v>96000</v>
      </c>
      <c r="AC33" s="347"/>
      <c r="AD33" s="344"/>
      <c r="AE33" s="323"/>
      <c r="AF33" s="345"/>
      <c r="AG33" s="346"/>
      <c r="AH33" s="346"/>
      <c r="AI33" s="309"/>
      <c r="AJ33" s="332"/>
    </row>
    <row r="34" spans="1:36" ht="15" customHeight="1" x14ac:dyDescent="0.3">
      <c r="A34" s="5"/>
      <c r="B34" s="5"/>
      <c r="C34" s="5"/>
      <c r="D34" s="5"/>
      <c r="E34" s="5"/>
      <c r="F34" s="5"/>
      <c r="G34" s="5"/>
      <c r="H34" s="5"/>
      <c r="I34" s="5"/>
      <c r="J34" s="5"/>
      <c r="K34" s="5"/>
      <c r="L34" s="5"/>
      <c r="M34" s="5"/>
      <c r="N34" s="5"/>
      <c r="O34" s="5"/>
      <c r="P34" s="5"/>
      <c r="Q34" s="5"/>
      <c r="S34" s="457" t="s">
        <v>6</v>
      </c>
      <c r="T34" s="24" t="s">
        <v>23</v>
      </c>
      <c r="U34" s="384">
        <f>ROUND(Run!IE63/100,3)</f>
        <v>4.1000000000000002E-2</v>
      </c>
      <c r="V34" s="382" t="s">
        <v>107</v>
      </c>
      <c r="W34" s="479" t="s">
        <v>799</v>
      </c>
      <c r="X34" s="482" t="s">
        <v>799</v>
      </c>
      <c r="Y34" s="334">
        <f>ROUND(Run!IM63,-2)</f>
        <v>2400</v>
      </c>
      <c r="Z34" s="468">
        <f>X63-X59</f>
        <v>5300</v>
      </c>
      <c r="AC34" s="348"/>
      <c r="AD34" s="190"/>
      <c r="AE34" s="335"/>
      <c r="AF34" s="14"/>
      <c r="AG34" s="336"/>
      <c r="AH34" s="336"/>
      <c r="AI34" s="337"/>
      <c r="AJ34" s="351"/>
    </row>
    <row r="35" spans="1:36" x14ac:dyDescent="0.3">
      <c r="A35" s="5"/>
      <c r="B35" s="5"/>
      <c r="C35" s="5"/>
      <c r="D35" s="5"/>
      <c r="E35" s="5"/>
      <c r="F35" s="5"/>
      <c r="G35" s="5"/>
      <c r="H35" s="5"/>
      <c r="I35" s="5"/>
      <c r="J35" s="5"/>
      <c r="K35" s="5"/>
      <c r="L35" s="5"/>
      <c r="M35" s="5"/>
      <c r="N35" s="5"/>
      <c r="O35" s="5"/>
      <c r="P35" s="5"/>
      <c r="Q35" s="5"/>
      <c r="S35" s="458"/>
      <c r="T35" s="13" t="s">
        <v>24</v>
      </c>
      <c r="U35" s="339">
        <f>ROUND(Run!IF63/100,3)</f>
        <v>2.5000000000000001E-2</v>
      </c>
      <c r="V35" s="271" t="s">
        <v>107</v>
      </c>
      <c r="W35" s="480"/>
      <c r="X35" s="483"/>
      <c r="Y35" s="337">
        <f>ROUND(Run!IN63,-2)</f>
        <v>1300</v>
      </c>
      <c r="Z35" s="469"/>
      <c r="AC35" s="348"/>
      <c r="AD35" s="190"/>
      <c r="AE35" s="335"/>
      <c r="AF35" s="14"/>
      <c r="AG35" s="336"/>
      <c r="AH35" s="336"/>
      <c r="AI35" s="337"/>
      <c r="AJ35" s="351"/>
    </row>
    <row r="36" spans="1:36" x14ac:dyDescent="0.3">
      <c r="A36" s="5"/>
      <c r="B36" s="5"/>
      <c r="C36" s="5"/>
      <c r="D36" s="5"/>
      <c r="E36" s="5"/>
      <c r="F36" s="5"/>
      <c r="G36" s="5"/>
      <c r="H36" s="5"/>
      <c r="I36" s="5"/>
      <c r="J36" s="5"/>
      <c r="K36" s="5"/>
      <c r="L36" s="5"/>
      <c r="M36" s="5"/>
      <c r="N36" s="5"/>
      <c r="O36" s="5"/>
      <c r="P36" s="5"/>
      <c r="Q36" s="5"/>
      <c r="S36" s="458"/>
      <c r="T36" s="13" t="s">
        <v>25</v>
      </c>
      <c r="U36" s="339">
        <f>ROUND(Run!IG63/100,3)</f>
        <v>2.1999999999999999E-2</v>
      </c>
      <c r="V36" s="271" t="s">
        <v>107</v>
      </c>
      <c r="W36" s="480"/>
      <c r="X36" s="483"/>
      <c r="Y36" s="337">
        <f>ROUND(Run!IO63,-2)</f>
        <v>1500</v>
      </c>
      <c r="Z36" s="469"/>
      <c r="AC36" s="348"/>
      <c r="AD36" s="190"/>
      <c r="AE36" s="335"/>
      <c r="AF36" s="14"/>
      <c r="AG36" s="336"/>
      <c r="AH36" s="336"/>
      <c r="AI36" s="337"/>
      <c r="AJ36" s="351"/>
    </row>
    <row r="37" spans="1:36" x14ac:dyDescent="0.3">
      <c r="A37" s="5"/>
      <c r="B37" s="5"/>
      <c r="C37" s="5"/>
      <c r="D37" s="5"/>
      <c r="E37" s="5"/>
      <c r="F37" s="5"/>
      <c r="G37" s="5"/>
      <c r="H37" s="5"/>
      <c r="I37" s="5"/>
      <c r="J37" s="5"/>
      <c r="K37" s="5"/>
      <c r="L37" s="5"/>
      <c r="M37" s="5"/>
      <c r="N37" s="5"/>
      <c r="O37" s="5"/>
      <c r="P37" s="5"/>
      <c r="Q37" s="5"/>
      <c r="S37" s="458"/>
      <c r="T37" s="16" t="s">
        <v>26</v>
      </c>
      <c r="U37" s="339">
        <f>ROUND(Run!HT53,3)</f>
        <v>0.04</v>
      </c>
      <c r="V37" s="272">
        <f>ROUND(Run!HT34,3)</f>
        <v>4.2999999999999997E-2</v>
      </c>
      <c r="W37" s="480"/>
      <c r="X37" s="483"/>
      <c r="Y37" s="337">
        <f>ROUND(Run!HT17,-2)</f>
        <v>2200</v>
      </c>
      <c r="Z37" s="470">
        <f>X62</f>
        <v>96000</v>
      </c>
      <c r="AC37" s="348"/>
      <c r="AE37" s="335"/>
      <c r="AF37" s="272"/>
      <c r="AG37" s="338"/>
      <c r="AH37" s="338"/>
      <c r="AI37" s="337"/>
      <c r="AJ37" s="351"/>
    </row>
    <row r="38" spans="1:36" x14ac:dyDescent="0.3">
      <c r="A38" s="5"/>
      <c r="B38" s="5"/>
      <c r="C38" s="5"/>
      <c r="D38" s="5"/>
      <c r="E38" s="5"/>
      <c r="F38" s="5"/>
      <c r="G38" s="5"/>
      <c r="H38" s="5"/>
      <c r="I38" s="5"/>
      <c r="J38" s="5"/>
      <c r="K38" s="5"/>
      <c r="L38" s="5"/>
      <c r="M38" s="5"/>
      <c r="N38" s="5"/>
      <c r="O38" s="5"/>
      <c r="P38" s="5"/>
      <c r="Q38" s="5"/>
      <c r="S38" s="458"/>
      <c r="T38" s="16" t="s">
        <v>27</v>
      </c>
      <c r="U38" s="339">
        <f>ROUND(Run!HW53,3)</f>
        <v>2.8000000000000001E-2</v>
      </c>
      <c r="V38" s="339">
        <f>ROUND(Run!HW34,3)</f>
        <v>0.03</v>
      </c>
      <c r="W38" s="480"/>
      <c r="X38" s="483"/>
      <c r="Y38" s="337">
        <f>ROUND(Run!HW17,-2)</f>
        <v>1600</v>
      </c>
      <c r="Z38" s="469"/>
      <c r="AC38" s="348"/>
      <c r="AE38" s="335"/>
      <c r="AF38" s="339"/>
      <c r="AG38" s="338"/>
      <c r="AH38" s="338"/>
      <c r="AI38" s="337"/>
      <c r="AJ38" s="351"/>
    </row>
    <row r="39" spans="1:36" x14ac:dyDescent="0.3">
      <c r="A39" s="5"/>
      <c r="B39" s="5"/>
      <c r="C39" s="5"/>
      <c r="D39" s="5"/>
      <c r="E39" s="5"/>
      <c r="F39" s="5"/>
      <c r="G39" s="5"/>
      <c r="H39" s="5"/>
      <c r="I39" s="5"/>
      <c r="J39" s="5"/>
      <c r="K39" s="5"/>
      <c r="L39" s="5"/>
      <c r="M39" s="5"/>
      <c r="N39" s="5"/>
      <c r="O39" s="5"/>
      <c r="P39" s="5"/>
      <c r="Q39" s="5"/>
      <c r="S39" s="458"/>
      <c r="T39" s="13" t="s">
        <v>198</v>
      </c>
      <c r="U39" s="339">
        <f>ROUND(Run!HQ53,3)</f>
        <v>0.192</v>
      </c>
      <c r="V39" s="273">
        <f>ROUND(Run!HQ34,3)</f>
        <v>0.20599999999999999</v>
      </c>
      <c r="W39" s="480"/>
      <c r="X39" s="483"/>
      <c r="Y39" s="340">
        <f>ROUND(Run!HQ17,-2)</f>
        <v>10500</v>
      </c>
      <c r="Z39" s="469"/>
      <c r="AC39" s="348"/>
      <c r="AD39" s="190"/>
      <c r="AE39" s="335"/>
      <c r="AF39" s="273"/>
      <c r="AG39" s="338"/>
      <c r="AH39" s="338"/>
      <c r="AI39" s="340"/>
      <c r="AJ39" s="351"/>
    </row>
    <row r="40" spans="1:36" x14ac:dyDescent="0.3">
      <c r="A40" s="5"/>
      <c r="B40" s="5"/>
      <c r="C40" s="5"/>
      <c r="D40" s="5"/>
      <c r="E40" s="5"/>
      <c r="F40" s="5"/>
      <c r="G40" s="5"/>
      <c r="H40" s="5"/>
      <c r="I40" s="5"/>
      <c r="J40" s="5"/>
      <c r="K40" s="5"/>
      <c r="L40" s="5"/>
      <c r="M40" s="5"/>
      <c r="N40" s="5"/>
      <c r="O40" s="5"/>
      <c r="P40" s="5"/>
      <c r="Q40" s="5"/>
      <c r="S40" s="458"/>
      <c r="T40" s="436" t="s">
        <v>199</v>
      </c>
      <c r="U40" s="437">
        <f>ROUND(Run!HK53,3)</f>
        <v>6.5000000000000002E-2</v>
      </c>
      <c r="V40" s="438">
        <f>ROUND(Run!HK34,3)</f>
        <v>7.4999999999999997E-2</v>
      </c>
      <c r="W40" s="481"/>
      <c r="X40" s="484"/>
      <c r="Y40" s="341">
        <f>ROUND(Run!HK17,-2)</f>
        <v>3800</v>
      </c>
      <c r="Z40" s="471"/>
      <c r="AC40" s="348"/>
      <c r="AD40" s="190"/>
      <c r="AE40" s="335"/>
      <c r="AF40" s="272"/>
      <c r="AG40" s="336"/>
      <c r="AH40" s="336"/>
      <c r="AI40" s="340"/>
      <c r="AJ40" s="351"/>
    </row>
    <row r="41" spans="1:36" x14ac:dyDescent="0.3">
      <c r="A41" s="5"/>
      <c r="B41" s="5"/>
      <c r="C41" s="5"/>
      <c r="D41" s="5"/>
      <c r="E41" s="5"/>
      <c r="F41" s="5"/>
      <c r="G41" s="5"/>
      <c r="H41" s="5"/>
      <c r="I41" s="5"/>
      <c r="J41" s="5"/>
      <c r="K41" s="5"/>
      <c r="L41" s="5"/>
      <c r="M41" s="5"/>
      <c r="N41" s="5"/>
      <c r="O41" s="5"/>
      <c r="P41" s="5"/>
      <c r="Q41" s="5"/>
      <c r="S41" s="459"/>
      <c r="T41" s="20" t="s">
        <v>5</v>
      </c>
      <c r="U41" s="383">
        <f>SUM(U34:U40)</f>
        <v>0.41299999999999998</v>
      </c>
      <c r="V41" s="21">
        <f>SUM(V37:V40)</f>
        <v>0.35399999999999998</v>
      </c>
      <c r="W41" s="22" t="str">
        <f>W34</f>
        <v>≤70%</v>
      </c>
      <c r="X41" s="316" t="str">
        <f>X34</f>
        <v>≤70%</v>
      </c>
      <c r="Y41" s="23">
        <f>SUM(Y34:Y40)</f>
        <v>23300</v>
      </c>
      <c r="Z41" s="439">
        <f>SUM(Z34:Z40)</f>
        <v>101300</v>
      </c>
      <c r="AC41" s="348"/>
      <c r="AD41" s="344"/>
      <c r="AE41" s="323"/>
      <c r="AF41" s="345"/>
      <c r="AG41" s="346"/>
      <c r="AH41" s="346"/>
      <c r="AI41" s="309"/>
      <c r="AJ41" s="332"/>
    </row>
    <row r="42" spans="1:36" x14ac:dyDescent="0.3">
      <c r="A42" s="5"/>
      <c r="B42" s="5"/>
      <c r="C42" s="5"/>
      <c r="D42" s="5"/>
      <c r="E42" s="5"/>
      <c r="F42" s="5"/>
      <c r="G42" s="5"/>
      <c r="H42" s="5"/>
      <c r="I42" s="5"/>
      <c r="J42" s="5"/>
      <c r="K42" s="5"/>
      <c r="L42" s="5"/>
      <c r="M42" s="5"/>
      <c r="N42" s="5"/>
      <c r="O42" s="5"/>
      <c r="P42" s="5"/>
      <c r="Q42" s="5"/>
      <c r="S42" s="5"/>
      <c r="T42" s="5"/>
      <c r="U42" s="5"/>
      <c r="V42" s="5"/>
      <c r="W42" s="5"/>
      <c r="X42" s="5"/>
      <c r="Y42" s="5"/>
      <c r="Z42" s="5"/>
    </row>
    <row r="43" spans="1:36" x14ac:dyDescent="0.3">
      <c r="A43" s="5"/>
      <c r="B43" s="5"/>
      <c r="C43" s="5"/>
      <c r="D43" s="5"/>
      <c r="E43" s="5"/>
      <c r="F43" s="5"/>
      <c r="G43" s="5"/>
      <c r="H43" s="5"/>
      <c r="I43" s="5"/>
      <c r="J43" s="5"/>
      <c r="K43" s="5"/>
      <c r="L43" s="5"/>
      <c r="M43" s="5"/>
      <c r="N43" s="5"/>
      <c r="O43" s="5"/>
      <c r="P43" s="5"/>
      <c r="Q43" s="5"/>
      <c r="S43" s="410" t="s">
        <v>30</v>
      </c>
      <c r="T43" s="411"/>
      <c r="U43" s="415" t="s">
        <v>797</v>
      </c>
      <c r="V43" s="416"/>
      <c r="W43" s="416" t="s">
        <v>31</v>
      </c>
      <c r="X43" s="417"/>
      <c r="Y43" s="5"/>
      <c r="Z43" s="5"/>
    </row>
    <row r="44" spans="1:36" x14ac:dyDescent="0.3">
      <c r="A44" s="5"/>
      <c r="B44" s="5"/>
      <c r="C44" s="5"/>
      <c r="D44" s="5"/>
      <c r="E44" s="5"/>
      <c r="F44" s="5"/>
      <c r="G44" s="5"/>
      <c r="H44" s="5"/>
      <c r="I44" s="5"/>
      <c r="J44" s="5"/>
      <c r="K44" s="5"/>
      <c r="L44" s="5"/>
      <c r="M44" s="5"/>
      <c r="N44" s="5"/>
      <c r="O44" s="5"/>
      <c r="P44" s="5"/>
      <c r="Q44" s="5"/>
      <c r="S44" s="412"/>
      <c r="T44" s="413"/>
      <c r="U44" s="414" t="s">
        <v>798</v>
      </c>
      <c r="V44" s="8" t="s">
        <v>18</v>
      </c>
      <c r="W44" s="8" t="s">
        <v>19</v>
      </c>
      <c r="X44" s="7" t="s">
        <v>20</v>
      </c>
      <c r="Y44" s="5"/>
      <c r="Z44" s="5"/>
    </row>
    <row r="45" spans="1:36" x14ac:dyDescent="0.3">
      <c r="A45" s="5"/>
      <c r="B45" s="5"/>
      <c r="C45" s="5"/>
      <c r="D45" s="5"/>
      <c r="E45" s="5"/>
      <c r="F45" s="5"/>
      <c r="G45" s="5"/>
      <c r="H45" s="5"/>
      <c r="I45" s="5"/>
      <c r="J45" s="5"/>
      <c r="K45" s="5"/>
      <c r="L45" s="5"/>
      <c r="M45" s="5"/>
      <c r="N45" s="5"/>
      <c r="O45" s="5"/>
      <c r="P45" s="5"/>
      <c r="Q45" s="5"/>
      <c r="S45" s="27" t="s">
        <v>7</v>
      </c>
      <c r="T45" s="25"/>
      <c r="U45" s="310">
        <f>U46+U47</f>
        <v>58000</v>
      </c>
      <c r="V45" s="310">
        <f>V46+V47</f>
        <v>113000</v>
      </c>
      <c r="W45" s="310">
        <f>W46+W47</f>
        <v>179000</v>
      </c>
      <c r="X45" s="325">
        <f>X46+X47</f>
        <v>273000</v>
      </c>
      <c r="Y45" s="5"/>
      <c r="Z45" s="5"/>
    </row>
    <row r="46" spans="1:36" x14ac:dyDescent="0.3">
      <c r="A46" s="5"/>
      <c r="B46" s="5"/>
      <c r="C46" s="5"/>
      <c r="D46" s="5"/>
      <c r="E46" s="5"/>
      <c r="F46" s="5"/>
      <c r="G46" s="5"/>
      <c r="H46" s="5"/>
      <c r="I46" s="5"/>
      <c r="J46" s="5"/>
      <c r="K46" s="5"/>
      <c r="L46" s="5"/>
      <c r="M46" s="5"/>
      <c r="N46" s="5"/>
      <c r="O46" s="5"/>
      <c r="P46" s="5"/>
      <c r="Q46" s="5"/>
      <c r="S46" s="16"/>
      <c r="T46" t="s">
        <v>418</v>
      </c>
      <c r="U46" s="15">
        <f>ROUND(Run!HH19,-3)</f>
        <v>10000</v>
      </c>
      <c r="V46" s="15">
        <f>ROUND(Conv!H7,-3)</f>
        <v>65000</v>
      </c>
      <c r="W46" s="15">
        <f>ROUND(Conv!H8,-3)</f>
        <v>128000</v>
      </c>
      <c r="X46" s="28">
        <f>ROUND(Conv!H9,-3)</f>
        <v>220000</v>
      </c>
      <c r="Y46" s="5"/>
      <c r="Z46" s="5"/>
    </row>
    <row r="47" spans="1:36" x14ac:dyDescent="0.3">
      <c r="A47" s="5"/>
      <c r="B47" s="5"/>
      <c r="C47" s="5"/>
      <c r="D47" s="5"/>
      <c r="E47" s="5"/>
      <c r="F47" s="5"/>
      <c r="G47" s="5"/>
      <c r="H47" s="5"/>
      <c r="I47" s="5"/>
      <c r="J47" s="5"/>
      <c r="K47" s="5"/>
      <c r="L47" s="5"/>
      <c r="M47" s="5"/>
      <c r="N47" s="5"/>
      <c r="O47" s="5"/>
      <c r="P47" s="5"/>
      <c r="Q47" s="5"/>
      <c r="S47" s="16"/>
      <c r="T47" t="s">
        <v>6</v>
      </c>
      <c r="U47" s="15">
        <f>ROUND(Run!HG19,-3)</f>
        <v>48000</v>
      </c>
      <c r="V47" s="15">
        <f>ROUND(Conv!I16,-3)</f>
        <v>48000</v>
      </c>
      <c r="W47" s="15">
        <f>ROUND(Conv!I17,-3)</f>
        <v>51000</v>
      </c>
      <c r="X47" s="28">
        <f>ROUND(Conv!I18,-3)</f>
        <v>53000</v>
      </c>
      <c r="Y47" s="5"/>
      <c r="Z47" s="5"/>
    </row>
    <row r="48" spans="1:36" x14ac:dyDescent="0.3">
      <c r="A48" s="5"/>
      <c r="B48" s="5"/>
      <c r="C48" s="5"/>
      <c r="D48" s="5"/>
      <c r="E48" s="5"/>
      <c r="F48" s="5"/>
      <c r="G48" s="5"/>
      <c r="H48" s="5"/>
      <c r="I48" s="5"/>
      <c r="J48" s="5"/>
      <c r="K48" s="5"/>
      <c r="L48" s="5"/>
      <c r="M48" s="5"/>
      <c r="N48" s="5"/>
      <c r="O48" s="5"/>
      <c r="P48" s="5"/>
      <c r="Q48" s="5"/>
      <c r="S48" s="39"/>
      <c r="T48" s="26" t="s">
        <v>32</v>
      </c>
      <c r="U48" s="40">
        <f>U47/U45</f>
        <v>0.82758620689655171</v>
      </c>
      <c r="V48" s="396">
        <f>V47/V45</f>
        <v>0.4247787610619469</v>
      </c>
      <c r="W48" s="396">
        <f>W47/W45</f>
        <v>0.28491620111731841</v>
      </c>
      <c r="X48" s="397">
        <f>X47/X45</f>
        <v>0.19413919413919414</v>
      </c>
      <c r="Y48" s="5"/>
      <c r="Z48" s="5"/>
    </row>
    <row r="49" spans="1:28" ht="15" customHeight="1" x14ac:dyDescent="0.3">
      <c r="A49" s="5"/>
      <c r="B49" s="5"/>
      <c r="C49" s="5"/>
      <c r="D49" s="5"/>
      <c r="E49" s="5"/>
      <c r="F49" s="5"/>
      <c r="G49" s="5"/>
      <c r="H49" s="5"/>
      <c r="I49" s="5"/>
      <c r="J49" s="5"/>
      <c r="K49" s="5"/>
      <c r="L49" s="5"/>
      <c r="M49" s="5"/>
      <c r="N49" s="5"/>
      <c r="O49" s="5"/>
      <c r="P49" s="5"/>
      <c r="Q49" s="5"/>
      <c r="S49" s="34" t="s">
        <v>169</v>
      </c>
      <c r="U49" s="309">
        <f>U50+U51</f>
        <v>30000</v>
      </c>
      <c r="V49" s="309">
        <f>V50+V51</f>
        <v>45000</v>
      </c>
      <c r="W49" s="309">
        <f>W50+W51</f>
        <v>61000</v>
      </c>
      <c r="X49" s="326">
        <f>X50+X51</f>
        <v>76000</v>
      </c>
      <c r="Y49" s="5"/>
      <c r="Z49" s="5"/>
    </row>
    <row r="50" spans="1:28" ht="15" customHeight="1" x14ac:dyDescent="0.3">
      <c r="A50" s="5"/>
      <c r="B50" s="5"/>
      <c r="C50" s="5"/>
      <c r="D50" s="5"/>
      <c r="E50" s="5"/>
      <c r="F50" s="5"/>
      <c r="G50" s="5"/>
      <c r="H50" s="5"/>
      <c r="I50" s="5"/>
      <c r="J50" s="5"/>
      <c r="K50" s="5"/>
      <c r="L50" s="5"/>
      <c r="M50" s="5"/>
      <c r="N50" s="5"/>
      <c r="O50" s="5"/>
      <c r="P50" s="5"/>
      <c r="Q50" s="5"/>
      <c r="S50" s="16"/>
      <c r="T50" t="s">
        <v>418</v>
      </c>
      <c r="U50" s="15">
        <f>ROUND(Run!EI17,-3)</f>
        <v>4000</v>
      </c>
      <c r="V50" s="15">
        <f>ROUND(Conv!D7,-3)</f>
        <v>30000</v>
      </c>
      <c r="W50" s="15">
        <f>ROUND(Conv!D8,-3)</f>
        <v>49000</v>
      </c>
      <c r="X50" s="28">
        <f>ROUND(Conv!D9,-3)</f>
        <v>68000</v>
      </c>
      <c r="Y50" s="5"/>
      <c r="Z50" s="5"/>
    </row>
    <row r="51" spans="1:28" ht="15" customHeight="1" x14ac:dyDescent="0.3">
      <c r="A51" s="5"/>
      <c r="B51" s="5"/>
      <c r="C51" s="5"/>
      <c r="D51" s="5"/>
      <c r="E51" s="5"/>
      <c r="F51" s="5"/>
      <c r="G51" s="5"/>
      <c r="H51" s="5"/>
      <c r="I51" s="5"/>
      <c r="J51" s="5"/>
      <c r="K51" s="5"/>
      <c r="L51" s="5"/>
      <c r="M51" s="5"/>
      <c r="N51" s="5"/>
      <c r="O51" s="5"/>
      <c r="P51" s="5"/>
      <c r="Q51" s="5"/>
      <c r="S51" s="16"/>
      <c r="T51" t="s">
        <v>6</v>
      </c>
      <c r="U51" s="15">
        <f>ROUND(Run!EJ17,-3)</f>
        <v>26000</v>
      </c>
      <c r="V51" s="15">
        <f>ROUND(Conv!M16,-3)</f>
        <v>15000</v>
      </c>
      <c r="W51" s="15">
        <f>ROUND(Conv!M17,-3)</f>
        <v>12000</v>
      </c>
      <c r="X51" s="28">
        <f>ROUND(Conv!M18,-3)</f>
        <v>8000</v>
      </c>
      <c r="Y51" s="5"/>
      <c r="Z51" s="5"/>
    </row>
    <row r="52" spans="1:28" ht="15" customHeight="1" x14ac:dyDescent="0.3">
      <c r="A52" s="5"/>
      <c r="B52" s="5"/>
      <c r="C52" s="5"/>
      <c r="D52" s="5"/>
      <c r="E52" s="5"/>
      <c r="F52" s="5"/>
      <c r="G52" s="5"/>
      <c r="H52" s="5"/>
      <c r="I52" s="5"/>
      <c r="J52" s="5"/>
      <c r="K52" s="5"/>
      <c r="L52" s="5"/>
      <c r="M52" s="5"/>
      <c r="N52" s="5"/>
      <c r="O52" s="5"/>
      <c r="P52" s="5"/>
      <c r="Q52" s="5"/>
      <c r="S52" s="39"/>
      <c r="T52" s="26" t="s">
        <v>32</v>
      </c>
      <c r="U52" s="40">
        <f>U51/U49</f>
        <v>0.8666666666666667</v>
      </c>
      <c r="V52" s="396">
        <f>V51/V49</f>
        <v>0.33333333333333331</v>
      </c>
      <c r="W52" s="396">
        <f>W51/W49</f>
        <v>0.19672131147540983</v>
      </c>
      <c r="X52" s="397">
        <f>X51/X49</f>
        <v>0.10526315789473684</v>
      </c>
      <c r="Y52" s="5"/>
      <c r="Z52" s="5"/>
    </row>
    <row r="53" spans="1:28" x14ac:dyDescent="0.3">
      <c r="A53" s="5"/>
      <c r="B53" s="5"/>
      <c r="C53" s="5"/>
      <c r="D53" s="5"/>
      <c r="E53" s="5"/>
      <c r="F53" s="5"/>
      <c r="G53" s="5"/>
      <c r="H53" s="5"/>
      <c r="I53" s="5"/>
      <c r="J53" s="5"/>
      <c r="K53" s="5"/>
      <c r="L53" s="5"/>
      <c r="M53" s="5"/>
      <c r="N53" s="5"/>
      <c r="O53" s="5"/>
      <c r="P53" s="5"/>
      <c r="Q53" s="5"/>
      <c r="S53" s="34" t="s">
        <v>131</v>
      </c>
      <c r="U53" s="309">
        <f>U54+U55</f>
        <v>34000</v>
      </c>
      <c r="V53" s="309">
        <f>V54+V55</f>
        <v>76433.121019108294</v>
      </c>
      <c r="W53" s="309">
        <f>W54+W55</f>
        <v>103609.34182590235</v>
      </c>
      <c r="X53" s="326">
        <f>X54+X55</f>
        <v>129087.04883227177</v>
      </c>
      <c r="Y53" s="5"/>
      <c r="Z53" s="5"/>
    </row>
    <row r="54" spans="1:28" x14ac:dyDescent="0.3">
      <c r="A54" s="5"/>
      <c r="B54" s="5"/>
      <c r="C54" s="5"/>
      <c r="D54" s="5"/>
      <c r="E54" s="5"/>
      <c r="F54" s="5"/>
      <c r="G54" s="5"/>
      <c r="H54" s="5"/>
      <c r="I54" s="5"/>
      <c r="J54" s="5"/>
      <c r="K54" s="5"/>
      <c r="L54" s="5"/>
      <c r="M54" s="5"/>
      <c r="N54" s="5"/>
      <c r="O54" s="5"/>
      <c r="P54" s="5"/>
      <c r="Q54" s="5"/>
      <c r="S54" s="16"/>
      <c r="T54" t="s">
        <v>418</v>
      </c>
      <c r="U54" s="15">
        <f>ROUND(Run!FU20,-3)</f>
        <v>7000</v>
      </c>
      <c r="V54" s="15">
        <f>(V50/(1-0.529))*0.8</f>
        <v>50955.41401273886</v>
      </c>
      <c r="W54" s="15">
        <f>W50/(1-0.529)*0.8</f>
        <v>83227.176220806796</v>
      </c>
      <c r="X54" s="28">
        <f>X50/(1-0.529)*0.8</f>
        <v>115498.93842887474</v>
      </c>
      <c r="Y54" s="5"/>
      <c r="Z54" s="5"/>
    </row>
    <row r="55" spans="1:28" ht="15" customHeight="1" x14ac:dyDescent="0.3">
      <c r="A55" s="5"/>
      <c r="B55" s="5"/>
      <c r="C55" s="5"/>
      <c r="D55" s="5"/>
      <c r="E55" s="5"/>
      <c r="F55" s="5"/>
      <c r="G55" s="5"/>
      <c r="H55" s="5"/>
      <c r="I55" s="5"/>
      <c r="J55" s="5"/>
      <c r="K55" s="5"/>
      <c r="L55" s="5"/>
      <c r="M55" s="5"/>
      <c r="N55" s="5"/>
      <c r="O55" s="5"/>
      <c r="P55" s="5"/>
      <c r="Q55" s="5"/>
      <c r="S55" s="16"/>
      <c r="T55" t="s">
        <v>6</v>
      </c>
      <c r="U55" s="15">
        <f>ROUND(Run!FT20,-3)</f>
        <v>27000</v>
      </c>
      <c r="V55" s="15">
        <f>(V51/(1-0.529))*0.8</f>
        <v>25477.70700636943</v>
      </c>
      <c r="W55" s="15">
        <f>W51/(1-0.529)*0.8</f>
        <v>20382.165605095543</v>
      </c>
      <c r="X55" s="28">
        <f>X51/(1-0.529)*0.8</f>
        <v>13588.110403397028</v>
      </c>
      <c r="Y55" s="5"/>
      <c r="Z55" s="5"/>
    </row>
    <row r="56" spans="1:28" x14ac:dyDescent="0.3">
      <c r="A56" s="5"/>
      <c r="B56" s="5"/>
      <c r="C56" s="5"/>
      <c r="D56" s="5"/>
      <c r="E56" s="5"/>
      <c r="F56" s="5"/>
      <c r="G56" s="5"/>
      <c r="H56" s="5"/>
      <c r="I56" s="5"/>
      <c r="J56" s="5"/>
      <c r="K56" s="5"/>
      <c r="L56" s="5"/>
      <c r="M56" s="5"/>
      <c r="N56" s="5"/>
      <c r="O56" s="5"/>
      <c r="P56" s="5"/>
      <c r="Q56" s="5"/>
      <c r="S56" s="39"/>
      <c r="T56" s="26" t="s">
        <v>32</v>
      </c>
      <c r="U56" s="40">
        <f>U55/U53</f>
        <v>0.79411764705882348</v>
      </c>
      <c r="V56" s="278">
        <f>V55/V53</f>
        <v>0.33333333333333331</v>
      </c>
      <c r="W56" s="278">
        <f>W55/W53</f>
        <v>0.19672131147540983</v>
      </c>
      <c r="X56" s="321">
        <f>X55/X53</f>
        <v>0.10526315789473684</v>
      </c>
      <c r="Y56" s="5"/>
      <c r="Z56" s="5"/>
    </row>
    <row r="57" spans="1:28" x14ac:dyDescent="0.3">
      <c r="A57" s="5"/>
      <c r="B57" s="5"/>
      <c r="C57" s="5"/>
      <c r="D57" s="5"/>
      <c r="E57" s="5"/>
      <c r="F57" s="5"/>
      <c r="G57" s="5"/>
      <c r="H57" s="5"/>
      <c r="I57" s="5"/>
      <c r="J57" s="5"/>
      <c r="K57" s="5"/>
      <c r="L57" s="5"/>
      <c r="M57" s="5"/>
      <c r="N57" s="5"/>
      <c r="O57" s="5"/>
      <c r="P57" s="5"/>
      <c r="Q57" s="5"/>
      <c r="S57" s="34" t="s">
        <v>712</v>
      </c>
      <c r="U57" s="309">
        <f>U58+U59</f>
        <v>18800</v>
      </c>
      <c r="V57" s="309">
        <f>V58+V59</f>
        <v>20000</v>
      </c>
      <c r="W57" s="309">
        <f>W58+W59</f>
        <v>51000</v>
      </c>
      <c r="X57" s="326">
        <f>X58+X59</f>
        <v>110700</v>
      </c>
      <c r="Y57" s="5"/>
      <c r="Z57" s="5"/>
    </row>
    <row r="58" spans="1:28" x14ac:dyDescent="0.3">
      <c r="A58" s="5"/>
      <c r="B58" s="5"/>
      <c r="C58" s="5"/>
      <c r="D58" s="5"/>
      <c r="E58" s="5"/>
      <c r="F58" s="5"/>
      <c r="G58" s="5"/>
      <c r="H58" s="5"/>
      <c r="I58" s="5"/>
      <c r="J58" s="5"/>
      <c r="K58" s="5"/>
      <c r="L58" s="5"/>
      <c r="M58" s="5"/>
      <c r="N58" s="5"/>
      <c r="O58" s="5"/>
      <c r="P58" s="5"/>
      <c r="Q58" s="5"/>
      <c r="S58" s="16"/>
      <c r="T58" t="s">
        <v>418</v>
      </c>
      <c r="U58" s="15">
        <f>ROUND(Run!IA17,-2)</f>
        <v>400</v>
      </c>
      <c r="V58" s="15">
        <f>ROUND(Conv!F7,-3)</f>
        <v>3000</v>
      </c>
      <c r="W58" s="15">
        <f>ROUND(Conv!F8,-3)</f>
        <v>25000</v>
      </c>
      <c r="X58" s="28">
        <f>ROUND(Conv!F9,-3)</f>
        <v>75000</v>
      </c>
      <c r="Y58" s="5"/>
      <c r="Z58" s="5"/>
    </row>
    <row r="59" spans="1:28" ht="15" customHeight="1" x14ac:dyDescent="0.3">
      <c r="A59" s="5"/>
      <c r="B59" s="5"/>
      <c r="C59" s="5"/>
      <c r="D59" s="5"/>
      <c r="E59" s="5"/>
      <c r="F59" s="5"/>
      <c r="G59" s="5"/>
      <c r="H59" s="5"/>
      <c r="I59" s="5"/>
      <c r="J59" s="5"/>
      <c r="K59" s="5"/>
      <c r="L59" s="5"/>
      <c r="M59" s="5"/>
      <c r="N59" s="5"/>
      <c r="O59" s="5"/>
      <c r="P59" s="5"/>
      <c r="Q59" s="5"/>
      <c r="S59" s="16"/>
      <c r="T59" t="s">
        <v>6</v>
      </c>
      <c r="U59" s="15">
        <f>ROUND(Run!HZ17,-2)</f>
        <v>18400</v>
      </c>
      <c r="V59" s="15">
        <f>ROUND(Conv!K16,-3)</f>
        <v>17000</v>
      </c>
      <c r="W59" s="15">
        <f>ROUND(Conv!K17,-3)</f>
        <v>26000</v>
      </c>
      <c r="X59" s="28">
        <f>ROUND(Conv!K18,-2)</f>
        <v>35700</v>
      </c>
      <c r="Y59" s="5"/>
      <c r="Z59" s="5"/>
    </row>
    <row r="60" spans="1:28" x14ac:dyDescent="0.3">
      <c r="A60" s="5"/>
      <c r="B60" s="5"/>
      <c r="C60" s="5"/>
      <c r="D60" s="5"/>
      <c r="E60" s="5"/>
      <c r="F60" s="5"/>
      <c r="G60" s="5"/>
      <c r="H60" s="5"/>
      <c r="I60" s="5"/>
      <c r="J60" s="5"/>
      <c r="K60" s="5"/>
      <c r="L60" s="5"/>
      <c r="M60" s="5"/>
      <c r="N60" s="5"/>
      <c r="O60" s="5"/>
      <c r="P60" s="5"/>
      <c r="Q60" s="5"/>
      <c r="S60" s="39"/>
      <c r="T60" s="26" t="s">
        <v>32</v>
      </c>
      <c r="U60" s="40">
        <f>U59/U57</f>
        <v>0.97872340425531912</v>
      </c>
      <c r="V60" s="40">
        <f>V59/V57</f>
        <v>0.85</v>
      </c>
      <c r="W60" s="40">
        <f>W59/W57</f>
        <v>0.50980392156862742</v>
      </c>
      <c r="X60" s="41">
        <f>X59/X57</f>
        <v>0.3224932249322493</v>
      </c>
      <c r="Y60" s="5"/>
      <c r="Z60" s="5"/>
    </row>
    <row r="61" spans="1:28" x14ac:dyDescent="0.3">
      <c r="A61" s="5"/>
      <c r="B61" s="5"/>
      <c r="C61" s="5"/>
      <c r="D61" s="5"/>
      <c r="E61" s="5"/>
      <c r="F61" s="5"/>
      <c r="G61" s="5"/>
      <c r="H61" s="5"/>
      <c r="I61" s="5"/>
      <c r="J61" s="5"/>
      <c r="K61" s="5"/>
      <c r="L61" s="5"/>
      <c r="M61" s="5"/>
      <c r="N61" s="5"/>
      <c r="O61" s="5"/>
      <c r="P61" s="5"/>
      <c r="Q61" s="5"/>
      <c r="S61" s="34" t="s">
        <v>713</v>
      </c>
      <c r="U61" s="309">
        <f>U62+U63</f>
        <v>25000</v>
      </c>
      <c r="V61" s="309">
        <f>V62+V63</f>
        <v>31000</v>
      </c>
      <c r="W61" s="309">
        <f>W62+W63</f>
        <v>68000</v>
      </c>
      <c r="X61" s="326">
        <f>X62+X63</f>
        <v>137000</v>
      </c>
      <c r="Y61" s="5"/>
      <c r="Z61" s="5"/>
    </row>
    <row r="62" spans="1:28" x14ac:dyDescent="0.3">
      <c r="A62" s="5"/>
      <c r="B62" s="5"/>
      <c r="C62" s="5"/>
      <c r="D62" s="5"/>
      <c r="E62" s="5"/>
      <c r="F62" s="5"/>
      <c r="G62" s="5"/>
      <c r="H62" s="5"/>
      <c r="I62" s="5"/>
      <c r="J62" s="5"/>
      <c r="K62" s="5"/>
      <c r="L62" s="5"/>
      <c r="M62" s="5"/>
      <c r="N62" s="5"/>
      <c r="O62" s="5"/>
      <c r="P62" s="5"/>
      <c r="Q62" s="5"/>
      <c r="S62" s="16"/>
      <c r="T62" t="s">
        <v>418</v>
      </c>
      <c r="U62" s="15">
        <f>ROUND(Run!IX67,-3)</f>
        <v>1000</v>
      </c>
      <c r="V62" s="15">
        <f>ROUND(Conv!M7,-3)</f>
        <v>9000</v>
      </c>
      <c r="W62" s="15">
        <f>ROUND(Conv!M8,-3)</f>
        <v>37000</v>
      </c>
      <c r="X62" s="28">
        <f>ROUND(Conv!M9,-3)</f>
        <v>96000</v>
      </c>
      <c r="Y62" s="5"/>
      <c r="Z62" s="5"/>
      <c r="AB62" s="5"/>
    </row>
    <row r="63" spans="1:28" x14ac:dyDescent="0.3">
      <c r="A63" s="5"/>
      <c r="B63" s="5"/>
      <c r="C63" s="5"/>
      <c r="D63" s="5"/>
      <c r="E63" s="5"/>
      <c r="F63" s="5"/>
      <c r="G63" s="5"/>
      <c r="H63" s="5"/>
      <c r="I63" s="5"/>
      <c r="J63" s="5"/>
      <c r="K63" s="5"/>
      <c r="L63" s="5"/>
      <c r="M63" s="5"/>
      <c r="N63" s="5"/>
      <c r="O63" s="5"/>
      <c r="P63" s="5"/>
      <c r="Q63" s="5"/>
      <c r="S63" s="16"/>
      <c r="T63" t="s">
        <v>6</v>
      </c>
      <c r="U63" s="15">
        <f>ROUND(Run!IP67,-3)</f>
        <v>24000</v>
      </c>
      <c r="V63" s="15">
        <f>ROUND(Conv!O16,-3)</f>
        <v>22000</v>
      </c>
      <c r="W63" s="15">
        <f>ROUND(Conv!O17,-3)</f>
        <v>31000</v>
      </c>
      <c r="X63" s="28">
        <f>ROUND(Conv!O18,-3)</f>
        <v>41000</v>
      </c>
      <c r="Y63" s="5"/>
      <c r="Z63" s="5"/>
      <c r="AB63" s="5"/>
    </row>
    <row r="64" spans="1:28" x14ac:dyDescent="0.3">
      <c r="A64" s="5"/>
      <c r="B64" s="5"/>
      <c r="C64" s="5"/>
      <c r="D64" s="5"/>
      <c r="E64" s="5"/>
      <c r="F64" s="5"/>
      <c r="G64" s="5"/>
      <c r="H64" s="5"/>
      <c r="I64" s="5"/>
      <c r="J64" s="5"/>
      <c r="K64" s="5"/>
      <c r="L64" s="5"/>
      <c r="M64" s="5"/>
      <c r="N64" s="5"/>
      <c r="O64" s="5"/>
      <c r="P64" s="5"/>
      <c r="Q64" s="5"/>
      <c r="S64" s="39"/>
      <c r="T64" s="26" t="s">
        <v>32</v>
      </c>
      <c r="U64" s="40">
        <f>U63/U61</f>
        <v>0.96</v>
      </c>
      <c r="V64" s="40">
        <f>V63/V61</f>
        <v>0.70967741935483875</v>
      </c>
      <c r="W64" s="40">
        <f>W63/W61</f>
        <v>0.45588235294117646</v>
      </c>
      <c r="X64" s="41">
        <f>X63/X61</f>
        <v>0.29927007299270075</v>
      </c>
      <c r="Y64" s="5"/>
      <c r="Z64" s="5"/>
      <c r="AB64" s="5"/>
    </row>
    <row r="65" spans="1:28" x14ac:dyDescent="0.3">
      <c r="A65" s="5"/>
      <c r="B65" s="5"/>
      <c r="C65" s="5"/>
      <c r="D65" s="5"/>
      <c r="E65" s="5"/>
      <c r="F65" s="5"/>
      <c r="G65" s="5"/>
      <c r="H65" s="5"/>
      <c r="I65" s="5"/>
      <c r="J65" s="5"/>
      <c r="K65" s="5"/>
      <c r="L65" s="5"/>
      <c r="M65" s="5"/>
      <c r="N65" s="5"/>
      <c r="O65" s="5"/>
      <c r="P65" s="5"/>
      <c r="Q65" s="5"/>
      <c r="S65" s="5"/>
      <c r="T65" s="5"/>
      <c r="U65" s="5"/>
      <c r="V65" s="5"/>
      <c r="W65" s="5"/>
      <c r="X65" s="5"/>
      <c r="Y65" s="5"/>
      <c r="Z65" s="5"/>
      <c r="AB65" s="5"/>
    </row>
    <row r="66" spans="1:28" x14ac:dyDescent="0.3">
      <c r="A66" s="5"/>
      <c r="B66" s="5"/>
      <c r="C66" s="5"/>
      <c r="D66" s="5"/>
      <c r="E66" s="5"/>
      <c r="F66" s="5"/>
      <c r="G66" s="5"/>
      <c r="H66" s="5"/>
      <c r="I66" s="5"/>
      <c r="J66" s="5"/>
      <c r="K66" s="5"/>
      <c r="L66" s="5"/>
      <c r="M66" s="5"/>
      <c r="N66" s="5"/>
      <c r="O66" s="5"/>
      <c r="P66" s="5"/>
      <c r="Q66" s="5"/>
    </row>
    <row r="67" spans="1:28" x14ac:dyDescent="0.3">
      <c r="A67" s="5"/>
      <c r="B67" s="5"/>
      <c r="C67" s="5"/>
      <c r="D67" s="5"/>
      <c r="E67" s="5"/>
      <c r="F67" s="5"/>
      <c r="G67" s="5"/>
      <c r="H67" s="5"/>
      <c r="I67" s="5"/>
      <c r="J67" s="5"/>
      <c r="K67" s="5"/>
      <c r="L67" s="5"/>
      <c r="M67" s="5"/>
      <c r="N67" s="5"/>
      <c r="O67" s="5"/>
      <c r="P67" s="5"/>
      <c r="Q67" s="5"/>
    </row>
    <row r="68" spans="1:28" s="404" customFormat="1" ht="18" x14ac:dyDescent="0.35">
      <c r="A68" s="403"/>
      <c r="B68" s="403"/>
      <c r="C68" s="403"/>
      <c r="E68" s="405" t="s">
        <v>8</v>
      </c>
      <c r="F68" s="406">
        <f>U33</f>
        <v>0.129</v>
      </c>
      <c r="G68" s="403"/>
      <c r="H68" s="403"/>
      <c r="I68" s="403"/>
      <c r="J68" s="403"/>
      <c r="K68" s="405" t="s">
        <v>5</v>
      </c>
      <c r="L68" s="407" t="s">
        <v>203</v>
      </c>
      <c r="M68" s="408">
        <f>V22/1000000</f>
        <v>5.2409999999999997</v>
      </c>
      <c r="N68" s="409" t="s">
        <v>796</v>
      </c>
      <c r="O68" s="403"/>
      <c r="P68" s="403"/>
      <c r="Q68" s="403"/>
      <c r="R68" s="403"/>
      <c r="AA68" s="403"/>
    </row>
    <row r="69" spans="1:28" ht="15" customHeight="1" x14ac:dyDescent="0.3">
      <c r="A69" s="5"/>
      <c r="B69" s="5"/>
      <c r="C69" s="5"/>
      <c r="D69" s="5"/>
      <c r="E69" s="5"/>
      <c r="F69" s="5"/>
      <c r="G69" s="5"/>
      <c r="H69" s="5"/>
      <c r="I69" s="5"/>
      <c r="J69" s="5"/>
      <c r="K69" s="5"/>
      <c r="L69" s="5"/>
      <c r="M69" s="5"/>
      <c r="N69" s="5"/>
      <c r="O69" s="5"/>
      <c r="P69" s="5"/>
      <c r="Q69" s="5"/>
    </row>
    <row r="70" spans="1:28" x14ac:dyDescent="0.3">
      <c r="A70" s="5"/>
      <c r="S70" s="218"/>
    </row>
    <row r="71" spans="1:28" x14ac:dyDescent="0.3">
      <c r="A71" s="5"/>
    </row>
    <row r="72" spans="1:28" x14ac:dyDescent="0.3">
      <c r="A72" s="5"/>
      <c r="S72" s="329"/>
      <c r="T72" s="330"/>
      <c r="U72" s="331"/>
      <c r="V72" s="332"/>
      <c r="W72" s="332"/>
      <c r="X72" s="323"/>
    </row>
    <row r="73" spans="1:28" x14ac:dyDescent="0.3">
      <c r="A73" s="5"/>
      <c r="S73" s="17"/>
      <c r="T73" s="17"/>
      <c r="U73" s="331"/>
      <c r="V73" s="222"/>
      <c r="W73" s="222"/>
      <c r="X73" s="222"/>
    </row>
    <row r="74" spans="1:28" x14ac:dyDescent="0.3">
      <c r="A74" s="5"/>
      <c r="S74" s="327"/>
      <c r="U74" s="309"/>
      <c r="V74" s="309"/>
      <c r="W74" s="309"/>
      <c r="X74" s="309"/>
    </row>
    <row r="75" spans="1:28" x14ac:dyDescent="0.3">
      <c r="A75" s="5"/>
      <c r="U75" s="15"/>
      <c r="V75" s="15"/>
      <c r="W75" s="15"/>
      <c r="X75" s="15"/>
    </row>
    <row r="76" spans="1:28" x14ac:dyDescent="0.3">
      <c r="A76" s="5"/>
      <c r="U76" s="15"/>
      <c r="V76" s="15"/>
      <c r="W76" s="15"/>
      <c r="X76" s="15"/>
    </row>
    <row r="77" spans="1:28" ht="15" customHeight="1" x14ac:dyDescent="0.3">
      <c r="A77" s="5"/>
      <c r="U77" s="328"/>
      <c r="V77" s="15"/>
      <c r="W77" s="15"/>
      <c r="X77" s="15"/>
    </row>
    <row r="78" spans="1:28" x14ac:dyDescent="0.3">
      <c r="A78" s="5"/>
      <c r="S78" s="253"/>
      <c r="U78" s="309"/>
      <c r="V78" s="309"/>
      <c r="W78" s="309"/>
      <c r="X78" s="309"/>
    </row>
    <row r="79" spans="1:28" x14ac:dyDescent="0.3">
      <c r="A79" s="5"/>
      <c r="U79" s="15"/>
      <c r="V79" s="15"/>
      <c r="W79" s="15"/>
      <c r="X79" s="15"/>
    </row>
    <row r="80" spans="1:28" x14ac:dyDescent="0.3">
      <c r="A80" s="5"/>
      <c r="U80" s="15"/>
      <c r="V80" s="15"/>
      <c r="W80" s="15"/>
      <c r="X80" s="15"/>
    </row>
    <row r="81" spans="1:24" x14ac:dyDescent="0.3">
      <c r="A81" s="5"/>
      <c r="U81" s="328"/>
      <c r="V81" s="15"/>
      <c r="W81" s="15"/>
      <c r="X81" s="15"/>
    </row>
    <row r="82" spans="1:24" ht="15" customHeight="1" x14ac:dyDescent="0.3">
      <c r="A82" s="5"/>
      <c r="S82" s="253"/>
      <c r="U82" s="309"/>
      <c r="V82" s="309"/>
      <c r="W82" s="309"/>
      <c r="X82" s="309"/>
    </row>
    <row r="83" spans="1:24" x14ac:dyDescent="0.3">
      <c r="A83" s="5"/>
      <c r="I83" s="5"/>
      <c r="J83" s="5"/>
      <c r="K83" s="5"/>
      <c r="L83" s="5"/>
      <c r="M83" s="5"/>
      <c r="N83" s="5"/>
      <c r="O83" s="5"/>
      <c r="P83" s="5"/>
      <c r="Q83" s="5"/>
      <c r="U83" s="15"/>
      <c r="V83" s="15"/>
      <c r="W83" s="15"/>
      <c r="X83" s="15"/>
    </row>
    <row r="84" spans="1:24" x14ac:dyDescent="0.3">
      <c r="A84" s="5"/>
      <c r="I84" s="5"/>
      <c r="J84" s="5"/>
      <c r="K84" s="5"/>
      <c r="L84" s="5"/>
      <c r="M84" s="5"/>
      <c r="N84" s="5"/>
      <c r="O84" s="5"/>
      <c r="P84" s="5"/>
      <c r="Q84" s="5"/>
      <c r="U84" s="15"/>
      <c r="V84" s="15"/>
      <c r="W84" s="15"/>
      <c r="X84" s="15"/>
    </row>
    <row r="85" spans="1:24" x14ac:dyDescent="0.3">
      <c r="A85" s="5"/>
      <c r="I85" s="5"/>
      <c r="J85" s="5"/>
      <c r="K85" s="5"/>
      <c r="L85" s="5"/>
      <c r="M85" s="5"/>
      <c r="N85" s="5"/>
      <c r="O85" s="5"/>
      <c r="P85" s="5"/>
      <c r="Q85" s="5"/>
      <c r="U85" s="328"/>
      <c r="V85" s="15"/>
      <c r="W85" s="15"/>
      <c r="X85" s="15"/>
    </row>
    <row r="86" spans="1:24" x14ac:dyDescent="0.3">
      <c r="A86" s="5"/>
      <c r="I86" s="5"/>
      <c r="J86" s="5"/>
      <c r="K86" s="5"/>
      <c r="L86" s="5"/>
      <c r="M86" s="5"/>
      <c r="N86" s="5"/>
      <c r="O86" s="5"/>
      <c r="P86" s="5"/>
      <c r="Q86" s="5"/>
      <c r="S86" s="253"/>
      <c r="U86" s="309"/>
      <c r="V86" s="309"/>
      <c r="W86" s="309"/>
      <c r="X86" s="309"/>
    </row>
    <row r="87" spans="1:24" x14ac:dyDescent="0.3">
      <c r="U87" s="15"/>
      <c r="V87" s="15"/>
      <c r="W87" s="15"/>
      <c r="X87" s="15"/>
    </row>
    <row r="88" spans="1:24" x14ac:dyDescent="0.3">
      <c r="U88" s="15"/>
      <c r="V88" s="15"/>
      <c r="W88" s="15"/>
      <c r="X88" s="15"/>
    </row>
    <row r="89" spans="1:24" x14ac:dyDescent="0.3">
      <c r="U89" s="328"/>
      <c r="V89" s="328"/>
      <c r="W89" s="328"/>
      <c r="X89" s="328"/>
    </row>
    <row r="90" spans="1:24" x14ac:dyDescent="0.3">
      <c r="S90" s="253"/>
      <c r="U90" s="309"/>
      <c r="V90" s="309"/>
      <c r="W90" s="309"/>
      <c r="X90" s="309"/>
    </row>
    <row r="91" spans="1:24" x14ac:dyDescent="0.3">
      <c r="U91" s="15"/>
      <c r="V91" s="15"/>
      <c r="W91" s="15"/>
      <c r="X91" s="15"/>
    </row>
    <row r="92" spans="1:24" x14ac:dyDescent="0.3">
      <c r="U92" s="15"/>
      <c r="V92" s="15"/>
      <c r="W92" s="15"/>
      <c r="X92" s="15"/>
    </row>
    <row r="93" spans="1:24" x14ac:dyDescent="0.3">
      <c r="U93" s="328"/>
      <c r="V93" s="328"/>
      <c r="W93" s="328"/>
      <c r="X93" s="328"/>
    </row>
  </sheetData>
  <mergeCells count="12">
    <mergeCell ref="S34:S41"/>
    <mergeCell ref="S4:S10"/>
    <mergeCell ref="S26:S33"/>
    <mergeCell ref="Z26:Z28"/>
    <mergeCell ref="Z29:Z32"/>
    <mergeCell ref="Z34:Z36"/>
    <mergeCell ref="Z37:Z40"/>
    <mergeCell ref="X26:X32"/>
    <mergeCell ref="W26:W28"/>
    <mergeCell ref="W29:W32"/>
    <mergeCell ref="W34:W40"/>
    <mergeCell ref="X34:X40"/>
  </mergeCells>
  <pageMargins left="0.7" right="0.7" top="0.75" bottom="0.75" header="0.3" footer="0.3"/>
  <pageSetup scale="44"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DX392"/>
  <sheetViews>
    <sheetView workbookViewId="0"/>
  </sheetViews>
  <sheetFormatPr defaultRowHeight="14.4" x14ac:dyDescent="0.3"/>
  <cols>
    <col min="2" max="2" width="27.6640625" customWidth="1"/>
    <col min="4" max="5" width="9.109375" customWidth="1"/>
    <col min="6" max="6" width="11" customWidth="1"/>
    <col min="7" max="7" width="14.33203125" customWidth="1"/>
    <col min="8" max="8" width="11" customWidth="1"/>
    <col min="9" max="9" width="11.6640625" customWidth="1"/>
    <col min="10" max="10" width="14.109375" customWidth="1"/>
    <col min="11" max="11" width="11.5546875" customWidth="1"/>
    <col min="13" max="13" width="10.6640625" customWidth="1"/>
    <col min="15" max="15" width="9.109375" customWidth="1"/>
    <col min="61" max="61" width="9.109375" customWidth="1"/>
    <col min="84" max="88" width="9.109375" customWidth="1"/>
    <col min="91" max="91" width="18.33203125" customWidth="1"/>
    <col min="92" max="92" width="11" style="75" customWidth="1"/>
    <col min="93" max="93" width="9.109375" style="75"/>
    <col min="94" max="94" width="9.6640625" style="75" bestFit="1" customWidth="1"/>
    <col min="95" max="95" width="2.6640625" customWidth="1"/>
    <col min="96" max="96" width="18.88671875" customWidth="1"/>
    <col min="97" max="97" width="2.6640625" customWidth="1"/>
    <col min="99" max="99" width="11.44140625" customWidth="1"/>
    <col min="100" max="100" width="9.109375" customWidth="1"/>
    <col min="101" max="101" width="2.6640625" customWidth="1"/>
    <col min="103" max="103" width="2.6640625" customWidth="1"/>
    <col min="105" max="105" width="10.6640625" customWidth="1"/>
    <col min="107" max="107" width="2.6640625" customWidth="1"/>
    <col min="109" max="109" width="10.6640625" customWidth="1"/>
    <col min="111" max="111" width="2.6640625" customWidth="1"/>
    <col min="112" max="112" width="10.109375" customWidth="1"/>
    <col min="113" max="113" width="2.6640625" customWidth="1"/>
    <col min="115" max="115" width="10.88671875" customWidth="1"/>
    <col min="116" max="116" width="11.109375" customWidth="1"/>
    <col min="117" max="117" width="2.6640625" customWidth="1"/>
    <col min="119" max="119" width="11.33203125" customWidth="1"/>
    <col min="121" max="121" width="11" customWidth="1"/>
    <col min="122" max="122" width="10.88671875" customWidth="1"/>
    <col min="123" max="123" width="21.6640625" customWidth="1"/>
    <col min="124" max="124" width="19.44140625" customWidth="1"/>
    <col min="125" max="125" width="19.109375" customWidth="1"/>
    <col min="126" max="126" width="15.5546875" customWidth="1"/>
    <col min="127" max="127" width="15.88671875" customWidth="1"/>
    <col min="128" max="128" width="28.109375" customWidth="1"/>
  </cols>
  <sheetData>
    <row r="1" spans="2:128" x14ac:dyDescent="0.3">
      <c r="AN1" t="s">
        <v>234</v>
      </c>
    </row>
    <row r="2" spans="2:128" x14ac:dyDescent="0.3">
      <c r="H2" t="s">
        <v>139</v>
      </c>
      <c r="K2" t="s">
        <v>140</v>
      </c>
      <c r="CM2" s="245"/>
      <c r="CN2" s="76"/>
      <c r="CO2" s="76"/>
      <c r="CP2" s="80"/>
      <c r="CQ2" s="71"/>
    </row>
    <row r="3" spans="2:128" ht="43.8" thickBot="1" x14ac:dyDescent="0.35">
      <c r="H3" s="151" t="s">
        <v>138</v>
      </c>
      <c r="I3" s="150" t="s">
        <v>134</v>
      </c>
      <c r="J3" s="151" t="s">
        <v>137</v>
      </c>
      <c r="K3" s="151" t="s">
        <v>138</v>
      </c>
      <c r="CM3" s="72"/>
      <c r="CN3" s="77"/>
      <c r="CO3" s="77"/>
      <c r="CP3" s="77"/>
      <c r="CQ3" s="72"/>
    </row>
    <row r="4" spans="2:128" ht="15" customHeight="1" thickBot="1" x14ac:dyDescent="0.35">
      <c r="B4" s="51" t="s">
        <v>48</v>
      </c>
      <c r="C4" s="52" t="s">
        <v>49</v>
      </c>
      <c r="D4" s="52" t="s">
        <v>50</v>
      </c>
      <c r="E4" s="53" t="s">
        <v>51</v>
      </c>
      <c r="F4" s="53" t="s">
        <v>52</v>
      </c>
      <c r="G4" s="152"/>
      <c r="H4">
        <v>1369</v>
      </c>
      <c r="I4" s="281" t="s">
        <v>63</v>
      </c>
      <c r="J4">
        <v>1000</v>
      </c>
      <c r="K4">
        <v>5618</v>
      </c>
      <c r="BJ4" t="s">
        <v>586</v>
      </c>
      <c r="CQ4" s="73"/>
    </row>
    <row r="5" spans="2:128" ht="15" thickBot="1" x14ac:dyDescent="0.35">
      <c r="B5" s="279" t="s">
        <v>53</v>
      </c>
      <c r="C5" s="280" t="s">
        <v>54</v>
      </c>
      <c r="D5" s="280" t="s">
        <v>54</v>
      </c>
      <c r="E5" s="280" t="s">
        <v>55</v>
      </c>
      <c r="F5" s="280" t="s">
        <v>54</v>
      </c>
      <c r="G5" s="281"/>
      <c r="H5">
        <v>0</v>
      </c>
      <c r="I5" s="281" t="s">
        <v>20</v>
      </c>
      <c r="J5">
        <v>150</v>
      </c>
      <c r="K5">
        <v>2627</v>
      </c>
      <c r="BV5" s="253" t="s">
        <v>587</v>
      </c>
      <c r="CQ5" s="73"/>
      <c r="CR5" t="s">
        <v>338</v>
      </c>
    </row>
    <row r="6" spans="2:128" ht="15" thickBot="1" x14ac:dyDescent="0.35">
      <c r="B6" s="282" t="s">
        <v>56</v>
      </c>
      <c r="C6" s="283" t="s">
        <v>57</v>
      </c>
      <c r="D6" s="283" t="s">
        <v>58</v>
      </c>
      <c r="E6" s="283" t="s">
        <v>58</v>
      </c>
      <c r="F6" s="283" t="s">
        <v>57</v>
      </c>
      <c r="G6" s="281"/>
      <c r="I6" s="281" t="s">
        <v>18</v>
      </c>
      <c r="J6">
        <v>800</v>
      </c>
      <c r="CQ6" s="73"/>
      <c r="CS6" t="s">
        <v>252</v>
      </c>
      <c r="CV6" t="s">
        <v>331</v>
      </c>
    </row>
    <row r="7" spans="2:128" ht="16.2" thickBot="1" x14ac:dyDescent="0.35">
      <c r="B7" s="282" t="s">
        <v>59</v>
      </c>
      <c r="C7" s="283" t="s">
        <v>57</v>
      </c>
      <c r="D7" s="283" t="s">
        <v>58</v>
      </c>
      <c r="E7" s="283" t="s">
        <v>58</v>
      </c>
      <c r="F7" s="283" t="s">
        <v>57</v>
      </c>
      <c r="G7" s="281"/>
      <c r="I7" s="281" t="s">
        <v>135</v>
      </c>
      <c r="J7">
        <v>525</v>
      </c>
      <c r="CM7" t="s">
        <v>354</v>
      </c>
      <c r="CQ7" s="73"/>
      <c r="CS7" t="s">
        <v>336</v>
      </c>
      <c r="CV7" s="241" t="s">
        <v>332</v>
      </c>
      <c r="DC7" s="241"/>
      <c r="DG7" s="241"/>
    </row>
    <row r="8" spans="2:128" ht="15" thickBot="1" x14ac:dyDescent="0.35">
      <c r="B8" s="282" t="s">
        <v>60</v>
      </c>
      <c r="C8" s="283" t="s">
        <v>57</v>
      </c>
      <c r="D8" s="283" t="s">
        <v>54</v>
      </c>
      <c r="E8" s="283" t="s">
        <v>54</v>
      </c>
      <c r="F8" s="283" t="s">
        <v>57</v>
      </c>
      <c r="G8" s="281"/>
      <c r="H8">
        <v>0</v>
      </c>
      <c r="I8" s="281" t="s">
        <v>20</v>
      </c>
      <c r="J8">
        <v>150</v>
      </c>
      <c r="K8">
        <v>1815</v>
      </c>
      <c r="CM8" t="s">
        <v>330</v>
      </c>
      <c r="CQ8" s="73"/>
      <c r="CS8" t="s">
        <v>334</v>
      </c>
      <c r="CV8" t="s">
        <v>335</v>
      </c>
    </row>
    <row r="9" spans="2:128" ht="15" thickBot="1" x14ac:dyDescent="0.35">
      <c r="B9" s="282" t="s">
        <v>61</v>
      </c>
      <c r="C9" s="283" t="s">
        <v>57</v>
      </c>
      <c r="D9" s="283" t="s">
        <v>58</v>
      </c>
      <c r="E9" s="283" t="s">
        <v>57</v>
      </c>
      <c r="F9" s="283" t="s">
        <v>57</v>
      </c>
      <c r="G9" s="281"/>
      <c r="H9">
        <v>4889</v>
      </c>
      <c r="I9" s="281" t="s">
        <v>136</v>
      </c>
      <c r="J9">
        <v>1300</v>
      </c>
      <c r="K9">
        <v>13613</v>
      </c>
      <c r="CM9" t="s">
        <v>347</v>
      </c>
      <c r="CQ9" s="73"/>
    </row>
    <row r="10" spans="2:128" ht="15" thickBot="1" x14ac:dyDescent="0.35">
      <c r="B10" s="282" t="s">
        <v>62</v>
      </c>
      <c r="C10" s="283" t="s">
        <v>63</v>
      </c>
      <c r="D10" s="283" t="s">
        <v>54</v>
      </c>
      <c r="E10" s="283" t="s">
        <v>54</v>
      </c>
      <c r="F10" s="283" t="s">
        <v>55</v>
      </c>
      <c r="G10" s="281"/>
      <c r="I10" s="281" t="s">
        <v>18</v>
      </c>
      <c r="J10">
        <v>800</v>
      </c>
      <c r="CQ10" s="73"/>
      <c r="CR10" t="s">
        <v>339</v>
      </c>
    </row>
    <row r="11" spans="2:128" ht="15" thickBot="1" x14ac:dyDescent="0.35">
      <c r="B11" s="282" t="s">
        <v>64</v>
      </c>
      <c r="C11" s="283" t="s">
        <v>57</v>
      </c>
      <c r="D11" s="283" t="s">
        <v>58</v>
      </c>
      <c r="E11" s="283" t="s">
        <v>58</v>
      </c>
      <c r="F11" s="283" t="s">
        <v>57</v>
      </c>
      <c r="G11" s="281"/>
      <c r="H11" s="485" t="s">
        <v>600</v>
      </c>
      <c r="I11" s="485"/>
      <c r="J11" s="485"/>
      <c r="K11" s="485"/>
      <c r="CQ11" s="73"/>
      <c r="CS11" t="s">
        <v>340</v>
      </c>
      <c r="DQ11" t="s">
        <v>329</v>
      </c>
      <c r="DU11" t="s">
        <v>330</v>
      </c>
      <c r="DV11" t="s">
        <v>331</v>
      </c>
    </row>
    <row r="12" spans="2:128" ht="75" customHeight="1" x14ac:dyDescent="0.3">
      <c r="B12" s="487" t="s">
        <v>65</v>
      </c>
      <c r="C12" s="487"/>
      <c r="D12" s="487"/>
      <c r="E12" s="487"/>
      <c r="F12" s="487"/>
      <c r="G12" s="153"/>
      <c r="H12" s="284" t="s">
        <v>594</v>
      </c>
      <c r="I12" s="285" t="s">
        <v>595</v>
      </c>
      <c r="J12" s="285" t="s">
        <v>596</v>
      </c>
      <c r="K12" s="284" t="s">
        <v>594</v>
      </c>
      <c r="CQ12" s="73"/>
    </row>
    <row r="13" spans="2:128" ht="30" customHeight="1" x14ac:dyDescent="0.3">
      <c r="B13" s="488" t="s">
        <v>66</v>
      </c>
      <c r="C13" s="488"/>
      <c r="D13" s="488"/>
      <c r="G13" s="286" t="s">
        <v>610</v>
      </c>
      <c r="H13" s="284" t="s">
        <v>597</v>
      </c>
      <c r="I13" s="285" t="s">
        <v>134</v>
      </c>
      <c r="J13" s="284" t="s">
        <v>598</v>
      </c>
      <c r="K13" s="284" t="s">
        <v>599</v>
      </c>
      <c r="CQ13" s="249"/>
      <c r="CR13" t="s">
        <v>337</v>
      </c>
      <c r="CZ13" t="s">
        <v>605</v>
      </c>
      <c r="DQ13" t="s">
        <v>353</v>
      </c>
    </row>
    <row r="14" spans="2:128" x14ac:dyDescent="0.3">
      <c r="G14" s="286" t="s">
        <v>327</v>
      </c>
      <c r="H14" s="286">
        <v>1369</v>
      </c>
      <c r="I14" s="285" t="s">
        <v>63</v>
      </c>
      <c r="J14" s="287">
        <v>2314</v>
      </c>
      <c r="K14" s="288">
        <v>5618</v>
      </c>
      <c r="CM14" s="489" t="s">
        <v>355</v>
      </c>
      <c r="CN14" s="489"/>
      <c r="CO14" s="489"/>
      <c r="CP14" s="489"/>
      <c r="CQ14" s="249"/>
      <c r="CS14" s="249"/>
      <c r="CT14" t="s">
        <v>327</v>
      </c>
      <c r="CX14" s="87" t="s">
        <v>341</v>
      </c>
      <c r="CZ14" s="486" t="s">
        <v>42</v>
      </c>
      <c r="DA14" s="486"/>
      <c r="DB14" s="486"/>
      <c r="DD14" s="486" t="s">
        <v>43</v>
      </c>
      <c r="DE14" s="486"/>
      <c r="DF14" s="486"/>
      <c r="DH14" s="87" t="s">
        <v>342</v>
      </c>
      <c r="DI14" s="87"/>
      <c r="DJ14" s="486" t="s">
        <v>44</v>
      </c>
      <c r="DK14" s="486"/>
      <c r="DL14" s="486"/>
      <c r="DN14" s="486" t="s">
        <v>333</v>
      </c>
      <c r="DO14" s="486"/>
      <c r="DQ14" s="198" t="s">
        <v>326</v>
      </c>
      <c r="DR14" s="198" t="s">
        <v>327</v>
      </c>
      <c r="DS14" s="198" t="s">
        <v>328</v>
      </c>
      <c r="DT14" s="198" t="s">
        <v>59</v>
      </c>
      <c r="DU14" s="198" t="s">
        <v>60</v>
      </c>
      <c r="DV14" s="198" t="s">
        <v>61</v>
      </c>
      <c r="DW14" s="198" t="s">
        <v>62</v>
      </c>
      <c r="DX14" s="198" t="s">
        <v>64</v>
      </c>
    </row>
    <row r="15" spans="2:128" x14ac:dyDescent="0.3">
      <c r="G15" s="286" t="s">
        <v>341</v>
      </c>
      <c r="H15" s="286">
        <v>0</v>
      </c>
      <c r="I15" s="285" t="s">
        <v>20</v>
      </c>
      <c r="J15" s="287">
        <v>699</v>
      </c>
      <c r="K15" s="288">
        <v>2627</v>
      </c>
      <c r="CM15" s="249" t="s">
        <v>3</v>
      </c>
      <c r="CN15" s="247" t="s">
        <v>344</v>
      </c>
      <c r="CO15" s="247" t="s">
        <v>345</v>
      </c>
      <c r="CP15" s="247" t="s">
        <v>5</v>
      </c>
      <c r="CQ15" s="249"/>
      <c r="CR15" s="249" t="s">
        <v>3</v>
      </c>
      <c r="CS15" s="249"/>
      <c r="CT15" s="198" t="s">
        <v>252</v>
      </c>
      <c r="CU15" s="198" t="s">
        <v>334</v>
      </c>
      <c r="CV15" s="198" t="s">
        <v>336</v>
      </c>
      <c r="CW15" s="198"/>
      <c r="CX15" s="198" t="s">
        <v>252</v>
      </c>
      <c r="CY15" s="198"/>
      <c r="CZ15" s="198" t="s">
        <v>252</v>
      </c>
      <c r="DA15" s="198" t="s">
        <v>334</v>
      </c>
      <c r="DB15" s="198" t="s">
        <v>336</v>
      </c>
      <c r="DC15" s="198"/>
      <c r="DD15" s="198" t="s">
        <v>252</v>
      </c>
      <c r="DE15" s="198" t="s">
        <v>334</v>
      </c>
      <c r="DF15" s="198" t="s">
        <v>336</v>
      </c>
      <c r="DG15" s="198"/>
      <c r="DH15" s="198" t="s">
        <v>252</v>
      </c>
      <c r="DI15" s="198"/>
      <c r="DJ15" s="198" t="s">
        <v>252</v>
      </c>
      <c r="DK15" s="198" t="s">
        <v>334</v>
      </c>
      <c r="DL15" s="198" t="s">
        <v>336</v>
      </c>
      <c r="DM15" s="198"/>
      <c r="DN15" s="198" t="s">
        <v>252</v>
      </c>
      <c r="DO15" s="198" t="s">
        <v>334</v>
      </c>
      <c r="DQ15">
        <v>1992</v>
      </c>
      <c r="DR15" s="198" t="s">
        <v>165</v>
      </c>
      <c r="DS15" s="198" t="s">
        <v>165</v>
      </c>
      <c r="DT15" s="198" t="s">
        <v>165</v>
      </c>
      <c r="DU15" s="198" t="s">
        <v>165</v>
      </c>
      <c r="DV15" s="198" t="s">
        <v>165</v>
      </c>
      <c r="DW15" s="198" t="s">
        <v>165</v>
      </c>
      <c r="DX15" s="198" t="s">
        <v>165</v>
      </c>
    </row>
    <row r="16" spans="2:128" x14ac:dyDescent="0.3">
      <c r="G16" s="286" t="s">
        <v>474</v>
      </c>
      <c r="H16" s="286"/>
      <c r="I16" s="285" t="s">
        <v>18</v>
      </c>
      <c r="J16" s="287">
        <v>5428</v>
      </c>
      <c r="K16" s="289">
        <v>5428</v>
      </c>
      <c r="CN16" s="246"/>
      <c r="CO16" s="246"/>
      <c r="CP16" s="246"/>
      <c r="CQ16" s="250"/>
      <c r="CS16" s="249"/>
      <c r="DQ16">
        <v>1993</v>
      </c>
      <c r="DR16" s="198" t="s">
        <v>165</v>
      </c>
      <c r="DS16" s="198" t="s">
        <v>165</v>
      </c>
      <c r="DT16" s="198" t="s">
        <v>165</v>
      </c>
      <c r="DU16" s="198" t="s">
        <v>165</v>
      </c>
      <c r="DV16" s="198" t="s">
        <v>165</v>
      </c>
      <c r="DW16" s="198" t="s">
        <v>165</v>
      </c>
      <c r="DX16" s="198" t="s">
        <v>165</v>
      </c>
    </row>
    <row r="17" spans="7:128" x14ac:dyDescent="0.3">
      <c r="G17" s="286" t="s">
        <v>611</v>
      </c>
      <c r="H17" s="286"/>
      <c r="I17" s="285" t="s">
        <v>135</v>
      </c>
      <c r="J17" s="287">
        <v>3116</v>
      </c>
      <c r="K17" s="289">
        <v>3116</v>
      </c>
      <c r="CM17" t="s">
        <v>343</v>
      </c>
      <c r="CN17" s="247">
        <f>GEOMEAN(CN19:CN28)</f>
        <v>1695.3418016905109</v>
      </c>
      <c r="CO17" s="247"/>
      <c r="CP17" s="247"/>
      <c r="CQ17" s="249"/>
      <c r="CR17" t="s">
        <v>343</v>
      </c>
      <c r="CS17" s="250"/>
      <c r="CU17" s="65">
        <f>GEOMEAN(CU19:CU28)</f>
        <v>1981.6687604326332</v>
      </c>
      <c r="CZ17" s="65">
        <f>GEOMEAN(CZ19:CZ28)</f>
        <v>361.13670960527679</v>
      </c>
      <c r="DA17" s="65">
        <f>GEOMEAN(DA19:DA28)</f>
        <v>361.13670960527679</v>
      </c>
      <c r="DD17" s="65">
        <f>GEOMEAN(DD19:DD28)</f>
        <v>536.08816508255256</v>
      </c>
      <c r="DE17" s="65">
        <f>GEOMEAN(DE19:DE28)</f>
        <v>536.08816508255256</v>
      </c>
      <c r="DJ17" s="65">
        <f>GEOMEAN(DJ19:DJ28)</f>
        <v>1548.7152024255211</v>
      </c>
      <c r="DK17" s="65">
        <f>GEOMEAN(DK19:DK28)</f>
        <v>1548.7152024255211</v>
      </c>
      <c r="DN17" s="65">
        <f>GEOMEAN(DN19:DN28)</f>
        <v>136.48012938968895</v>
      </c>
      <c r="DO17" s="65">
        <f>GEOMEAN(DO19:DO28)</f>
        <v>136.48012938968895</v>
      </c>
      <c r="DQ17">
        <v>1994</v>
      </c>
      <c r="DR17" s="198" t="s">
        <v>165</v>
      </c>
      <c r="DS17" s="198" t="s">
        <v>165</v>
      </c>
      <c r="DT17" s="198" t="s">
        <v>165</v>
      </c>
      <c r="DU17" s="198" t="s">
        <v>165</v>
      </c>
      <c r="DV17" s="198" t="s">
        <v>165</v>
      </c>
      <c r="DW17" s="198" t="s">
        <v>165</v>
      </c>
      <c r="DX17" s="198" t="s">
        <v>165</v>
      </c>
    </row>
    <row r="18" spans="7:128" x14ac:dyDescent="0.3">
      <c r="G18" s="286" t="s">
        <v>342</v>
      </c>
      <c r="H18" s="286">
        <v>0</v>
      </c>
      <c r="I18" s="285" t="s">
        <v>20</v>
      </c>
      <c r="J18" s="287">
        <v>598</v>
      </c>
      <c r="K18" s="288">
        <v>1815</v>
      </c>
      <c r="CN18" s="78"/>
      <c r="CO18" s="78"/>
      <c r="CP18" s="78"/>
      <c r="CQ18" s="73"/>
      <c r="CS18" s="249"/>
      <c r="DQ18">
        <v>1995</v>
      </c>
      <c r="DR18" s="198" t="s">
        <v>165</v>
      </c>
      <c r="DS18" s="198" t="s">
        <v>165</v>
      </c>
      <c r="DT18" s="198" t="s">
        <v>165</v>
      </c>
      <c r="DU18" s="198" t="s">
        <v>165</v>
      </c>
      <c r="DV18" s="198" t="s">
        <v>165</v>
      </c>
      <c r="DW18" s="198" t="s">
        <v>165</v>
      </c>
      <c r="DX18" s="198" t="s">
        <v>165</v>
      </c>
    </row>
    <row r="19" spans="7:128" x14ac:dyDescent="0.3">
      <c r="G19" s="286" t="s">
        <v>44</v>
      </c>
      <c r="H19" s="286">
        <v>4889</v>
      </c>
      <c r="I19" s="285" t="s">
        <v>136</v>
      </c>
      <c r="J19" s="287">
        <v>10916</v>
      </c>
      <c r="K19" s="288">
        <v>13613</v>
      </c>
      <c r="CM19">
        <v>2016</v>
      </c>
      <c r="CN19" s="247">
        <v>3480</v>
      </c>
      <c r="CO19" s="75">
        <v>983</v>
      </c>
      <c r="CP19" s="75">
        <f>SUM(CN19:CO19)</f>
        <v>4463</v>
      </c>
      <c r="CQ19" s="73"/>
      <c r="CR19">
        <v>2016</v>
      </c>
      <c r="CS19" s="73"/>
      <c r="CT19" s="198" t="s">
        <v>165</v>
      </c>
      <c r="CU19" s="242">
        <v>4328</v>
      </c>
      <c r="CX19" s="198" t="s">
        <v>165</v>
      </c>
      <c r="CZ19">
        <v>327</v>
      </c>
      <c r="DA19" s="242">
        <v>327</v>
      </c>
      <c r="DD19">
        <v>499</v>
      </c>
      <c r="DE19" s="242">
        <v>499</v>
      </c>
      <c r="DH19" s="198" t="s">
        <v>165</v>
      </c>
      <c r="DJ19" s="74">
        <v>1716</v>
      </c>
      <c r="DK19" s="242">
        <v>1716</v>
      </c>
      <c r="DN19">
        <v>226</v>
      </c>
      <c r="DO19" s="242">
        <v>226</v>
      </c>
      <c r="DQ19">
        <v>1996</v>
      </c>
      <c r="DR19" s="198" t="s">
        <v>165</v>
      </c>
      <c r="DS19" s="198" t="s">
        <v>165</v>
      </c>
      <c r="DT19" s="198" t="s">
        <v>165</v>
      </c>
      <c r="DU19" s="198" t="s">
        <v>165</v>
      </c>
      <c r="DV19" s="198" t="s">
        <v>165</v>
      </c>
      <c r="DW19" s="198" t="s">
        <v>165</v>
      </c>
      <c r="DX19" s="198" t="s">
        <v>165</v>
      </c>
    </row>
    <row r="20" spans="7:128" x14ac:dyDescent="0.3">
      <c r="G20" s="286" t="s">
        <v>333</v>
      </c>
      <c r="H20" s="286"/>
      <c r="I20" s="285" t="s">
        <v>18</v>
      </c>
      <c r="J20" s="287">
        <v>5820</v>
      </c>
      <c r="K20" s="289">
        <v>5820</v>
      </c>
      <c r="CM20">
        <v>2015</v>
      </c>
      <c r="CN20" s="247">
        <v>2466</v>
      </c>
      <c r="CO20" s="75">
        <v>1618</v>
      </c>
      <c r="CP20" s="75">
        <f>SUM(CN20:CO20)</f>
        <v>4084</v>
      </c>
      <c r="CQ20" s="73"/>
      <c r="CR20">
        <v>2015</v>
      </c>
      <c r="CT20" s="198" t="s">
        <v>165</v>
      </c>
      <c r="CU20" s="243">
        <v>3003</v>
      </c>
      <c r="CX20" s="198" t="s">
        <v>165</v>
      </c>
      <c r="CZ20">
        <v>361</v>
      </c>
      <c r="DA20" s="243">
        <v>361</v>
      </c>
      <c r="DD20">
        <v>629</v>
      </c>
      <c r="DE20" s="243">
        <v>629</v>
      </c>
      <c r="DH20" s="198" t="s">
        <v>165</v>
      </c>
      <c r="DJ20" s="74">
        <v>1608</v>
      </c>
      <c r="DK20" s="243">
        <v>1608</v>
      </c>
      <c r="DN20">
        <v>139</v>
      </c>
      <c r="DO20" s="243">
        <v>139</v>
      </c>
      <c r="DQ20">
        <v>1997</v>
      </c>
      <c r="DR20" s="198" t="s">
        <v>165</v>
      </c>
      <c r="DS20" s="198" t="s">
        <v>165</v>
      </c>
      <c r="DT20" s="198" t="s">
        <v>165</v>
      </c>
      <c r="DU20" s="198" t="s">
        <v>165</v>
      </c>
      <c r="DV20" s="198" t="s">
        <v>165</v>
      </c>
      <c r="DW20" s="198" t="s">
        <v>165</v>
      </c>
      <c r="DX20" s="198" t="s">
        <v>165</v>
      </c>
    </row>
    <row r="21" spans="7:128" x14ac:dyDescent="0.3">
      <c r="H21" t="s">
        <v>601</v>
      </c>
      <c r="CM21">
        <v>2014</v>
      </c>
      <c r="CN21" s="247">
        <f t="shared" ref="CN21:CN34" si="0">CP21-CO21</f>
        <v>984</v>
      </c>
      <c r="CO21" s="75">
        <v>1301</v>
      </c>
      <c r="CP21" s="75">
        <v>2285</v>
      </c>
      <c r="CQ21" s="73"/>
      <c r="CR21">
        <v>2014</v>
      </c>
      <c r="CT21" s="198" t="s">
        <v>165</v>
      </c>
      <c r="CU21" s="242">
        <v>1199</v>
      </c>
      <c r="CX21" s="198" t="s">
        <v>165</v>
      </c>
      <c r="CZ21">
        <v>366</v>
      </c>
      <c r="DA21" s="242">
        <v>366</v>
      </c>
      <c r="DD21">
        <v>886</v>
      </c>
      <c r="DE21" s="242">
        <v>886</v>
      </c>
      <c r="DF21">
        <v>1533</v>
      </c>
      <c r="DH21" s="198" t="s">
        <v>165</v>
      </c>
      <c r="DJ21" s="74">
        <v>1004</v>
      </c>
      <c r="DK21" s="242">
        <v>1004</v>
      </c>
      <c r="DL21">
        <v>1522</v>
      </c>
      <c r="DN21">
        <v>91</v>
      </c>
      <c r="DO21" s="242">
        <v>91</v>
      </c>
      <c r="DQ21">
        <v>1998</v>
      </c>
      <c r="DR21" s="198" t="s">
        <v>165</v>
      </c>
      <c r="DS21" s="198" t="s">
        <v>165</v>
      </c>
      <c r="DT21" s="198" t="s">
        <v>165</v>
      </c>
      <c r="DU21" s="198" t="s">
        <v>165</v>
      </c>
      <c r="DV21" s="198" t="s">
        <v>165</v>
      </c>
      <c r="DW21" s="198" t="s">
        <v>165</v>
      </c>
      <c r="DX21" s="198" t="s">
        <v>165</v>
      </c>
    </row>
    <row r="22" spans="7:128" x14ac:dyDescent="0.3">
      <c r="H22" t="s">
        <v>602</v>
      </c>
      <c r="CM22">
        <v>2013</v>
      </c>
      <c r="CN22" s="247">
        <f t="shared" si="0"/>
        <v>2238</v>
      </c>
      <c r="CO22" s="75">
        <v>1199</v>
      </c>
      <c r="CP22" s="75">
        <v>3437</v>
      </c>
      <c r="CQ22" s="73"/>
      <c r="CR22">
        <v>2013</v>
      </c>
      <c r="CT22" s="198" t="s">
        <v>165</v>
      </c>
      <c r="CU22" s="243">
        <v>2740</v>
      </c>
      <c r="CX22" s="198" t="s">
        <v>165</v>
      </c>
      <c r="CZ22">
        <v>341</v>
      </c>
      <c r="DA22" s="243">
        <v>341</v>
      </c>
      <c r="DB22">
        <v>4497</v>
      </c>
      <c r="DD22">
        <v>631</v>
      </c>
      <c r="DE22" s="243">
        <v>631</v>
      </c>
      <c r="DF22">
        <v>1155</v>
      </c>
      <c r="DH22" s="198" t="s">
        <v>165</v>
      </c>
      <c r="DJ22" s="74">
        <v>1202</v>
      </c>
      <c r="DK22" s="243">
        <v>1202</v>
      </c>
      <c r="DL22">
        <v>1662</v>
      </c>
      <c r="DN22">
        <v>59</v>
      </c>
      <c r="DO22" s="243">
        <v>59</v>
      </c>
      <c r="DQ22">
        <v>1999</v>
      </c>
      <c r="DR22" s="198" t="s">
        <v>165</v>
      </c>
      <c r="DS22" s="198" t="s">
        <v>165</v>
      </c>
      <c r="DT22" s="198" t="s">
        <v>165</v>
      </c>
      <c r="DU22" s="198" t="s">
        <v>165</v>
      </c>
      <c r="DV22" s="198" t="s">
        <v>165</v>
      </c>
      <c r="DW22" s="198" t="s">
        <v>165</v>
      </c>
      <c r="DX22" s="198" t="s">
        <v>165</v>
      </c>
    </row>
    <row r="23" spans="7:128" x14ac:dyDescent="0.3">
      <c r="H23" t="s">
        <v>603</v>
      </c>
      <c r="CM23">
        <v>2012</v>
      </c>
      <c r="CN23" s="247">
        <f t="shared" si="0"/>
        <v>1830</v>
      </c>
      <c r="CO23" s="75">
        <v>2132</v>
      </c>
      <c r="CP23" s="75">
        <v>3962</v>
      </c>
      <c r="CQ23" s="73"/>
      <c r="CR23">
        <v>2012</v>
      </c>
      <c r="CT23" s="198" t="s">
        <v>165</v>
      </c>
      <c r="CU23" s="242">
        <v>2201</v>
      </c>
      <c r="CV23">
        <v>1707</v>
      </c>
      <c r="CX23" s="198" t="s">
        <v>165</v>
      </c>
      <c r="CZ23">
        <v>348</v>
      </c>
      <c r="DA23" s="242">
        <v>348</v>
      </c>
      <c r="DB23">
        <v>4822</v>
      </c>
      <c r="DD23">
        <v>544</v>
      </c>
      <c r="DE23" s="242">
        <v>544</v>
      </c>
      <c r="DF23">
        <v>1663</v>
      </c>
      <c r="DH23" s="198" t="s">
        <v>165</v>
      </c>
      <c r="DJ23" s="74">
        <v>1769</v>
      </c>
      <c r="DK23" s="242">
        <v>1769</v>
      </c>
      <c r="DL23">
        <v>2524</v>
      </c>
      <c r="DN23">
        <v>175</v>
      </c>
      <c r="DO23" s="242">
        <v>175</v>
      </c>
      <c r="DQ23">
        <v>2000</v>
      </c>
      <c r="DR23" s="198" t="s">
        <v>165</v>
      </c>
      <c r="DS23" s="198" t="s">
        <v>165</v>
      </c>
      <c r="DT23" s="198" t="s">
        <v>165</v>
      </c>
      <c r="DU23" s="198" t="s">
        <v>165</v>
      </c>
      <c r="DV23" s="198" t="s">
        <v>165</v>
      </c>
      <c r="DW23" s="198" t="s">
        <v>165</v>
      </c>
      <c r="DX23" s="198" t="s">
        <v>165</v>
      </c>
    </row>
    <row r="24" spans="7:128" x14ac:dyDescent="0.3">
      <c r="H24" t="s">
        <v>604</v>
      </c>
      <c r="CM24">
        <v>2011</v>
      </c>
      <c r="CN24" s="247">
        <f t="shared" si="0"/>
        <v>1765</v>
      </c>
      <c r="CO24" s="75">
        <v>3100</v>
      </c>
      <c r="CP24" s="247">
        <v>4865</v>
      </c>
      <c r="CQ24" s="73"/>
      <c r="CR24">
        <v>2011</v>
      </c>
      <c r="CT24" s="198" t="s">
        <v>165</v>
      </c>
      <c r="CU24" s="243">
        <v>2035</v>
      </c>
      <c r="CV24">
        <v>-99</v>
      </c>
      <c r="CX24" s="198" t="s">
        <v>165</v>
      </c>
      <c r="CZ24">
        <v>553</v>
      </c>
      <c r="DA24" s="243">
        <v>553</v>
      </c>
      <c r="DB24">
        <v>8258</v>
      </c>
      <c r="DD24">
        <v>756</v>
      </c>
      <c r="DE24" s="243">
        <v>756</v>
      </c>
      <c r="DF24">
        <v>1943</v>
      </c>
      <c r="DH24" s="198" t="s">
        <v>165</v>
      </c>
      <c r="DJ24" s="74">
        <v>2511</v>
      </c>
      <c r="DK24" s="243">
        <v>2511</v>
      </c>
      <c r="DL24">
        <v>3266</v>
      </c>
      <c r="DN24">
        <v>181</v>
      </c>
      <c r="DO24" s="243">
        <v>181</v>
      </c>
      <c r="DQ24">
        <v>2001</v>
      </c>
      <c r="DR24" s="198" t="s">
        <v>165</v>
      </c>
      <c r="DS24" s="198" t="s">
        <v>165</v>
      </c>
      <c r="DT24" s="198" t="s">
        <v>165</v>
      </c>
      <c r="DU24" s="198" t="s">
        <v>165</v>
      </c>
      <c r="DV24" s="198" t="s">
        <v>165</v>
      </c>
      <c r="DW24" s="198" t="s">
        <v>165</v>
      </c>
      <c r="DX24" s="198" t="s">
        <v>165</v>
      </c>
    </row>
    <row r="25" spans="7:128" x14ac:dyDescent="0.3">
      <c r="CM25">
        <v>2010</v>
      </c>
      <c r="CN25" s="247">
        <f t="shared" si="0"/>
        <v>1342</v>
      </c>
      <c r="CO25" s="75">
        <v>3503</v>
      </c>
      <c r="CP25" s="247">
        <v>4845</v>
      </c>
      <c r="CQ25" s="73"/>
      <c r="CR25">
        <v>2010</v>
      </c>
      <c r="CT25" s="198" t="s">
        <v>165</v>
      </c>
      <c r="CU25" s="242">
        <v>1604</v>
      </c>
      <c r="CV25">
        <v>-99</v>
      </c>
      <c r="CX25" s="198" t="s">
        <v>165</v>
      </c>
      <c r="CZ25">
        <v>292</v>
      </c>
      <c r="DA25" s="242">
        <v>292</v>
      </c>
      <c r="DB25">
        <v>7061</v>
      </c>
      <c r="DD25">
        <v>376</v>
      </c>
      <c r="DE25" s="242">
        <v>376</v>
      </c>
      <c r="DF25">
        <v>2378</v>
      </c>
      <c r="DH25" s="198" t="s">
        <v>165</v>
      </c>
      <c r="DJ25" s="74">
        <v>1265</v>
      </c>
      <c r="DK25" s="242">
        <v>1265</v>
      </c>
      <c r="DL25">
        <v>2789</v>
      </c>
      <c r="DN25">
        <v>188</v>
      </c>
      <c r="DO25" s="242">
        <v>188</v>
      </c>
      <c r="DQ25">
        <v>2002</v>
      </c>
      <c r="DR25" s="198" t="s">
        <v>165</v>
      </c>
      <c r="DS25" s="198" t="s">
        <v>165</v>
      </c>
      <c r="DT25">
        <v>0.87</v>
      </c>
      <c r="DU25">
        <v>0.86</v>
      </c>
      <c r="DV25" s="198" t="s">
        <v>165</v>
      </c>
      <c r="DW25">
        <v>0.28000000000000003</v>
      </c>
      <c r="DX25">
        <v>0.77</v>
      </c>
    </row>
    <row r="26" spans="7:128" x14ac:dyDescent="0.3">
      <c r="CM26">
        <v>2009</v>
      </c>
      <c r="CN26" s="247">
        <f t="shared" si="0"/>
        <v>816</v>
      </c>
      <c r="CO26" s="247">
        <v>1043</v>
      </c>
      <c r="CP26" s="247">
        <v>1859</v>
      </c>
      <c r="CQ26" s="73"/>
      <c r="CR26">
        <v>2009</v>
      </c>
      <c r="CT26" s="198" t="s">
        <v>165</v>
      </c>
      <c r="CU26" s="243">
        <v>967</v>
      </c>
      <c r="CV26">
        <v>-99</v>
      </c>
      <c r="CX26" s="198" t="s">
        <v>165</v>
      </c>
      <c r="CZ26">
        <v>358</v>
      </c>
      <c r="DA26" s="243">
        <v>358</v>
      </c>
      <c r="DB26">
        <v>4155</v>
      </c>
      <c r="DD26">
        <v>913</v>
      </c>
      <c r="DE26" s="243">
        <v>913</v>
      </c>
      <c r="DF26">
        <v>1418</v>
      </c>
      <c r="DH26" s="198" t="s">
        <v>165</v>
      </c>
      <c r="DJ26" s="74">
        <v>1193</v>
      </c>
      <c r="DK26" s="243">
        <v>1193</v>
      </c>
      <c r="DL26">
        <v>1883</v>
      </c>
      <c r="DN26">
        <v>110</v>
      </c>
      <c r="DO26" s="243">
        <v>110</v>
      </c>
      <c r="DQ26">
        <v>2003</v>
      </c>
      <c r="DR26" s="198" t="s">
        <v>165</v>
      </c>
      <c r="DS26" s="198" t="s">
        <v>165</v>
      </c>
      <c r="DT26">
        <v>0.96</v>
      </c>
      <c r="DU26">
        <v>0.87</v>
      </c>
      <c r="DV26" s="198" t="s">
        <v>165</v>
      </c>
      <c r="DW26">
        <v>0.32</v>
      </c>
      <c r="DX26">
        <v>0.51</v>
      </c>
    </row>
    <row r="27" spans="7:128" x14ac:dyDescent="0.3">
      <c r="CM27">
        <v>2008</v>
      </c>
      <c r="CN27" s="247">
        <f t="shared" si="0"/>
        <v>1773</v>
      </c>
      <c r="CO27" s="247">
        <v>1844</v>
      </c>
      <c r="CP27" s="247">
        <v>3617</v>
      </c>
      <c r="CQ27" s="73"/>
      <c r="CR27">
        <v>2008</v>
      </c>
      <c r="CT27" s="198" t="s">
        <v>165</v>
      </c>
      <c r="CU27" s="242">
        <v>2085</v>
      </c>
      <c r="CV27">
        <v>1886</v>
      </c>
      <c r="CX27" s="198" t="s">
        <v>165</v>
      </c>
      <c r="CZ27">
        <v>412</v>
      </c>
      <c r="DA27" s="242">
        <v>412</v>
      </c>
      <c r="DB27">
        <v>2363</v>
      </c>
      <c r="DD27">
        <v>323</v>
      </c>
      <c r="DE27" s="242">
        <v>323</v>
      </c>
      <c r="DF27">
        <v>855</v>
      </c>
      <c r="DH27" s="198" t="s">
        <v>165</v>
      </c>
      <c r="DJ27" s="74">
        <v>1388</v>
      </c>
      <c r="DK27" s="242">
        <v>1388</v>
      </c>
      <c r="DL27">
        <v>2105</v>
      </c>
      <c r="DN27">
        <v>344</v>
      </c>
      <c r="DO27" s="242">
        <v>344</v>
      </c>
      <c r="DQ27">
        <v>2004</v>
      </c>
      <c r="DR27" s="198" t="s">
        <v>165</v>
      </c>
      <c r="DS27" s="198" t="s">
        <v>165</v>
      </c>
      <c r="DT27">
        <v>0.85</v>
      </c>
      <c r="DU27">
        <v>0.82</v>
      </c>
      <c r="DV27" s="198" t="s">
        <v>165</v>
      </c>
      <c r="DW27">
        <v>0.27</v>
      </c>
      <c r="DX27">
        <v>0.61</v>
      </c>
    </row>
    <row r="28" spans="7:128" x14ac:dyDescent="0.3">
      <c r="CM28">
        <v>2007</v>
      </c>
      <c r="CN28" s="247">
        <f t="shared" si="0"/>
        <v>1655</v>
      </c>
      <c r="CO28" s="247">
        <v>2805</v>
      </c>
      <c r="CP28" s="247">
        <v>4460</v>
      </c>
      <c r="CQ28" s="73"/>
      <c r="CR28">
        <v>2007</v>
      </c>
      <c r="CT28" s="198" t="s">
        <v>165</v>
      </c>
      <c r="CU28" s="243">
        <v>1510</v>
      </c>
      <c r="CV28">
        <v>2383</v>
      </c>
      <c r="CX28" s="198" t="s">
        <v>165</v>
      </c>
      <c r="CZ28">
        <v>309</v>
      </c>
      <c r="DA28" s="243">
        <v>309</v>
      </c>
      <c r="DB28">
        <v>3720</v>
      </c>
      <c r="DD28">
        <v>245</v>
      </c>
      <c r="DE28" s="243">
        <v>245</v>
      </c>
      <c r="DF28">
        <v>1735</v>
      </c>
      <c r="DH28" s="198" t="s">
        <v>165</v>
      </c>
      <c r="DJ28" s="74">
        <v>2562</v>
      </c>
      <c r="DK28" s="243">
        <v>2562</v>
      </c>
      <c r="DL28">
        <v>3285</v>
      </c>
      <c r="DN28">
        <v>59</v>
      </c>
      <c r="DO28" s="243">
        <v>59</v>
      </c>
      <c r="DQ28">
        <v>2005</v>
      </c>
      <c r="DR28" s="198" t="s">
        <v>165</v>
      </c>
      <c r="DS28" s="198" t="s">
        <v>165</v>
      </c>
      <c r="DT28">
        <v>0.7</v>
      </c>
      <c r="DU28">
        <v>0.8</v>
      </c>
      <c r="DV28" s="198" t="s">
        <v>165</v>
      </c>
      <c r="DW28">
        <v>0.28000000000000003</v>
      </c>
      <c r="DX28">
        <v>0.74</v>
      </c>
    </row>
    <row r="29" spans="7:128" x14ac:dyDescent="0.3">
      <c r="CM29">
        <v>2006</v>
      </c>
      <c r="CN29" s="247">
        <f t="shared" si="0"/>
        <v>1081</v>
      </c>
      <c r="CO29" s="247">
        <v>1090</v>
      </c>
      <c r="CP29" s="247">
        <v>2171</v>
      </c>
      <c r="CQ29" s="73"/>
      <c r="CR29">
        <v>2006</v>
      </c>
      <c r="CT29" s="198" t="s">
        <v>165</v>
      </c>
      <c r="CU29" s="242">
        <v>1023</v>
      </c>
      <c r="CV29">
        <v>1520</v>
      </c>
      <c r="CX29" s="198" t="s">
        <v>165</v>
      </c>
      <c r="CZ29">
        <v>201</v>
      </c>
      <c r="DA29" s="242">
        <v>201</v>
      </c>
      <c r="DB29">
        <v>5966</v>
      </c>
      <c r="DD29">
        <v>209</v>
      </c>
      <c r="DE29" s="242">
        <v>209</v>
      </c>
      <c r="DF29">
        <v>264</v>
      </c>
      <c r="DH29" s="198" t="s">
        <v>165</v>
      </c>
      <c r="DJ29" s="74">
        <v>2050</v>
      </c>
      <c r="DK29" s="242">
        <v>2050</v>
      </c>
      <c r="DL29">
        <v>2585</v>
      </c>
      <c r="DN29">
        <v>417</v>
      </c>
      <c r="DO29" s="242">
        <v>417</v>
      </c>
      <c r="DQ29">
        <v>2006</v>
      </c>
      <c r="DR29" s="198" t="s">
        <v>165</v>
      </c>
      <c r="DS29" s="198" t="s">
        <v>165</v>
      </c>
      <c r="DT29">
        <v>0.69</v>
      </c>
      <c r="DU29">
        <v>0.84</v>
      </c>
      <c r="DV29" s="198" t="s">
        <v>165</v>
      </c>
      <c r="DW29">
        <v>0.28999999999999998</v>
      </c>
      <c r="DX29">
        <v>0.76</v>
      </c>
    </row>
    <row r="30" spans="7:128" x14ac:dyDescent="0.3">
      <c r="CM30">
        <v>2005</v>
      </c>
      <c r="CN30" s="247">
        <f t="shared" si="0"/>
        <v>2930</v>
      </c>
      <c r="CO30" s="247">
        <v>2905</v>
      </c>
      <c r="CP30" s="247">
        <v>5835</v>
      </c>
      <c r="CQ30" s="73"/>
      <c r="CR30">
        <v>2005</v>
      </c>
      <c r="CT30" s="198" t="s">
        <v>165</v>
      </c>
      <c r="CU30" s="243">
        <v>2295</v>
      </c>
      <c r="CV30">
        <v>4155</v>
      </c>
      <c r="CX30" s="198" t="s">
        <v>165</v>
      </c>
      <c r="CZ30">
        <v>247</v>
      </c>
      <c r="DA30" s="243">
        <v>247</v>
      </c>
      <c r="DB30">
        <v>5552</v>
      </c>
      <c r="DD30">
        <v>268</v>
      </c>
      <c r="DE30" s="243">
        <v>268</v>
      </c>
      <c r="DF30">
        <v>967</v>
      </c>
      <c r="DH30" s="198" t="s">
        <v>165</v>
      </c>
      <c r="DJ30" s="74">
        <v>2135</v>
      </c>
      <c r="DK30" s="243">
        <v>2135</v>
      </c>
      <c r="DL30">
        <v>2658</v>
      </c>
      <c r="DN30">
        <v>118</v>
      </c>
      <c r="DO30" s="243">
        <v>118</v>
      </c>
      <c r="DQ30">
        <v>2007</v>
      </c>
      <c r="DR30" s="198" t="s">
        <v>165</v>
      </c>
      <c r="DS30" s="198" t="s">
        <v>165</v>
      </c>
      <c r="DT30">
        <v>0.78</v>
      </c>
      <c r="DU30">
        <v>0.86</v>
      </c>
      <c r="DV30" s="198" t="s">
        <v>165</v>
      </c>
      <c r="DW30">
        <v>0.28000000000000003</v>
      </c>
      <c r="DX30">
        <v>0.85</v>
      </c>
    </row>
    <row r="31" spans="7:128" x14ac:dyDescent="0.3">
      <c r="CM31">
        <v>2004</v>
      </c>
      <c r="CN31" s="247">
        <f t="shared" si="0"/>
        <v>5242</v>
      </c>
      <c r="CO31" s="247">
        <v>7916</v>
      </c>
      <c r="CP31" s="247">
        <v>13158</v>
      </c>
      <c r="CQ31" s="73"/>
      <c r="CR31">
        <v>2004</v>
      </c>
      <c r="CT31" s="198" t="s">
        <v>165</v>
      </c>
      <c r="CU31" s="242">
        <v>5196</v>
      </c>
      <c r="CV31">
        <v>8056</v>
      </c>
      <c r="CX31" s="198" t="s">
        <v>165</v>
      </c>
      <c r="CZ31">
        <v>127</v>
      </c>
      <c r="DA31" s="242">
        <v>127</v>
      </c>
      <c r="DB31">
        <v>16622</v>
      </c>
      <c r="DD31">
        <v>171</v>
      </c>
      <c r="DE31" s="242">
        <v>171</v>
      </c>
      <c r="DF31">
        <v>1850</v>
      </c>
      <c r="DH31" s="198" t="s">
        <v>165</v>
      </c>
      <c r="DJ31" s="74">
        <v>3982</v>
      </c>
      <c r="DK31" s="242">
        <v>3982</v>
      </c>
      <c r="DL31">
        <v>6949</v>
      </c>
      <c r="DN31">
        <v>257</v>
      </c>
      <c r="DO31" s="242">
        <v>257</v>
      </c>
      <c r="DQ31">
        <v>2008</v>
      </c>
      <c r="DR31" s="198" t="s">
        <v>165</v>
      </c>
      <c r="DS31" s="198" t="s">
        <v>165</v>
      </c>
      <c r="DT31">
        <v>0.27</v>
      </c>
      <c r="DU31">
        <v>0.62</v>
      </c>
      <c r="DV31" s="198" t="s">
        <v>165</v>
      </c>
      <c r="DW31">
        <v>0.43</v>
      </c>
      <c r="DX31">
        <v>0.59</v>
      </c>
    </row>
    <row r="32" spans="7:128" x14ac:dyDescent="0.3">
      <c r="CM32">
        <v>2003</v>
      </c>
      <c r="CN32" s="247">
        <f t="shared" si="0"/>
        <v>3656</v>
      </c>
      <c r="CO32" s="247">
        <v>6309</v>
      </c>
      <c r="CP32" s="247">
        <v>9965</v>
      </c>
      <c r="CQ32" s="73"/>
      <c r="CR32">
        <v>2003</v>
      </c>
      <c r="CT32" s="198" t="s">
        <v>165</v>
      </c>
      <c r="CU32" s="243">
        <v>3381</v>
      </c>
      <c r="CV32">
        <v>5492</v>
      </c>
      <c r="CX32" s="198" t="s">
        <v>165</v>
      </c>
      <c r="CZ32">
        <v>68</v>
      </c>
      <c r="DA32" s="243">
        <v>68</v>
      </c>
      <c r="DB32">
        <v>17909</v>
      </c>
      <c r="DD32">
        <v>200</v>
      </c>
      <c r="DE32" s="243">
        <v>200</v>
      </c>
      <c r="DF32">
        <v>447</v>
      </c>
      <c r="DH32" s="198" t="s">
        <v>165</v>
      </c>
      <c r="DJ32" s="74">
        <v>4178</v>
      </c>
      <c r="DK32" s="243">
        <v>4178</v>
      </c>
      <c r="DL32">
        <v>7795</v>
      </c>
      <c r="DN32">
        <v>141</v>
      </c>
      <c r="DO32" s="243">
        <v>141</v>
      </c>
      <c r="DQ32">
        <v>2009</v>
      </c>
      <c r="DR32" s="198" t="s">
        <v>165</v>
      </c>
      <c r="DS32" s="198" t="s">
        <v>165</v>
      </c>
      <c r="DT32">
        <v>0.56000000000000005</v>
      </c>
      <c r="DU32">
        <v>0.36</v>
      </c>
      <c r="DV32" s="198" t="s">
        <v>165</v>
      </c>
      <c r="DW32">
        <v>0.53</v>
      </c>
      <c r="DX32">
        <v>0.83</v>
      </c>
    </row>
    <row r="33" spans="74:128" ht="15" thickBot="1" x14ac:dyDescent="0.35">
      <c r="CM33">
        <v>2002</v>
      </c>
      <c r="CN33" s="247">
        <f t="shared" si="0"/>
        <v>2170</v>
      </c>
      <c r="CO33" s="247">
        <v>3572</v>
      </c>
      <c r="CP33" s="247">
        <v>5742</v>
      </c>
      <c r="CR33">
        <v>2002</v>
      </c>
      <c r="CT33" s="198" t="s">
        <v>165</v>
      </c>
      <c r="CU33" s="242">
        <v>1929</v>
      </c>
      <c r="CV33">
        <v>3434</v>
      </c>
      <c r="CX33" s="198" t="s">
        <v>165</v>
      </c>
      <c r="CZ33">
        <v>106</v>
      </c>
      <c r="DA33" s="244">
        <v>106</v>
      </c>
      <c r="DB33">
        <v>10487</v>
      </c>
      <c r="DD33">
        <v>330</v>
      </c>
      <c r="DE33" s="244">
        <v>330</v>
      </c>
      <c r="DF33">
        <v>805</v>
      </c>
      <c r="DH33" s="198" t="s">
        <v>165</v>
      </c>
      <c r="DJ33" s="74">
        <v>3361</v>
      </c>
      <c r="DK33" s="244">
        <v>3361</v>
      </c>
      <c r="DL33">
        <v>5679</v>
      </c>
      <c r="DN33">
        <v>235</v>
      </c>
      <c r="DO33" s="244">
        <v>235</v>
      </c>
      <c r="DQ33">
        <v>2010</v>
      </c>
      <c r="DR33" s="198" t="s">
        <v>165</v>
      </c>
      <c r="DS33" s="198" t="s">
        <v>165</v>
      </c>
      <c r="DT33">
        <v>0.82</v>
      </c>
      <c r="DU33">
        <v>0.84</v>
      </c>
      <c r="DV33" s="198" t="s">
        <v>165</v>
      </c>
      <c r="DW33">
        <v>0.61</v>
      </c>
      <c r="DX33">
        <v>0.65</v>
      </c>
    </row>
    <row r="34" spans="74:128" x14ac:dyDescent="0.3">
      <c r="CM34">
        <v>2001</v>
      </c>
      <c r="CN34" s="247">
        <f t="shared" si="0"/>
        <v>2365</v>
      </c>
      <c r="CO34" s="247">
        <v>1302</v>
      </c>
      <c r="CP34" s="247">
        <v>3667</v>
      </c>
      <c r="CR34">
        <v>2001</v>
      </c>
      <c r="CT34" s="198" t="s">
        <v>165</v>
      </c>
      <c r="CU34" s="243">
        <v>1459</v>
      </c>
      <c r="CV34">
        <v>4474</v>
      </c>
      <c r="CX34" s="198" t="s">
        <v>165</v>
      </c>
      <c r="CZ34" s="198" t="s">
        <v>165</v>
      </c>
      <c r="DB34">
        <v>6786</v>
      </c>
      <c r="DD34" s="198" t="s">
        <v>165</v>
      </c>
      <c r="DF34">
        <v>2267</v>
      </c>
      <c r="DH34" s="198" t="s">
        <v>165</v>
      </c>
      <c r="DI34" s="198"/>
      <c r="DJ34" s="198" t="s">
        <v>165</v>
      </c>
      <c r="DL34">
        <v>4428</v>
      </c>
      <c r="DN34" s="198" t="s">
        <v>165</v>
      </c>
      <c r="DQ34">
        <v>2011</v>
      </c>
      <c r="DR34" s="198" t="s">
        <v>165</v>
      </c>
      <c r="DS34" s="198" t="s">
        <v>165</v>
      </c>
      <c r="DT34">
        <v>0.64</v>
      </c>
      <c r="DU34">
        <v>0.61</v>
      </c>
      <c r="DV34" s="198" t="s">
        <v>165</v>
      </c>
      <c r="DW34">
        <v>0.35</v>
      </c>
      <c r="DX34">
        <v>0.65</v>
      </c>
    </row>
    <row r="35" spans="74:128" x14ac:dyDescent="0.3">
      <c r="CM35">
        <v>2000</v>
      </c>
      <c r="CN35" s="247">
        <v>1928</v>
      </c>
      <c r="CO35" s="247">
        <v>200</v>
      </c>
      <c r="CP35" s="247">
        <v>2128</v>
      </c>
      <c r="CR35">
        <v>2000</v>
      </c>
      <c r="CT35" s="198" t="s">
        <v>165</v>
      </c>
      <c r="CU35" s="242">
        <v>846</v>
      </c>
      <c r="CV35">
        <v>2596</v>
      </c>
      <c r="CX35" s="198" t="s">
        <v>165</v>
      </c>
      <c r="CZ35" s="198" t="s">
        <v>165</v>
      </c>
      <c r="DD35" s="198" t="s">
        <v>165</v>
      </c>
      <c r="DH35" s="198" t="s">
        <v>165</v>
      </c>
      <c r="DI35" s="198"/>
      <c r="DJ35" s="198" t="s">
        <v>165</v>
      </c>
      <c r="DL35">
        <v>2533</v>
      </c>
      <c r="DN35" s="198" t="s">
        <v>165</v>
      </c>
      <c r="DQ35">
        <v>2012</v>
      </c>
      <c r="DR35" s="198" t="s">
        <v>165</v>
      </c>
      <c r="DS35" s="198" t="s">
        <v>165</v>
      </c>
      <c r="DT35">
        <v>0.76</v>
      </c>
      <c r="DU35">
        <v>0.67</v>
      </c>
      <c r="DV35" s="198" t="s">
        <v>165</v>
      </c>
      <c r="DW35">
        <v>0.39</v>
      </c>
      <c r="DX35">
        <v>0.93</v>
      </c>
    </row>
    <row r="36" spans="74:128" x14ac:dyDescent="0.3">
      <c r="CM36">
        <v>1999</v>
      </c>
      <c r="CN36" s="247">
        <v>860</v>
      </c>
      <c r="CR36">
        <v>1999</v>
      </c>
      <c r="CT36" s="198" t="s">
        <v>165</v>
      </c>
      <c r="CU36" s="243">
        <v>342</v>
      </c>
      <c r="CV36">
        <v>1049</v>
      </c>
      <c r="CX36" s="198" t="s">
        <v>165</v>
      </c>
      <c r="CZ36" s="198" t="s">
        <v>165</v>
      </c>
      <c r="DD36" s="198" t="s">
        <v>165</v>
      </c>
      <c r="DH36" s="198" t="s">
        <v>165</v>
      </c>
      <c r="DI36" s="198"/>
      <c r="DJ36" s="198" t="s">
        <v>165</v>
      </c>
      <c r="DL36">
        <v>1862</v>
      </c>
      <c r="DN36" s="198" t="s">
        <v>165</v>
      </c>
      <c r="DQ36">
        <v>2013</v>
      </c>
      <c r="DR36" s="198" t="s">
        <v>165</v>
      </c>
      <c r="DS36" s="198" t="s">
        <v>165</v>
      </c>
      <c r="DT36">
        <v>0.78</v>
      </c>
      <c r="DU36">
        <v>0.45</v>
      </c>
      <c r="DV36" s="198" t="s">
        <v>165</v>
      </c>
      <c r="DW36">
        <v>0.33</v>
      </c>
      <c r="DX36">
        <v>0.94</v>
      </c>
    </row>
    <row r="37" spans="74:128" x14ac:dyDescent="0.3">
      <c r="CM37">
        <v>1998</v>
      </c>
      <c r="CN37" s="247">
        <v>1395</v>
      </c>
      <c r="CR37">
        <v>1998</v>
      </c>
      <c r="CT37" s="198" t="s">
        <v>165</v>
      </c>
      <c r="CU37" s="242">
        <v>555</v>
      </c>
      <c r="CV37">
        <v>1702</v>
      </c>
      <c r="CX37" s="198" t="s">
        <v>165</v>
      </c>
      <c r="CZ37" s="198" t="s">
        <v>165</v>
      </c>
      <c r="DD37" s="198" t="s">
        <v>165</v>
      </c>
      <c r="DH37" s="198" t="s">
        <v>165</v>
      </c>
      <c r="DI37" s="198"/>
      <c r="DJ37" s="198" t="s">
        <v>165</v>
      </c>
      <c r="DL37">
        <v>1848</v>
      </c>
      <c r="DN37" s="198" t="s">
        <v>165</v>
      </c>
      <c r="DQ37">
        <v>2014</v>
      </c>
      <c r="DR37" s="198" t="s">
        <v>165</v>
      </c>
      <c r="DS37" s="198" t="s">
        <v>165</v>
      </c>
      <c r="DT37">
        <v>0.76</v>
      </c>
      <c r="DU37">
        <v>0.42</v>
      </c>
      <c r="DV37" s="198" t="s">
        <v>165</v>
      </c>
      <c r="DW37">
        <v>0.51</v>
      </c>
      <c r="DX37">
        <v>0.87</v>
      </c>
    </row>
    <row r="38" spans="74:128" x14ac:dyDescent="0.3">
      <c r="CM38">
        <v>1997</v>
      </c>
      <c r="CN38" s="247">
        <v>1267</v>
      </c>
      <c r="CR38">
        <v>1997</v>
      </c>
      <c r="CT38" s="198" t="s">
        <v>165</v>
      </c>
      <c r="CU38" s="243">
        <v>504</v>
      </c>
      <c r="CV38">
        <v>1546</v>
      </c>
      <c r="CX38" s="198" t="s">
        <v>165</v>
      </c>
      <c r="CZ38" s="198" t="s">
        <v>165</v>
      </c>
      <c r="DD38" s="198" t="s">
        <v>165</v>
      </c>
      <c r="DH38" s="198" t="s">
        <v>165</v>
      </c>
      <c r="DI38" s="198"/>
      <c r="DJ38" s="198" t="s">
        <v>165</v>
      </c>
      <c r="DL38">
        <v>1110</v>
      </c>
      <c r="DN38" s="198" t="s">
        <v>165</v>
      </c>
      <c r="DQ38">
        <v>2015</v>
      </c>
      <c r="DR38" s="198" t="s">
        <v>165</v>
      </c>
      <c r="DS38" s="198" t="s">
        <v>165</v>
      </c>
      <c r="DT38">
        <v>0.73</v>
      </c>
      <c r="DU38">
        <v>0.59</v>
      </c>
      <c r="DV38" s="198" t="s">
        <v>165</v>
      </c>
      <c r="DW38">
        <v>0.44</v>
      </c>
      <c r="DX38">
        <v>0.88</v>
      </c>
    </row>
    <row r="39" spans="74:128" x14ac:dyDescent="0.3">
      <c r="CM39">
        <v>1996</v>
      </c>
      <c r="CN39" s="247">
        <v>888</v>
      </c>
      <c r="CR39">
        <v>1996</v>
      </c>
      <c r="CT39" s="198" t="s">
        <v>165</v>
      </c>
      <c r="CU39" s="242">
        <v>353</v>
      </c>
      <c r="CV39">
        <v>1083</v>
      </c>
      <c r="CX39" s="198" t="s">
        <v>165</v>
      </c>
      <c r="CZ39" s="198" t="s">
        <v>165</v>
      </c>
      <c r="DD39" s="198" t="s">
        <v>165</v>
      </c>
      <c r="DH39" s="198" t="s">
        <v>165</v>
      </c>
      <c r="DI39" s="198"/>
      <c r="DJ39" s="198" t="s">
        <v>165</v>
      </c>
      <c r="DL39">
        <v>1432</v>
      </c>
      <c r="DN39" s="198" t="s">
        <v>165</v>
      </c>
      <c r="DQ39">
        <v>2016</v>
      </c>
      <c r="DR39" s="198" t="s">
        <v>165</v>
      </c>
      <c r="DS39" s="198" t="s">
        <v>165</v>
      </c>
      <c r="DT39">
        <v>0.84</v>
      </c>
      <c r="DU39">
        <v>0.85</v>
      </c>
      <c r="DV39" s="198" t="s">
        <v>165</v>
      </c>
      <c r="DW39">
        <v>0.53</v>
      </c>
      <c r="DX39">
        <v>0.14000000000000001</v>
      </c>
    </row>
    <row r="40" spans="74:128" x14ac:dyDescent="0.3">
      <c r="CM40">
        <v>1995</v>
      </c>
      <c r="CN40" s="247">
        <v>1639</v>
      </c>
      <c r="CR40">
        <v>1995</v>
      </c>
      <c r="CT40" s="198" t="s">
        <v>165</v>
      </c>
      <c r="CU40" s="243">
        <v>652</v>
      </c>
      <c r="CV40">
        <v>2000</v>
      </c>
      <c r="CX40" s="198" t="s">
        <v>165</v>
      </c>
      <c r="CZ40" s="198" t="s">
        <v>165</v>
      </c>
      <c r="DD40" s="198" t="s">
        <v>165</v>
      </c>
      <c r="DH40" s="198" t="s">
        <v>165</v>
      </c>
      <c r="DI40" s="198"/>
      <c r="DJ40" s="198" t="s">
        <v>165</v>
      </c>
      <c r="DL40">
        <v>1577</v>
      </c>
      <c r="DN40" s="198" t="s">
        <v>165</v>
      </c>
      <c r="DQ40">
        <v>2017</v>
      </c>
      <c r="DR40" s="198" t="s">
        <v>165</v>
      </c>
      <c r="DS40" s="198" t="s">
        <v>165</v>
      </c>
      <c r="DT40" s="198" t="s">
        <v>165</v>
      </c>
      <c r="DU40" s="198" t="s">
        <v>165</v>
      </c>
      <c r="DV40" s="198" t="s">
        <v>165</v>
      </c>
      <c r="DW40" s="198" t="s">
        <v>165</v>
      </c>
      <c r="DX40" s="198" t="s">
        <v>165</v>
      </c>
    </row>
    <row r="41" spans="74:128" x14ac:dyDescent="0.3">
      <c r="CM41">
        <v>1994</v>
      </c>
      <c r="CN41" s="247">
        <v>2161</v>
      </c>
      <c r="CR41">
        <v>1994</v>
      </c>
      <c r="CT41" s="198" t="s">
        <v>165</v>
      </c>
      <c r="CU41" s="242">
        <v>859</v>
      </c>
      <c r="CV41">
        <v>2636</v>
      </c>
      <c r="CX41" s="198" t="s">
        <v>165</v>
      </c>
      <c r="CZ41" s="198" t="s">
        <v>165</v>
      </c>
      <c r="DD41" s="198" t="s">
        <v>165</v>
      </c>
      <c r="DH41" s="198" t="s">
        <v>165</v>
      </c>
      <c r="DI41" s="198"/>
      <c r="DJ41" s="198" t="s">
        <v>165</v>
      </c>
      <c r="DL41">
        <v>1507</v>
      </c>
      <c r="DN41" s="198" t="s">
        <v>165</v>
      </c>
      <c r="DQ41">
        <v>2018</v>
      </c>
      <c r="DR41" s="198" t="s">
        <v>165</v>
      </c>
      <c r="DS41" s="198" t="s">
        <v>165</v>
      </c>
      <c r="DT41" s="198" t="s">
        <v>165</v>
      </c>
      <c r="DU41" s="198" t="s">
        <v>165</v>
      </c>
      <c r="DV41" s="198" t="s">
        <v>165</v>
      </c>
      <c r="DW41" s="198" t="s">
        <v>165</v>
      </c>
      <c r="DX41" s="198" t="s">
        <v>165</v>
      </c>
    </row>
    <row r="42" spans="74:128" x14ac:dyDescent="0.3">
      <c r="BV42" s="253" t="s">
        <v>588</v>
      </c>
      <c r="CM42">
        <v>1996</v>
      </c>
      <c r="CN42" s="247">
        <v>3059</v>
      </c>
      <c r="CR42">
        <v>1993</v>
      </c>
      <c r="CT42" s="198" t="s">
        <v>165</v>
      </c>
      <c r="CU42" s="243">
        <v>1217</v>
      </c>
      <c r="CV42">
        <v>3732</v>
      </c>
      <c r="CX42" s="198" t="s">
        <v>165</v>
      </c>
      <c r="CZ42" s="198" t="s">
        <v>165</v>
      </c>
      <c r="DD42" s="198" t="s">
        <v>165</v>
      </c>
      <c r="DH42" s="198" t="s">
        <v>165</v>
      </c>
      <c r="DI42" s="198"/>
      <c r="DJ42" s="198" t="s">
        <v>165</v>
      </c>
      <c r="DL42">
        <v>3554</v>
      </c>
      <c r="DN42" s="198" t="s">
        <v>165</v>
      </c>
    </row>
    <row r="43" spans="74:128" x14ac:dyDescent="0.3">
      <c r="CM43">
        <v>1992</v>
      </c>
      <c r="CN43" s="247">
        <v>3514</v>
      </c>
      <c r="CR43">
        <v>1992</v>
      </c>
      <c r="CT43" s="198" t="s">
        <v>165</v>
      </c>
      <c r="CU43" s="242">
        <v>1398</v>
      </c>
      <c r="CV43">
        <v>4287</v>
      </c>
      <c r="CX43" s="198" t="s">
        <v>165</v>
      </c>
      <c r="CZ43" s="198" t="s">
        <v>165</v>
      </c>
      <c r="DD43" s="198" t="s">
        <v>165</v>
      </c>
      <c r="DH43" s="198" t="s">
        <v>165</v>
      </c>
      <c r="DI43" s="198"/>
      <c r="DJ43" s="198" t="s">
        <v>165</v>
      </c>
      <c r="DL43">
        <v>3679</v>
      </c>
      <c r="DN43" s="198" t="s">
        <v>165</v>
      </c>
    </row>
    <row r="44" spans="74:128" x14ac:dyDescent="0.3">
      <c r="CM44">
        <v>1991</v>
      </c>
      <c r="CN44" s="247">
        <v>4584</v>
      </c>
      <c r="CR44">
        <v>1991</v>
      </c>
      <c r="CU44" s="243">
        <v>1823</v>
      </c>
      <c r="CV44">
        <v>5592</v>
      </c>
      <c r="DL44">
        <v>4287</v>
      </c>
    </row>
    <row r="45" spans="74:128" x14ac:dyDescent="0.3">
      <c r="CM45">
        <v>1990</v>
      </c>
      <c r="CN45" s="247">
        <v>3388</v>
      </c>
      <c r="CR45">
        <v>1990</v>
      </c>
      <c r="CU45" s="242">
        <v>1347</v>
      </c>
      <c r="CV45">
        <v>4133</v>
      </c>
      <c r="DL45">
        <v>6988</v>
      </c>
    </row>
    <row r="46" spans="74:128" x14ac:dyDescent="0.3">
      <c r="CM46" s="248"/>
      <c r="CN46" s="247"/>
      <c r="CR46">
        <v>1989</v>
      </c>
      <c r="CU46" s="243">
        <v>1135</v>
      </c>
      <c r="CV46">
        <v>3481</v>
      </c>
      <c r="DL46">
        <v>3852</v>
      </c>
    </row>
    <row r="47" spans="74:128" x14ac:dyDescent="0.3">
      <c r="CM47" s="248"/>
      <c r="CN47" s="247"/>
      <c r="CR47">
        <v>1988</v>
      </c>
      <c r="CU47" s="242">
        <v>1229</v>
      </c>
      <c r="CV47">
        <v>3769</v>
      </c>
      <c r="DL47">
        <v>6613</v>
      </c>
    </row>
    <row r="48" spans="74:128" x14ac:dyDescent="0.3">
      <c r="CM48" s="248"/>
      <c r="CN48" s="247"/>
      <c r="CR48">
        <v>1987</v>
      </c>
      <c r="CU48" s="243">
        <v>908</v>
      </c>
      <c r="CV48">
        <v>2785</v>
      </c>
      <c r="DL48">
        <v>2933</v>
      </c>
    </row>
    <row r="49" spans="91:116" x14ac:dyDescent="0.3">
      <c r="CM49" s="248"/>
      <c r="CN49" s="247"/>
      <c r="CR49">
        <v>1986</v>
      </c>
      <c r="CU49" s="242">
        <v>715</v>
      </c>
      <c r="CV49">
        <v>2192</v>
      </c>
      <c r="DL49">
        <v>1736</v>
      </c>
    </row>
    <row r="50" spans="91:116" x14ac:dyDescent="0.3">
      <c r="CR50">
        <v>1985</v>
      </c>
      <c r="CU50" s="243">
        <v>674</v>
      </c>
      <c r="CV50">
        <v>2067</v>
      </c>
      <c r="DL50">
        <v>808</v>
      </c>
    </row>
    <row r="51" spans="91:116" x14ac:dyDescent="0.3">
      <c r="CR51">
        <v>1984</v>
      </c>
      <c r="CU51" s="242">
        <v>1087</v>
      </c>
      <c r="CV51">
        <v>3334</v>
      </c>
      <c r="DL51">
        <v>921</v>
      </c>
    </row>
    <row r="52" spans="91:116" x14ac:dyDescent="0.3">
      <c r="CR52">
        <v>1983</v>
      </c>
      <c r="CU52" s="243">
        <v>1033</v>
      </c>
      <c r="CV52">
        <v>3170</v>
      </c>
      <c r="DL52">
        <v>1405</v>
      </c>
    </row>
    <row r="53" spans="91:116" x14ac:dyDescent="0.3">
      <c r="CR53">
        <v>1982</v>
      </c>
      <c r="CU53" s="242">
        <v>1157</v>
      </c>
      <c r="CV53">
        <v>3550</v>
      </c>
      <c r="DL53">
        <v>1706</v>
      </c>
    </row>
    <row r="54" spans="91:116" x14ac:dyDescent="0.3">
      <c r="CR54">
        <v>1981</v>
      </c>
      <c r="CU54" s="243">
        <v>1187</v>
      </c>
      <c r="CV54">
        <v>3642</v>
      </c>
      <c r="DL54">
        <v>1087</v>
      </c>
    </row>
    <row r="55" spans="91:116" x14ac:dyDescent="0.3">
      <c r="CR55">
        <v>1980</v>
      </c>
      <c r="CU55" s="242">
        <v>844</v>
      </c>
      <c r="CV55">
        <v>2589</v>
      </c>
      <c r="DL55">
        <v>1972</v>
      </c>
    </row>
    <row r="56" spans="91:116" x14ac:dyDescent="0.3">
      <c r="CR56">
        <v>1979</v>
      </c>
      <c r="CU56" s="243">
        <v>235</v>
      </c>
      <c r="CV56">
        <v>722</v>
      </c>
      <c r="DL56">
        <v>1107</v>
      </c>
    </row>
    <row r="57" spans="91:116" x14ac:dyDescent="0.3">
      <c r="CR57">
        <v>1978</v>
      </c>
      <c r="CU57" s="242">
        <v>166</v>
      </c>
      <c r="CV57">
        <v>508</v>
      </c>
      <c r="DL57">
        <v>3020</v>
      </c>
    </row>
    <row r="58" spans="91:116" x14ac:dyDescent="0.3">
      <c r="CR58">
        <v>1977</v>
      </c>
      <c r="CU58" s="243">
        <v>173</v>
      </c>
      <c r="CV58">
        <v>531</v>
      </c>
      <c r="DL58">
        <v>2650</v>
      </c>
    </row>
    <row r="59" spans="91:116" x14ac:dyDescent="0.3">
      <c r="CR59">
        <v>1976</v>
      </c>
      <c r="CU59" s="242">
        <v>172</v>
      </c>
      <c r="CV59">
        <v>528</v>
      </c>
      <c r="DL59">
        <v>1833</v>
      </c>
    </row>
    <row r="60" spans="91:116" x14ac:dyDescent="0.3">
      <c r="CR60">
        <v>1975</v>
      </c>
      <c r="CU60" s="243">
        <v>144</v>
      </c>
      <c r="CV60">
        <v>442</v>
      </c>
      <c r="DL60">
        <v>1300</v>
      </c>
    </row>
    <row r="61" spans="91:116" ht="15" thickBot="1" x14ac:dyDescent="0.35">
      <c r="CR61">
        <v>1974</v>
      </c>
      <c r="CU61" s="244">
        <v>179</v>
      </c>
      <c r="CV61">
        <v>549</v>
      </c>
      <c r="DL61">
        <v>3657</v>
      </c>
    </row>
    <row r="62" spans="91:116" x14ac:dyDescent="0.3">
      <c r="CR62">
        <v>1973</v>
      </c>
      <c r="DL62">
        <v>3742</v>
      </c>
    </row>
    <row r="63" spans="91:116" x14ac:dyDescent="0.3">
      <c r="CR63">
        <v>1972</v>
      </c>
      <c r="DL63">
        <v>1478</v>
      </c>
    </row>
    <row r="64" spans="91:116" x14ac:dyDescent="0.3">
      <c r="CR64">
        <v>1971</v>
      </c>
      <c r="DL64">
        <v>3451</v>
      </c>
    </row>
    <row r="65" spans="90:116" x14ac:dyDescent="0.3">
      <c r="CR65">
        <v>1970</v>
      </c>
      <c r="DL65">
        <v>2857</v>
      </c>
    </row>
    <row r="69" spans="90:116" x14ac:dyDescent="0.3">
      <c r="CL69" s="76"/>
      <c r="CR69" s="78"/>
    </row>
    <row r="70" spans="90:116" x14ac:dyDescent="0.3">
      <c r="CL70" s="78"/>
      <c r="CR70" s="78"/>
    </row>
    <row r="71" spans="90:116" x14ac:dyDescent="0.3">
      <c r="CL71" s="78"/>
      <c r="CR71" s="78"/>
    </row>
    <row r="72" spans="90:116" x14ac:dyDescent="0.3">
      <c r="CL72" s="78"/>
      <c r="CR72" s="78"/>
    </row>
    <row r="73" spans="90:116" x14ac:dyDescent="0.3">
      <c r="CL73" s="78"/>
      <c r="CR73" s="78"/>
    </row>
    <row r="74" spans="90:116" x14ac:dyDescent="0.3">
      <c r="CL74" s="78"/>
      <c r="CR74" s="78"/>
    </row>
    <row r="75" spans="90:116" x14ac:dyDescent="0.3">
      <c r="CL75" s="78"/>
      <c r="CR75" s="78"/>
    </row>
    <row r="76" spans="90:116" x14ac:dyDescent="0.3">
      <c r="CL76" s="78"/>
      <c r="CR76" s="78"/>
    </row>
    <row r="77" spans="90:116" x14ac:dyDescent="0.3">
      <c r="CL77" s="78"/>
      <c r="CR77" s="78"/>
    </row>
    <row r="78" spans="90:116" x14ac:dyDescent="0.3">
      <c r="CL78" s="78"/>
      <c r="CR78" s="78"/>
    </row>
    <row r="79" spans="90:116" x14ac:dyDescent="0.3">
      <c r="CL79" s="78"/>
      <c r="CR79" s="78"/>
    </row>
    <row r="80" spans="90:116" x14ac:dyDescent="0.3">
      <c r="CL80" s="78"/>
      <c r="CR80" s="78"/>
    </row>
    <row r="81" spans="90:96" x14ac:dyDescent="0.3">
      <c r="CL81" s="78"/>
      <c r="CR81" s="78"/>
    </row>
    <row r="82" spans="90:96" x14ac:dyDescent="0.3">
      <c r="CL82" s="78"/>
      <c r="CM82" s="248"/>
      <c r="CN82" s="247"/>
      <c r="CR82" s="78"/>
    </row>
    <row r="83" spans="90:96" x14ac:dyDescent="0.3">
      <c r="CL83" s="78"/>
      <c r="CM83" s="248"/>
      <c r="CN83" s="247"/>
      <c r="CR83" s="78"/>
    </row>
    <row r="84" spans="90:96" x14ac:dyDescent="0.3">
      <c r="CL84" s="78"/>
      <c r="CM84" s="248"/>
      <c r="CN84" s="247"/>
      <c r="CR84" s="78"/>
    </row>
    <row r="85" spans="90:96" x14ac:dyDescent="0.3">
      <c r="CL85" s="78"/>
      <c r="CM85" s="248"/>
      <c r="CN85" s="247"/>
      <c r="CR85" s="78"/>
    </row>
    <row r="86" spans="90:96" x14ac:dyDescent="0.3">
      <c r="CL86" s="78"/>
      <c r="CM86" s="248"/>
      <c r="CN86" s="247"/>
      <c r="CR86" s="78"/>
    </row>
    <row r="87" spans="90:96" x14ac:dyDescent="0.3">
      <c r="CL87" s="78"/>
      <c r="CM87" s="248"/>
      <c r="CN87" s="247"/>
      <c r="CR87" s="78"/>
    </row>
    <row r="88" spans="90:96" x14ac:dyDescent="0.3">
      <c r="CL88" s="78"/>
      <c r="CM88" s="248"/>
      <c r="CN88" s="247"/>
      <c r="CR88" s="78"/>
    </row>
    <row r="89" spans="90:96" x14ac:dyDescent="0.3">
      <c r="CL89" s="78"/>
      <c r="CM89" s="248"/>
      <c r="CN89" s="247"/>
      <c r="CR89" s="78"/>
    </row>
    <row r="90" spans="90:96" x14ac:dyDescent="0.3">
      <c r="CL90" s="75"/>
      <c r="CM90" s="248"/>
      <c r="CN90" s="247"/>
      <c r="CR90" s="78"/>
    </row>
    <row r="91" spans="90:96" x14ac:dyDescent="0.3">
      <c r="CL91" s="75"/>
      <c r="CM91" s="248"/>
      <c r="CN91" s="247"/>
      <c r="CR91" s="78"/>
    </row>
    <row r="92" spans="90:96" x14ac:dyDescent="0.3">
      <c r="CL92" s="75"/>
      <c r="CR92" s="75"/>
    </row>
    <row r="93" spans="90:96" x14ac:dyDescent="0.3">
      <c r="CL93" s="75"/>
      <c r="CR93" s="75"/>
    </row>
    <row r="94" spans="90:96" x14ac:dyDescent="0.3">
      <c r="CL94" s="75"/>
      <c r="CR94" s="75"/>
    </row>
    <row r="95" spans="90:96" x14ac:dyDescent="0.3">
      <c r="CL95" s="75"/>
      <c r="CR95" s="75"/>
    </row>
    <row r="117" spans="74:74" x14ac:dyDescent="0.3">
      <c r="BV117" s="253" t="s">
        <v>589</v>
      </c>
    </row>
    <row r="181" spans="74:74" x14ac:dyDescent="0.3">
      <c r="BV181" s="253" t="s">
        <v>590</v>
      </c>
    </row>
    <row r="260" spans="74:74" x14ac:dyDescent="0.3">
      <c r="BV260" s="253" t="s">
        <v>591</v>
      </c>
    </row>
    <row r="312" spans="74:74" x14ac:dyDescent="0.3">
      <c r="BV312" s="253" t="s">
        <v>592</v>
      </c>
    </row>
    <row r="392" spans="74:74" x14ac:dyDescent="0.3">
      <c r="BV392" s="253" t="s">
        <v>593</v>
      </c>
    </row>
  </sheetData>
  <mergeCells count="8">
    <mergeCell ref="H11:K11"/>
    <mergeCell ref="DD14:DF14"/>
    <mergeCell ref="DJ14:DL14"/>
    <mergeCell ref="DN14:DO14"/>
    <mergeCell ref="B12:F12"/>
    <mergeCell ref="B13:D13"/>
    <mergeCell ref="CM14:CP14"/>
    <mergeCell ref="CZ14:DB14"/>
  </mergeCells>
  <pageMargins left="0.7" right="0.7" top="0.75" bottom="0.75" header="0.3" footer="0.3"/>
  <pageSetup orientation="portrait" horizontalDpi="4294967293" verticalDpi="4294967293"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DW278"/>
  <sheetViews>
    <sheetView workbookViewId="0"/>
  </sheetViews>
  <sheetFormatPr defaultColWidth="9.109375" defaultRowHeight="15.6" x14ac:dyDescent="0.3"/>
  <cols>
    <col min="1" max="1" width="23.109375" style="231" customWidth="1"/>
    <col min="2" max="2" width="14.5546875" style="231" customWidth="1"/>
    <col min="3" max="3" width="12.109375" style="231" customWidth="1"/>
    <col min="4" max="4" width="11.33203125" style="231" customWidth="1"/>
    <col min="5" max="5" width="9.109375" style="231"/>
    <col min="6" max="6" width="10.5546875" style="231" customWidth="1"/>
    <col min="7" max="7" width="13.88671875" style="231" customWidth="1"/>
    <col min="8" max="8" width="10.6640625" style="231" customWidth="1"/>
    <col min="9" max="9" width="12.6640625" style="231" customWidth="1"/>
    <col min="10" max="10" width="9.109375" style="231"/>
    <col min="11" max="11" width="12" style="231" customWidth="1"/>
    <col min="12" max="12" width="10.109375" style="231" bestFit="1" customWidth="1"/>
    <col min="13" max="13" width="9.109375" style="231"/>
    <col min="14" max="14" width="11" style="231" customWidth="1"/>
    <col min="15" max="15" width="10.109375" style="231" customWidth="1"/>
    <col min="16" max="16" width="11.5546875" style="231" customWidth="1"/>
    <col min="17" max="17" width="12.109375" style="231" customWidth="1"/>
    <col min="18" max="18" width="9.109375" style="231"/>
    <col min="19" max="19" width="12.6640625" style="231" customWidth="1"/>
    <col min="20" max="20" width="10.109375" style="231" bestFit="1" customWidth="1"/>
    <col min="21" max="21" width="9.109375" style="231"/>
    <col min="22" max="22" width="11.109375" style="231" customWidth="1"/>
    <col min="23" max="23" width="13.6640625" style="231" customWidth="1"/>
    <col min="24" max="24" width="10.33203125" style="231" customWidth="1"/>
    <col min="25" max="25" width="10.88671875" style="231" customWidth="1"/>
    <col min="26" max="26" width="9.109375" style="231"/>
    <col min="27" max="27" width="11.88671875" style="231" customWidth="1"/>
    <col min="28" max="28" width="10.109375" style="231" bestFit="1" customWidth="1"/>
    <col min="29" max="29" width="9.109375" style="231"/>
    <col min="30" max="30" width="10.88671875" style="231" customWidth="1"/>
    <col min="31" max="31" width="13.109375" style="231" customWidth="1"/>
    <col min="32" max="32" width="11.88671875" style="231" customWidth="1"/>
    <col min="33" max="33" width="11.44140625" style="231" customWidth="1"/>
    <col min="34" max="34" width="9.109375" style="231"/>
    <col min="35" max="35" width="11.88671875" style="231" customWidth="1"/>
    <col min="36" max="36" width="10.109375" style="231" bestFit="1" customWidth="1"/>
    <col min="37" max="37" width="9.109375" style="231"/>
    <col min="38" max="38" width="10.33203125" style="231" customWidth="1"/>
    <col min="39" max="39" width="12.6640625" style="231" customWidth="1"/>
    <col min="40" max="41" width="11.5546875" style="231" customWidth="1"/>
    <col min="42" max="42" width="9.109375" style="231"/>
    <col min="43" max="43" width="11.6640625" style="231" customWidth="1"/>
    <col min="44" max="44" width="10.109375" style="231" bestFit="1" customWidth="1"/>
    <col min="45" max="45" width="10.109375" style="231" customWidth="1"/>
    <col min="46" max="46" width="15.6640625" style="297" customWidth="1"/>
    <col min="47" max="47" width="13.6640625" style="297" customWidth="1"/>
    <col min="48" max="48" width="10.5546875" style="297" customWidth="1"/>
    <col min="49" max="49" width="19.6640625" style="297" customWidth="1"/>
    <col min="50" max="50" width="11.109375" style="297" customWidth="1"/>
    <col min="51" max="51" width="0" style="297" hidden="1" customWidth="1"/>
    <col min="52" max="53" width="9.109375" style="297"/>
    <col min="54" max="77" width="10.109375" style="231" customWidth="1"/>
    <col min="78" max="78" width="9.109375" style="231"/>
    <col min="79" max="79" width="10.88671875" style="231" customWidth="1"/>
    <col min="80" max="91" width="9.109375" style="231"/>
    <col min="92" max="92" width="11.109375" style="231" customWidth="1"/>
    <col min="93" max="104" width="9.109375" style="231"/>
    <col min="105" max="105" width="11.33203125" style="231" customWidth="1"/>
    <col min="106" max="16384" width="9.109375" style="231"/>
  </cols>
  <sheetData>
    <row r="2" spans="1:126" x14ac:dyDescent="0.3">
      <c r="A2" s="231" t="s">
        <v>303</v>
      </c>
      <c r="F2" s="231" t="s">
        <v>267</v>
      </c>
      <c r="N2" s="231" t="s">
        <v>278</v>
      </c>
      <c r="V2" s="231" t="s">
        <v>281</v>
      </c>
      <c r="AD2" s="231" t="s">
        <v>282</v>
      </c>
      <c r="AL2" s="231" t="s">
        <v>298</v>
      </c>
      <c r="AT2" s="297" t="s">
        <v>673</v>
      </c>
      <c r="BB2" s="231" t="s">
        <v>311</v>
      </c>
      <c r="BE2" s="231" t="s">
        <v>312</v>
      </c>
      <c r="BL2" s="230">
        <v>2010</v>
      </c>
      <c r="BM2" s="230">
        <v>1066829</v>
      </c>
      <c r="BO2" s="231" t="s">
        <v>311</v>
      </c>
      <c r="BR2" s="231" t="s">
        <v>312</v>
      </c>
      <c r="CA2" s="231" t="s">
        <v>311</v>
      </c>
      <c r="CD2" s="231" t="s">
        <v>312</v>
      </c>
      <c r="CN2" s="231" t="s">
        <v>311</v>
      </c>
      <c r="CQ2" s="231" t="s">
        <v>312</v>
      </c>
      <c r="DA2" s="231" t="s">
        <v>311</v>
      </c>
      <c r="DD2" s="231" t="s">
        <v>312</v>
      </c>
      <c r="DL2" s="231" t="s">
        <v>311</v>
      </c>
      <c r="DO2" s="231" t="s">
        <v>312</v>
      </c>
    </row>
    <row r="3" spans="1:126" x14ac:dyDescent="0.3">
      <c r="G3" s="231" t="s">
        <v>266</v>
      </c>
      <c r="O3" s="231" t="s">
        <v>277</v>
      </c>
      <c r="AE3" s="231" t="s">
        <v>296</v>
      </c>
      <c r="AM3" s="231" t="s">
        <v>301</v>
      </c>
      <c r="BA3" s="300"/>
      <c r="BG3"/>
      <c r="BH3"/>
      <c r="BL3" s="230">
        <v>2011</v>
      </c>
      <c r="BM3" s="230">
        <v>1168090</v>
      </c>
    </row>
    <row r="4" spans="1:126" x14ac:dyDescent="0.3">
      <c r="F4" s="231" t="s">
        <v>258</v>
      </c>
      <c r="H4" s="230">
        <f>AVERAGE(L7:L14)</f>
        <v>637031.5</v>
      </c>
      <c r="J4" s="231" t="s">
        <v>259</v>
      </c>
      <c r="L4" s="230">
        <f>AVERAGE(L15:L65)</f>
        <v>862786.73333333328</v>
      </c>
      <c r="N4" s="231" t="s">
        <v>258</v>
      </c>
      <c r="P4" s="230">
        <f>AVERAGE(T7:T28)</f>
        <v>888930</v>
      </c>
      <c r="R4" s="231" t="s">
        <v>309</v>
      </c>
      <c r="T4" s="230">
        <f>AVERAGE(T35:T83)</f>
        <v>733718.30769230775</v>
      </c>
      <c r="U4" s="231">
        <f>AVERAGE(U9:U27)</f>
        <v>100010.75</v>
      </c>
      <c r="V4" s="231" t="s">
        <v>258</v>
      </c>
      <c r="X4" s="230">
        <f>AVERAGE(AB7:AB20)</f>
        <v>1028865.25</v>
      </c>
      <c r="Z4" s="231" t="s">
        <v>259</v>
      </c>
      <c r="AB4" s="230">
        <f>AVERAGE(AB21:AB64)</f>
        <v>801191.6</v>
      </c>
      <c r="AD4" s="231" t="s">
        <v>258</v>
      </c>
      <c r="AF4" s="230">
        <f>AVERAGE(AJ7:AJ34)</f>
        <v>1704760.5</v>
      </c>
      <c r="AH4" s="231" t="s">
        <v>297</v>
      </c>
      <c r="AJ4" s="230">
        <f>AVERAGE(AJ35:AK182)</f>
        <v>1884500.142857143</v>
      </c>
      <c r="AL4" s="231" t="s">
        <v>302</v>
      </c>
      <c r="AN4" s="230">
        <f>AVERAGE(AR7:AR16)</f>
        <v>607099</v>
      </c>
      <c r="AP4" s="231" t="s">
        <v>297</v>
      </c>
      <c r="AR4" s="230">
        <f>AVERAGE(AR17:AR98)</f>
        <v>1254979.4705882352</v>
      </c>
      <c r="AS4" s="230"/>
      <c r="AT4" s="297" t="s">
        <v>258</v>
      </c>
      <c r="AV4" s="300">
        <f>AVERAGE(AZ8:AZ37)</f>
        <v>99664.25</v>
      </c>
      <c r="BB4" s="239" t="s">
        <v>314</v>
      </c>
      <c r="BC4" s="230"/>
      <c r="BD4" s="230"/>
      <c r="BE4" s="230"/>
      <c r="BF4" s="230"/>
      <c r="BG4" s="230"/>
      <c r="BH4" s="230"/>
      <c r="BI4" s="230"/>
      <c r="BJ4" s="230"/>
      <c r="BK4" s="230"/>
      <c r="BL4" s="230">
        <v>2012</v>
      </c>
      <c r="BM4" s="230">
        <v>889881</v>
      </c>
      <c r="BN4" s="230"/>
      <c r="BO4" s="239" t="s">
        <v>315</v>
      </c>
      <c r="BQ4" s="230"/>
      <c r="BR4" s="230"/>
      <c r="BW4" s="230"/>
      <c r="BX4" s="230"/>
      <c r="BY4" s="230"/>
      <c r="CA4" s="239" t="s">
        <v>313</v>
      </c>
      <c r="CN4" s="239" t="s">
        <v>316</v>
      </c>
      <c r="DA4" s="239" t="s">
        <v>317</v>
      </c>
      <c r="DL4" s="239" t="s">
        <v>625</v>
      </c>
    </row>
    <row r="5" spans="1:126" ht="16.2" thickBot="1" x14ac:dyDescent="0.35">
      <c r="BI5" s="239"/>
      <c r="BL5" s="230">
        <v>2013</v>
      </c>
      <c r="BM5" s="230">
        <v>968710</v>
      </c>
    </row>
    <row r="6" spans="1:126" ht="63" thickBot="1" x14ac:dyDescent="0.35">
      <c r="A6" s="235" t="s">
        <v>6</v>
      </c>
      <c r="B6" s="235" t="s">
        <v>308</v>
      </c>
      <c r="C6" s="235" t="s">
        <v>304</v>
      </c>
      <c r="D6" s="235" t="s">
        <v>305</v>
      </c>
      <c r="F6" s="232" t="s">
        <v>256</v>
      </c>
      <c r="G6" s="232" t="s">
        <v>249</v>
      </c>
      <c r="H6" s="232" t="s">
        <v>250</v>
      </c>
      <c r="I6" s="232" t="s">
        <v>260</v>
      </c>
      <c r="J6" s="232" t="s">
        <v>257</v>
      </c>
      <c r="K6" s="232" t="s">
        <v>264</v>
      </c>
      <c r="L6" s="235" t="s">
        <v>265</v>
      </c>
      <c r="N6" s="232" t="s">
        <v>256</v>
      </c>
      <c r="O6" s="232" t="s">
        <v>249</v>
      </c>
      <c r="P6" s="232" t="s">
        <v>250</v>
      </c>
      <c r="Q6" s="232" t="s">
        <v>260</v>
      </c>
      <c r="R6" s="232" t="s">
        <v>257</v>
      </c>
      <c r="S6" s="232" t="s">
        <v>264</v>
      </c>
      <c r="T6" s="235" t="s">
        <v>265</v>
      </c>
      <c r="U6" s="293" t="s">
        <v>636</v>
      </c>
      <c r="V6" s="232" t="s">
        <v>263</v>
      </c>
      <c r="W6" s="232" t="s">
        <v>249</v>
      </c>
      <c r="X6" s="232" t="s">
        <v>250</v>
      </c>
      <c r="Y6" s="232" t="s">
        <v>260</v>
      </c>
      <c r="Z6" s="232" t="s">
        <v>257</v>
      </c>
      <c r="AA6" s="232" t="s">
        <v>264</v>
      </c>
      <c r="AB6" s="235" t="s">
        <v>265</v>
      </c>
      <c r="AD6" s="232" t="s">
        <v>256</v>
      </c>
      <c r="AE6" s="232" t="s">
        <v>249</v>
      </c>
      <c r="AF6" s="232" t="s">
        <v>250</v>
      </c>
      <c r="AG6" s="232" t="s">
        <v>260</v>
      </c>
      <c r="AH6" s="232" t="s">
        <v>257</v>
      </c>
      <c r="AI6" s="232" t="s">
        <v>295</v>
      </c>
      <c r="AJ6" s="235" t="s">
        <v>265</v>
      </c>
      <c r="AL6" s="232" t="s">
        <v>256</v>
      </c>
      <c r="AM6" s="232" t="s">
        <v>249</v>
      </c>
      <c r="AN6" s="232" t="s">
        <v>250</v>
      </c>
      <c r="AO6" s="232" t="s">
        <v>260</v>
      </c>
      <c r="AP6" s="232" t="s">
        <v>257</v>
      </c>
      <c r="AQ6" s="232" t="s">
        <v>295</v>
      </c>
      <c r="AR6" s="235" t="s">
        <v>265</v>
      </c>
      <c r="AS6" s="235"/>
      <c r="AT6" s="296" t="s">
        <v>644</v>
      </c>
      <c r="AU6" s="296" t="s">
        <v>645</v>
      </c>
      <c r="AV6" s="296" t="s">
        <v>210</v>
      </c>
      <c r="AW6" s="296" t="s">
        <v>646</v>
      </c>
      <c r="AX6" s="296" t="s">
        <v>647</v>
      </c>
      <c r="BB6" s="235"/>
      <c r="BC6" s="235"/>
      <c r="BD6" s="235"/>
      <c r="BE6" s="235"/>
      <c r="BF6" s="235"/>
      <c r="BG6" s="235"/>
      <c r="BH6" s="235"/>
      <c r="BI6" s="235"/>
      <c r="BJ6" s="235"/>
      <c r="BK6" s="235"/>
      <c r="BL6" s="230">
        <v>2014</v>
      </c>
      <c r="BM6" s="230">
        <v>743852</v>
      </c>
      <c r="BN6" s="235"/>
      <c r="BO6" s="235"/>
      <c r="BP6" s="235"/>
      <c r="BQ6" s="235"/>
      <c r="BR6" s="235"/>
      <c r="BS6" s="235"/>
      <c r="BT6" s="235"/>
      <c r="BU6" s="235"/>
      <c r="BV6" s="235"/>
      <c r="BW6" s="235"/>
      <c r="BX6" s="235"/>
      <c r="BY6" s="235"/>
      <c r="CB6"/>
      <c r="DL6" s="239" t="s">
        <v>316</v>
      </c>
    </row>
    <row r="7" spans="1:126" ht="40.200000000000003" thickBot="1" x14ac:dyDescent="0.35">
      <c r="A7" s="236" t="s">
        <v>246</v>
      </c>
      <c r="B7" s="238">
        <v>600000</v>
      </c>
      <c r="C7" s="237" t="s">
        <v>306</v>
      </c>
      <c r="D7" s="238">
        <v>637032</v>
      </c>
      <c r="F7" s="233">
        <v>2018</v>
      </c>
      <c r="G7" s="233" t="s">
        <v>251</v>
      </c>
      <c r="H7" s="233" t="s">
        <v>246</v>
      </c>
      <c r="I7" s="233" t="s">
        <v>253</v>
      </c>
      <c r="J7" s="233" t="s">
        <v>252</v>
      </c>
      <c r="K7" s="233">
        <v>240000</v>
      </c>
      <c r="L7" s="230"/>
      <c r="N7" s="233">
        <v>2018</v>
      </c>
      <c r="O7" s="233" t="s">
        <v>251</v>
      </c>
      <c r="P7" s="233" t="s">
        <v>268</v>
      </c>
      <c r="Q7" s="233" t="s">
        <v>269</v>
      </c>
      <c r="R7" s="233" t="s">
        <v>252</v>
      </c>
      <c r="S7" s="233">
        <v>50000</v>
      </c>
      <c r="T7" s="230"/>
      <c r="V7" s="233">
        <v>2019</v>
      </c>
      <c r="W7" s="233" t="s">
        <v>254</v>
      </c>
      <c r="X7" s="233" t="s">
        <v>275</v>
      </c>
      <c r="Y7" s="233" t="s">
        <v>275</v>
      </c>
      <c r="Z7" s="233" t="s">
        <v>252</v>
      </c>
      <c r="AA7" s="233">
        <v>300000</v>
      </c>
      <c r="AB7" s="230"/>
      <c r="AD7" s="233">
        <v>2019</v>
      </c>
      <c r="AE7" s="233" t="s">
        <v>254</v>
      </c>
      <c r="AF7" s="233" t="s">
        <v>283</v>
      </c>
      <c r="AG7" s="233" t="s">
        <v>284</v>
      </c>
      <c r="AH7" s="233" t="s">
        <v>252</v>
      </c>
      <c r="AI7" s="233">
        <v>300000</v>
      </c>
      <c r="AJ7" s="230"/>
      <c r="AL7" s="233">
        <v>2018</v>
      </c>
      <c r="AM7" s="233" t="s">
        <v>251</v>
      </c>
      <c r="AN7" s="233" t="s">
        <v>248</v>
      </c>
      <c r="AO7" s="233" t="s">
        <v>248</v>
      </c>
      <c r="AP7" s="233" t="s">
        <v>252</v>
      </c>
      <c r="AQ7" s="233">
        <v>201000</v>
      </c>
      <c r="AR7" s="230"/>
      <c r="AS7" s="230"/>
      <c r="AT7" s="298" t="s">
        <v>648</v>
      </c>
      <c r="AU7" s="298" t="s">
        <v>111</v>
      </c>
      <c r="AV7" s="298" t="s">
        <v>649</v>
      </c>
      <c r="AW7" s="298" t="s">
        <v>650</v>
      </c>
      <c r="AX7" s="299">
        <v>604970</v>
      </c>
      <c r="BB7" s="230"/>
      <c r="BC7" s="230"/>
      <c r="BD7" s="230"/>
      <c r="BE7" s="230"/>
      <c r="BF7" s="230"/>
      <c r="BG7" s="230"/>
      <c r="BH7" s="230"/>
      <c r="BI7" s="230"/>
      <c r="BJ7" s="230"/>
      <c r="BK7" s="230"/>
      <c r="BL7" s="230">
        <v>2015</v>
      </c>
      <c r="BM7" s="230">
        <v>636525</v>
      </c>
      <c r="BN7" s="230"/>
      <c r="BO7" s="230"/>
      <c r="BP7" s="230"/>
      <c r="BQ7" s="230"/>
      <c r="BR7" s="230"/>
      <c r="BS7" s="230"/>
      <c r="BT7" s="230"/>
      <c r="BU7" s="230"/>
      <c r="BV7" s="230"/>
      <c r="BW7" s="230"/>
      <c r="BX7" s="230"/>
      <c r="BY7" s="230"/>
    </row>
    <row r="8" spans="1:126" ht="40.200000000000003" thickBot="1" x14ac:dyDescent="0.35">
      <c r="A8" s="236" t="s">
        <v>268</v>
      </c>
      <c r="B8" s="238">
        <v>700000</v>
      </c>
      <c r="C8" s="237" t="s">
        <v>310</v>
      </c>
      <c r="D8" s="238">
        <v>888930</v>
      </c>
      <c r="F8" s="234">
        <v>2018</v>
      </c>
      <c r="G8" s="234" t="s">
        <v>251</v>
      </c>
      <c r="H8" s="234" t="s">
        <v>246</v>
      </c>
      <c r="I8" s="234" t="s">
        <v>53</v>
      </c>
      <c r="J8" s="234" t="s">
        <v>252</v>
      </c>
      <c r="K8" s="234">
        <v>480000</v>
      </c>
      <c r="L8" s="230">
        <f>SUM(K7:K8)</f>
        <v>720000</v>
      </c>
      <c r="N8" s="234">
        <v>2018</v>
      </c>
      <c r="O8" s="234" t="s">
        <v>251</v>
      </c>
      <c r="P8" s="234" t="s">
        <v>268</v>
      </c>
      <c r="Q8" s="234" t="s">
        <v>269</v>
      </c>
      <c r="R8" s="234" t="s">
        <v>252</v>
      </c>
      <c r="S8" s="234">
        <v>635000</v>
      </c>
      <c r="T8" s="230"/>
      <c r="V8" s="234">
        <v>2018</v>
      </c>
      <c r="W8" s="234" t="s">
        <v>254</v>
      </c>
      <c r="X8" s="234" t="s">
        <v>275</v>
      </c>
      <c r="Y8" s="234" t="s">
        <v>275</v>
      </c>
      <c r="Z8" s="234" t="s">
        <v>252</v>
      </c>
      <c r="AA8" s="234">
        <v>298789</v>
      </c>
      <c r="AB8" s="230"/>
      <c r="AD8" s="234">
        <v>2018</v>
      </c>
      <c r="AE8" s="234" t="s">
        <v>254</v>
      </c>
      <c r="AF8" s="234" t="s">
        <v>283</v>
      </c>
      <c r="AG8" s="234" t="s">
        <v>284</v>
      </c>
      <c r="AH8" s="234" t="s">
        <v>252</v>
      </c>
      <c r="AI8" s="234">
        <v>198750</v>
      </c>
      <c r="AJ8" s="230"/>
      <c r="AL8" s="234">
        <v>2018</v>
      </c>
      <c r="AM8" s="234" t="s">
        <v>251</v>
      </c>
      <c r="AN8" s="234" t="s">
        <v>248</v>
      </c>
      <c r="AO8" s="234" t="s">
        <v>248</v>
      </c>
      <c r="AP8" s="234" t="s">
        <v>252</v>
      </c>
      <c r="AQ8" s="234">
        <v>202000</v>
      </c>
      <c r="AR8" s="230"/>
      <c r="AS8" s="230"/>
      <c r="AT8" s="298" t="s">
        <v>651</v>
      </c>
      <c r="AU8" s="298" t="s">
        <v>111</v>
      </c>
      <c r="AV8" s="298" t="s">
        <v>652</v>
      </c>
      <c r="AW8" s="298" t="s">
        <v>653</v>
      </c>
      <c r="AX8" s="299">
        <v>104400</v>
      </c>
      <c r="AZ8" s="300">
        <f>AX8</f>
        <v>104400</v>
      </c>
      <c r="BB8" s="230"/>
      <c r="BC8" s="230"/>
      <c r="BD8" s="230"/>
      <c r="BE8" s="230"/>
      <c r="BF8" s="230"/>
      <c r="BG8" s="230"/>
      <c r="BH8" s="230"/>
      <c r="BI8" s="230"/>
      <c r="BJ8" s="230"/>
      <c r="BK8" s="230"/>
      <c r="BL8" s="230">
        <v>2016</v>
      </c>
      <c r="BM8" s="230">
        <v>737634</v>
      </c>
      <c r="BN8" s="230"/>
      <c r="BO8" s="230"/>
      <c r="BP8" s="230"/>
      <c r="BQ8" s="230"/>
      <c r="BR8" s="230"/>
      <c r="BS8" s="230"/>
      <c r="BT8" s="230"/>
      <c r="BU8" s="230"/>
      <c r="BV8" s="230"/>
      <c r="BW8" s="230"/>
      <c r="BX8" s="230"/>
      <c r="BY8" s="230"/>
      <c r="DV8"/>
    </row>
    <row r="9" spans="1:126" ht="40.200000000000003" thickBot="1" x14ac:dyDescent="0.35">
      <c r="A9" s="236" t="s">
        <v>247</v>
      </c>
      <c r="B9" s="238">
        <v>1000000</v>
      </c>
      <c r="C9" s="237" t="s">
        <v>306</v>
      </c>
      <c r="D9" s="238">
        <v>1028865</v>
      </c>
      <c r="F9" s="233">
        <v>2017</v>
      </c>
      <c r="G9" s="233" t="s">
        <v>251</v>
      </c>
      <c r="H9" s="233" t="s">
        <v>261</v>
      </c>
      <c r="I9" s="233" t="s">
        <v>253</v>
      </c>
      <c r="J9" s="233" t="s">
        <v>262</v>
      </c>
      <c r="K9" s="233">
        <v>216217</v>
      </c>
      <c r="L9" s="230"/>
      <c r="N9" s="233">
        <v>2018</v>
      </c>
      <c r="O9" s="233" t="s">
        <v>251</v>
      </c>
      <c r="P9" s="233" t="s">
        <v>268</v>
      </c>
      <c r="Q9" s="233" t="s">
        <v>270</v>
      </c>
      <c r="R9" s="233" t="s">
        <v>252</v>
      </c>
      <c r="S9" s="233">
        <v>100000</v>
      </c>
      <c r="T9" s="230">
        <f>SUM(S7:S9)</f>
        <v>785000</v>
      </c>
      <c r="U9" s="231">
        <f>S9</f>
        <v>100000</v>
      </c>
      <c r="V9" s="233">
        <v>2018</v>
      </c>
      <c r="W9" s="233" t="s">
        <v>251</v>
      </c>
      <c r="X9" s="233" t="s">
        <v>275</v>
      </c>
      <c r="Y9" s="233" t="s">
        <v>275</v>
      </c>
      <c r="Z9" s="233" t="s">
        <v>252</v>
      </c>
      <c r="AA9" s="233">
        <v>300000</v>
      </c>
      <c r="AB9" s="230"/>
      <c r="AD9" s="233">
        <v>2018</v>
      </c>
      <c r="AE9" s="233" t="s">
        <v>251</v>
      </c>
      <c r="AF9" s="233" t="s">
        <v>283</v>
      </c>
      <c r="AG9" s="233" t="s">
        <v>285</v>
      </c>
      <c r="AH9" s="233" t="s">
        <v>252</v>
      </c>
      <c r="AI9" s="233">
        <v>267000</v>
      </c>
      <c r="AJ9" s="230"/>
      <c r="AL9" s="233">
        <v>2018</v>
      </c>
      <c r="AM9" s="233" t="s">
        <v>251</v>
      </c>
      <c r="AN9" s="233" t="s">
        <v>248</v>
      </c>
      <c r="AO9" s="233" t="s">
        <v>248</v>
      </c>
      <c r="AP9" s="233" t="s">
        <v>252</v>
      </c>
      <c r="AQ9" s="233">
        <v>202000</v>
      </c>
      <c r="AR9" s="230">
        <f>SUM(AQ7:AQ9)</f>
        <v>605000</v>
      </c>
      <c r="AS9" s="230"/>
      <c r="AT9" s="298" t="s">
        <v>654</v>
      </c>
      <c r="AU9" s="298" t="s">
        <v>111</v>
      </c>
      <c r="AV9" s="298" t="s">
        <v>655</v>
      </c>
      <c r="AW9" s="298" t="s">
        <v>656</v>
      </c>
      <c r="AX9" s="299">
        <v>91418</v>
      </c>
      <c r="BB9" s="230"/>
      <c r="BC9" s="230"/>
      <c r="BD9" s="230"/>
      <c r="BE9" s="230"/>
      <c r="BF9" s="230"/>
      <c r="BG9" s="230"/>
      <c r="BH9" s="230"/>
      <c r="BI9" s="230"/>
      <c r="BJ9" s="230"/>
      <c r="BK9" s="230"/>
      <c r="BL9" s="230">
        <v>2017</v>
      </c>
      <c r="BM9" s="230">
        <v>775026</v>
      </c>
      <c r="BN9" s="230"/>
      <c r="BO9" s="230"/>
      <c r="BP9" s="230"/>
      <c r="BQ9" s="230"/>
      <c r="BR9" s="230"/>
      <c r="BS9" s="230"/>
      <c r="BT9" s="230"/>
      <c r="BU9" s="230"/>
      <c r="BV9" s="230"/>
      <c r="BW9" s="230"/>
      <c r="BX9" s="230"/>
      <c r="BY9" s="230"/>
    </row>
    <row r="10" spans="1:126" ht="53.4" thickBot="1" x14ac:dyDescent="0.35">
      <c r="A10" s="236" t="s">
        <v>283</v>
      </c>
      <c r="B10" s="238">
        <v>1900000</v>
      </c>
      <c r="C10" s="237" t="s">
        <v>306</v>
      </c>
      <c r="D10" s="238">
        <v>1704761</v>
      </c>
      <c r="F10" s="234">
        <v>2017</v>
      </c>
      <c r="G10" s="234" t="s">
        <v>251</v>
      </c>
      <c r="H10" s="234" t="s">
        <v>246</v>
      </c>
      <c r="I10" s="234" t="s">
        <v>246</v>
      </c>
      <c r="J10" s="234" t="s">
        <v>252</v>
      </c>
      <c r="K10" s="234">
        <v>428161</v>
      </c>
      <c r="L10" s="230">
        <f>SUM(K9:K10)</f>
        <v>644378</v>
      </c>
      <c r="N10" s="234">
        <v>2017</v>
      </c>
      <c r="O10" s="234" t="s">
        <v>254</v>
      </c>
      <c r="P10" s="234" t="s">
        <v>268</v>
      </c>
      <c r="Q10" s="234" t="s">
        <v>269</v>
      </c>
      <c r="R10" s="234" t="s">
        <v>252</v>
      </c>
      <c r="S10" s="234">
        <v>30977</v>
      </c>
      <c r="T10" s="230"/>
      <c r="V10" s="234">
        <v>2018</v>
      </c>
      <c r="W10" s="234" t="s">
        <v>251</v>
      </c>
      <c r="X10" s="234" t="s">
        <v>275</v>
      </c>
      <c r="Y10" s="234" t="s">
        <v>275</v>
      </c>
      <c r="Z10" s="234" t="s">
        <v>252</v>
      </c>
      <c r="AA10" s="234">
        <v>421000</v>
      </c>
      <c r="AB10" s="230">
        <f>SUM(AA8:AA10)</f>
        <v>1019789</v>
      </c>
      <c r="AD10" s="234">
        <v>2018</v>
      </c>
      <c r="AE10" s="234" t="s">
        <v>251</v>
      </c>
      <c r="AF10" s="234" t="s">
        <v>283</v>
      </c>
      <c r="AG10" s="234" t="s">
        <v>284</v>
      </c>
      <c r="AH10" s="234" t="s">
        <v>252</v>
      </c>
      <c r="AI10" s="234">
        <v>670000</v>
      </c>
      <c r="AJ10" s="230"/>
      <c r="AL10" s="234">
        <v>2017</v>
      </c>
      <c r="AM10" s="234" t="s">
        <v>251</v>
      </c>
      <c r="AN10" s="234" t="s">
        <v>248</v>
      </c>
      <c r="AO10" s="234" t="s">
        <v>248</v>
      </c>
      <c r="AP10" s="234" t="s">
        <v>252</v>
      </c>
      <c r="AQ10" s="234">
        <v>201391</v>
      </c>
      <c r="AR10" s="230"/>
      <c r="AS10" s="230"/>
      <c r="AT10" s="298" t="s">
        <v>657</v>
      </c>
      <c r="AU10" s="298" t="s">
        <v>111</v>
      </c>
      <c r="AV10" s="298" t="s">
        <v>658</v>
      </c>
      <c r="AW10" s="298" t="s">
        <v>659</v>
      </c>
      <c r="AX10" s="299">
        <v>725449</v>
      </c>
      <c r="BB10" s="230"/>
      <c r="BC10" s="230"/>
      <c r="BD10" s="230"/>
      <c r="BE10" s="230"/>
      <c r="BF10" s="230"/>
      <c r="BG10" s="230"/>
      <c r="BH10" s="230"/>
      <c r="BI10" s="230"/>
      <c r="BJ10" s="230"/>
      <c r="BK10" s="230"/>
      <c r="BL10" s="295" t="s">
        <v>403</v>
      </c>
      <c r="BM10" s="230">
        <f>AVERAGE(BM2:BM9)</f>
        <v>873318.375</v>
      </c>
      <c r="BN10" s="230"/>
      <c r="BO10" s="230"/>
      <c r="BP10" s="230"/>
      <c r="BQ10" s="230"/>
      <c r="BR10" s="230"/>
      <c r="BS10" s="230"/>
      <c r="BT10" s="230"/>
      <c r="BU10" s="230"/>
      <c r="BV10" s="230"/>
      <c r="BW10" s="230"/>
      <c r="BX10" s="230"/>
      <c r="BY10" s="230"/>
      <c r="CO10"/>
    </row>
    <row r="11" spans="1:126" ht="53.4" thickBot="1" x14ac:dyDescent="0.35">
      <c r="A11" s="231" t="s">
        <v>248</v>
      </c>
      <c r="B11" s="238">
        <v>600000</v>
      </c>
      <c r="C11" s="237" t="s">
        <v>307</v>
      </c>
      <c r="D11" s="238">
        <v>607099</v>
      </c>
      <c r="F11" s="233">
        <v>2016</v>
      </c>
      <c r="G11" s="233" t="s">
        <v>251</v>
      </c>
      <c r="H11" s="233" t="s">
        <v>261</v>
      </c>
      <c r="I11" s="233" t="s">
        <v>253</v>
      </c>
      <c r="J11" s="233" t="s">
        <v>262</v>
      </c>
      <c r="K11" s="233">
        <v>205282</v>
      </c>
      <c r="L11" s="230"/>
      <c r="N11" s="233">
        <v>2017</v>
      </c>
      <c r="O11" s="233" t="s">
        <v>254</v>
      </c>
      <c r="P11" s="233" t="s">
        <v>268</v>
      </c>
      <c r="Q11" s="233" t="s">
        <v>271</v>
      </c>
      <c r="R11" s="233" t="s">
        <v>252</v>
      </c>
      <c r="S11" s="233">
        <v>33844</v>
      </c>
      <c r="T11" s="230"/>
      <c r="V11" s="233">
        <v>2017</v>
      </c>
      <c r="W11" s="233" t="s">
        <v>254</v>
      </c>
      <c r="X11" s="233" t="s">
        <v>275</v>
      </c>
      <c r="Y11" s="233" t="s">
        <v>275</v>
      </c>
      <c r="Z11" s="233" t="s">
        <v>252</v>
      </c>
      <c r="AA11" s="233">
        <v>302905</v>
      </c>
      <c r="AB11" s="230"/>
      <c r="AD11" s="233">
        <v>2018</v>
      </c>
      <c r="AE11" s="233" t="s">
        <v>251</v>
      </c>
      <c r="AF11" s="233" t="s">
        <v>283</v>
      </c>
      <c r="AG11" s="233" t="s">
        <v>284</v>
      </c>
      <c r="AH11" s="233" t="s">
        <v>252</v>
      </c>
      <c r="AI11" s="233">
        <v>234000</v>
      </c>
      <c r="AJ11" s="230"/>
      <c r="AL11" s="233">
        <v>2017</v>
      </c>
      <c r="AM11" s="233" t="s">
        <v>251</v>
      </c>
      <c r="AN11" s="233" t="s">
        <v>248</v>
      </c>
      <c r="AO11" s="233" t="s">
        <v>248</v>
      </c>
      <c r="AP11" s="233" t="s">
        <v>252</v>
      </c>
      <c r="AQ11" s="233">
        <v>200503</v>
      </c>
      <c r="AR11" s="230"/>
      <c r="AS11" s="230"/>
      <c r="AT11" s="490" t="s">
        <v>660</v>
      </c>
      <c r="AU11" s="298" t="s">
        <v>111</v>
      </c>
      <c r="AV11" s="298" t="s">
        <v>661</v>
      </c>
      <c r="AW11" s="298" t="s">
        <v>662</v>
      </c>
      <c r="AX11" s="299">
        <v>737964</v>
      </c>
      <c r="BB11" s="230"/>
      <c r="BC11" s="230"/>
      <c r="BD11" s="230"/>
      <c r="BE11" s="230"/>
      <c r="BF11" s="230"/>
      <c r="BG11" s="230"/>
      <c r="BH11" s="230"/>
      <c r="BI11" s="230"/>
      <c r="BJ11" s="230"/>
      <c r="BK11" s="230"/>
      <c r="BL11" s="294"/>
      <c r="BM11" s="230"/>
      <c r="BN11" s="230"/>
      <c r="BO11" s="230"/>
      <c r="BP11" s="230"/>
      <c r="BQ11" s="230"/>
      <c r="BR11" s="230"/>
      <c r="BS11" s="230"/>
      <c r="BT11" s="230"/>
      <c r="BU11" s="230"/>
      <c r="BV11" s="230"/>
      <c r="BW11" s="230"/>
      <c r="BX11" s="230"/>
      <c r="BY11" s="230"/>
    </row>
    <row r="12" spans="1:126" ht="53.4" thickBot="1" x14ac:dyDescent="0.35">
      <c r="F12" s="234">
        <v>2016</v>
      </c>
      <c r="G12" s="234" t="s">
        <v>251</v>
      </c>
      <c r="H12" s="234" t="s">
        <v>246</v>
      </c>
      <c r="I12" s="234" t="s">
        <v>246</v>
      </c>
      <c r="J12" s="234" t="s">
        <v>252</v>
      </c>
      <c r="K12" s="234">
        <v>426029</v>
      </c>
      <c r="L12" s="230">
        <f>SUM(K11:K12)</f>
        <v>631311</v>
      </c>
      <c r="N12" s="234">
        <v>2017</v>
      </c>
      <c r="O12" s="234" t="s">
        <v>254</v>
      </c>
      <c r="P12" s="234" t="s">
        <v>268</v>
      </c>
      <c r="Q12" s="234" t="s">
        <v>272</v>
      </c>
      <c r="R12" s="234" t="s">
        <v>252</v>
      </c>
      <c r="S12" s="234">
        <v>34129</v>
      </c>
      <c r="T12" s="230"/>
      <c r="V12" s="234">
        <v>2017</v>
      </c>
      <c r="W12" s="234" t="s">
        <v>251</v>
      </c>
      <c r="X12" s="234" t="s">
        <v>275</v>
      </c>
      <c r="Y12" s="234" t="s">
        <v>275</v>
      </c>
      <c r="Z12" s="234" t="s">
        <v>252</v>
      </c>
      <c r="AA12" s="234">
        <v>304863</v>
      </c>
      <c r="AB12" s="230"/>
      <c r="AD12" s="234">
        <v>2018</v>
      </c>
      <c r="AE12" s="234" t="s">
        <v>251</v>
      </c>
      <c r="AF12" s="234" t="s">
        <v>283</v>
      </c>
      <c r="AG12" s="234" t="s">
        <v>284</v>
      </c>
      <c r="AH12" s="234" t="s">
        <v>252</v>
      </c>
      <c r="AI12" s="234">
        <v>234000</v>
      </c>
      <c r="AJ12" s="230"/>
      <c r="AL12" s="234">
        <v>2017</v>
      </c>
      <c r="AM12" s="234" t="s">
        <v>251</v>
      </c>
      <c r="AN12" s="234" t="s">
        <v>248</v>
      </c>
      <c r="AO12" s="234" t="s">
        <v>248</v>
      </c>
      <c r="AP12" s="234" t="s">
        <v>252</v>
      </c>
      <c r="AQ12" s="234">
        <v>202856</v>
      </c>
      <c r="AR12" s="230">
        <f>SUM(AQ10:AQ12)</f>
        <v>604750</v>
      </c>
      <c r="AS12" s="230"/>
      <c r="AT12" s="491"/>
      <c r="AU12" s="301"/>
      <c r="AV12" s="298" t="s">
        <v>663</v>
      </c>
      <c r="AW12" s="298" t="s">
        <v>662</v>
      </c>
      <c r="AX12" s="299">
        <v>312830</v>
      </c>
      <c r="BB12" s="230"/>
      <c r="BC12" s="230"/>
      <c r="BD12" s="230"/>
      <c r="BE12" s="230"/>
      <c r="BF12" s="230"/>
      <c r="BG12" s="230"/>
      <c r="BH12" s="230"/>
      <c r="BI12" s="230"/>
      <c r="BJ12" s="230"/>
      <c r="BK12" s="230"/>
      <c r="BN12" s="230"/>
      <c r="BO12" s="230"/>
      <c r="BP12" s="230"/>
      <c r="BQ12" s="230"/>
      <c r="BR12" s="230"/>
      <c r="BS12" s="230"/>
      <c r="BT12" s="230"/>
      <c r="BU12" s="230"/>
      <c r="BV12" s="230"/>
      <c r="BW12" s="230"/>
      <c r="BX12" s="230"/>
      <c r="BY12" s="230"/>
    </row>
    <row r="13" spans="1:126" ht="40.200000000000003" thickBot="1" x14ac:dyDescent="0.35">
      <c r="F13" s="233">
        <v>2015</v>
      </c>
      <c r="G13" s="233" t="s">
        <v>251</v>
      </c>
      <c r="H13" s="233" t="s">
        <v>246</v>
      </c>
      <c r="I13" s="233" t="s">
        <v>253</v>
      </c>
      <c r="J13" s="233" t="s">
        <v>252</v>
      </c>
      <c r="K13" s="233">
        <v>104445</v>
      </c>
      <c r="L13" s="230"/>
      <c r="N13" s="233">
        <v>2017</v>
      </c>
      <c r="O13" s="233" t="s">
        <v>251</v>
      </c>
      <c r="P13" s="233" t="s">
        <v>268</v>
      </c>
      <c r="Q13" s="233" t="s">
        <v>272</v>
      </c>
      <c r="R13" s="233" t="s">
        <v>252</v>
      </c>
      <c r="S13" s="233">
        <v>55010</v>
      </c>
      <c r="T13" s="230"/>
      <c r="V13" s="233">
        <v>2017</v>
      </c>
      <c r="W13" s="233" t="s">
        <v>251</v>
      </c>
      <c r="X13" s="233" t="s">
        <v>275</v>
      </c>
      <c r="Y13" s="233" t="s">
        <v>275</v>
      </c>
      <c r="Z13" s="233" t="s">
        <v>252</v>
      </c>
      <c r="AA13" s="233">
        <v>125946</v>
      </c>
      <c r="AB13" s="230"/>
      <c r="AD13" s="233">
        <v>2018</v>
      </c>
      <c r="AE13" s="233" t="s">
        <v>251</v>
      </c>
      <c r="AF13" s="233" t="s">
        <v>283</v>
      </c>
      <c r="AG13" s="233" t="s">
        <v>284</v>
      </c>
      <c r="AH13" s="233" t="s">
        <v>252</v>
      </c>
      <c r="AI13" s="233">
        <v>234000</v>
      </c>
      <c r="AJ13" s="230">
        <f>SUM(AI8:AI13)</f>
        <v>1837750</v>
      </c>
      <c r="AL13" s="233">
        <v>2016</v>
      </c>
      <c r="AM13" s="233" t="s">
        <v>251</v>
      </c>
      <c r="AN13" s="233" t="s">
        <v>248</v>
      </c>
      <c r="AO13" s="233" t="s">
        <v>248</v>
      </c>
      <c r="AP13" s="233" t="s">
        <v>252</v>
      </c>
      <c r="AQ13" s="233">
        <v>201586</v>
      </c>
      <c r="AR13" s="230"/>
      <c r="AS13" s="230"/>
      <c r="AT13" s="298" t="s">
        <v>664</v>
      </c>
      <c r="AU13" s="298" t="s">
        <v>111</v>
      </c>
      <c r="AV13" s="298" t="s">
        <v>655</v>
      </c>
      <c r="AW13" s="298" t="s">
        <v>656</v>
      </c>
      <c r="AX13" s="299">
        <v>45482</v>
      </c>
      <c r="BA13" s="300"/>
      <c r="BB13" s="230"/>
      <c r="BC13" s="230"/>
      <c r="BD13" s="230"/>
      <c r="BE13" s="230"/>
      <c r="BF13" s="230"/>
      <c r="BG13" s="230"/>
      <c r="BH13" s="230"/>
      <c r="BI13" s="230"/>
      <c r="BJ13" s="230"/>
      <c r="BK13" s="230"/>
      <c r="BN13" s="230"/>
      <c r="BO13" s="230"/>
      <c r="BP13" s="230"/>
      <c r="BQ13" s="230"/>
      <c r="BR13" s="230"/>
      <c r="BS13" s="230"/>
      <c r="BT13" s="230"/>
      <c r="BU13" s="230"/>
      <c r="BV13" s="230"/>
      <c r="BW13" s="230"/>
      <c r="BX13" s="230"/>
      <c r="BY13" s="230"/>
    </row>
    <row r="14" spans="1:126" ht="40.200000000000003" thickBot="1" x14ac:dyDescent="0.35">
      <c r="F14" s="234">
        <v>2015</v>
      </c>
      <c r="G14" s="234" t="s">
        <v>251</v>
      </c>
      <c r="H14" s="234" t="s">
        <v>246</v>
      </c>
      <c r="I14" s="234" t="s">
        <v>246</v>
      </c>
      <c r="J14" s="234" t="s">
        <v>252</v>
      </c>
      <c r="K14" s="234">
        <v>447992</v>
      </c>
      <c r="L14" s="230">
        <f>SUM(K13:K14)</f>
        <v>552437</v>
      </c>
      <c r="N14" s="234">
        <v>2017</v>
      </c>
      <c r="O14" s="234" t="s">
        <v>251</v>
      </c>
      <c r="P14" s="234" t="s">
        <v>268</v>
      </c>
      <c r="Q14" s="234" t="s">
        <v>273</v>
      </c>
      <c r="R14" s="234" t="s">
        <v>252</v>
      </c>
      <c r="S14" s="234">
        <v>665545</v>
      </c>
      <c r="T14" s="230"/>
      <c r="V14" s="234">
        <v>2017</v>
      </c>
      <c r="W14" s="234" t="s">
        <v>251</v>
      </c>
      <c r="X14" s="234" t="s">
        <v>275</v>
      </c>
      <c r="Y14" s="234" t="s">
        <v>275</v>
      </c>
      <c r="Z14" s="234" t="s">
        <v>252</v>
      </c>
      <c r="AA14" s="234">
        <v>295849</v>
      </c>
      <c r="AB14" s="230">
        <f>SUM(AA11:AA14)</f>
        <v>1029563</v>
      </c>
      <c r="AD14" s="234">
        <v>2017</v>
      </c>
      <c r="AE14" s="234" t="s">
        <v>254</v>
      </c>
      <c r="AF14" s="234" t="s">
        <v>283</v>
      </c>
      <c r="AG14" s="234" t="s">
        <v>284</v>
      </c>
      <c r="AH14" s="234" t="s">
        <v>252</v>
      </c>
      <c r="AI14" s="234">
        <v>258549</v>
      </c>
      <c r="AJ14" s="230"/>
      <c r="AL14" s="234">
        <v>2016</v>
      </c>
      <c r="AM14" s="234" t="s">
        <v>251</v>
      </c>
      <c r="AN14" s="234" t="s">
        <v>248</v>
      </c>
      <c r="AO14" s="234" t="s">
        <v>248</v>
      </c>
      <c r="AP14" s="234" t="s">
        <v>252</v>
      </c>
      <c r="AQ14" s="234">
        <v>199962</v>
      </c>
      <c r="AR14" s="230"/>
      <c r="AS14" s="230"/>
      <c r="AT14" s="298" t="s">
        <v>665</v>
      </c>
      <c r="AU14" s="298" t="s">
        <v>111</v>
      </c>
      <c r="AV14" s="298" t="s">
        <v>655</v>
      </c>
      <c r="AW14" s="298" t="s">
        <v>666</v>
      </c>
      <c r="AX14" s="299">
        <v>1526393</v>
      </c>
      <c r="BB14" s="230"/>
      <c r="BC14" s="230"/>
      <c r="BD14" s="230"/>
      <c r="BE14" s="230"/>
      <c r="BF14" s="230"/>
      <c r="BG14" s="230"/>
      <c r="BH14" s="230"/>
      <c r="BI14" s="230"/>
      <c r="BJ14" s="230"/>
      <c r="BK14" s="230"/>
      <c r="BN14" s="230"/>
      <c r="BO14" s="292" t="s">
        <v>633</v>
      </c>
      <c r="BP14" s="230"/>
      <c r="BQ14" s="230"/>
      <c r="BR14" s="230"/>
      <c r="BS14" s="230"/>
      <c r="BT14" s="230"/>
      <c r="BU14" s="230"/>
      <c r="BV14" s="230"/>
      <c r="BW14" s="230"/>
      <c r="BX14" s="230"/>
      <c r="BY14" s="230"/>
      <c r="CY14"/>
    </row>
    <row r="15" spans="1:126" ht="40.200000000000003" thickBot="1" x14ac:dyDescent="0.35">
      <c r="F15" s="233">
        <v>2014</v>
      </c>
      <c r="G15" s="233" t="s">
        <v>254</v>
      </c>
      <c r="H15" s="233" t="s">
        <v>246</v>
      </c>
      <c r="I15" s="233" t="s">
        <v>255</v>
      </c>
      <c r="J15" s="233" t="s">
        <v>252</v>
      </c>
      <c r="K15" s="233">
        <v>240000</v>
      </c>
      <c r="L15" s="230"/>
      <c r="N15" s="233">
        <v>2017</v>
      </c>
      <c r="O15" s="233" t="s">
        <v>251</v>
      </c>
      <c r="P15" s="233" t="s">
        <v>268</v>
      </c>
      <c r="Q15" s="233" t="s">
        <v>270</v>
      </c>
      <c r="R15" s="233" t="s">
        <v>252</v>
      </c>
      <c r="S15" s="233">
        <v>100043</v>
      </c>
      <c r="T15" s="230">
        <f>SUM(S10:S15)</f>
        <v>919548</v>
      </c>
      <c r="U15" s="231">
        <f>S15</f>
        <v>100043</v>
      </c>
      <c r="V15" s="233">
        <v>2016</v>
      </c>
      <c r="W15" s="233" t="s">
        <v>254</v>
      </c>
      <c r="X15" s="233" t="s">
        <v>275</v>
      </c>
      <c r="Y15" s="233" t="s">
        <v>275</v>
      </c>
      <c r="Z15" s="233" t="s">
        <v>252</v>
      </c>
      <c r="AA15" s="233">
        <v>300000</v>
      </c>
      <c r="AB15" s="230"/>
      <c r="AD15" s="233">
        <v>2017</v>
      </c>
      <c r="AE15" s="233" t="s">
        <v>251</v>
      </c>
      <c r="AF15" s="233" t="s">
        <v>283</v>
      </c>
      <c r="AG15" s="233" t="s">
        <v>285</v>
      </c>
      <c r="AH15" s="233" t="s">
        <v>252</v>
      </c>
      <c r="AI15" s="233">
        <v>233930</v>
      </c>
      <c r="AJ15" s="230"/>
      <c r="AL15" s="233">
        <v>2016</v>
      </c>
      <c r="AM15" s="233" t="s">
        <v>251</v>
      </c>
      <c r="AN15" s="233" t="s">
        <v>248</v>
      </c>
      <c r="AO15" s="233" t="s">
        <v>248</v>
      </c>
      <c r="AP15" s="233" t="s">
        <v>252</v>
      </c>
      <c r="AQ15" s="233">
        <v>203204</v>
      </c>
      <c r="AR15" s="230"/>
      <c r="AS15" s="230"/>
      <c r="AT15" s="302"/>
      <c r="AU15" s="301"/>
      <c r="AV15" s="298" t="s">
        <v>667</v>
      </c>
      <c r="AW15" s="298" t="s">
        <v>666</v>
      </c>
      <c r="AX15" s="299">
        <v>275475</v>
      </c>
      <c r="BB15" s="230"/>
      <c r="BC15" s="230"/>
      <c r="BD15" s="230"/>
      <c r="BE15" s="230"/>
      <c r="BF15" s="230"/>
      <c r="BG15" s="230"/>
      <c r="BH15" s="230"/>
      <c r="BI15" s="230"/>
      <c r="BJ15" s="230"/>
      <c r="BK15" s="230"/>
      <c r="BN15" s="230"/>
      <c r="BO15" s="230"/>
      <c r="BP15"/>
      <c r="BQ15" s="230"/>
      <c r="BR15" s="230"/>
      <c r="BS15" s="230"/>
      <c r="BT15" s="230"/>
      <c r="BU15" s="230"/>
      <c r="BV15" s="230"/>
      <c r="BW15" s="230"/>
      <c r="BX15" s="230"/>
      <c r="BY15" s="230"/>
    </row>
    <row r="16" spans="1:126" ht="53.4" thickBot="1" x14ac:dyDescent="0.35">
      <c r="F16" s="234">
        <v>2014</v>
      </c>
      <c r="G16" s="234" t="s">
        <v>251</v>
      </c>
      <c r="H16" s="234" t="s">
        <v>246</v>
      </c>
      <c r="I16" s="234" t="s">
        <v>253</v>
      </c>
      <c r="J16" s="234" t="s">
        <v>252</v>
      </c>
      <c r="K16" s="234">
        <v>113891</v>
      </c>
      <c r="L16" s="230"/>
      <c r="N16" s="234">
        <v>2016</v>
      </c>
      <c r="O16" s="234" t="s">
        <v>254</v>
      </c>
      <c r="P16" s="234" t="s">
        <v>268</v>
      </c>
      <c r="Q16" s="234" t="s">
        <v>271</v>
      </c>
      <c r="R16" s="234" t="s">
        <v>252</v>
      </c>
      <c r="S16" s="234">
        <v>10260</v>
      </c>
      <c r="T16" s="230"/>
      <c r="V16" s="234">
        <v>2016</v>
      </c>
      <c r="W16" s="234" t="s">
        <v>251</v>
      </c>
      <c r="X16" s="234" t="s">
        <v>275</v>
      </c>
      <c r="Y16" s="234" t="s">
        <v>275</v>
      </c>
      <c r="Z16" s="234" t="s">
        <v>252</v>
      </c>
      <c r="AA16" s="234">
        <v>548719</v>
      </c>
      <c r="AB16" s="230"/>
      <c r="AD16" s="234">
        <v>2017</v>
      </c>
      <c r="AE16" s="234" t="s">
        <v>251</v>
      </c>
      <c r="AF16" s="234" t="s">
        <v>283</v>
      </c>
      <c r="AG16" s="234" t="s">
        <v>284</v>
      </c>
      <c r="AH16" s="234" t="s">
        <v>252</v>
      </c>
      <c r="AI16" s="234">
        <v>376882</v>
      </c>
      <c r="AJ16" s="230"/>
      <c r="AL16" s="234">
        <v>2016</v>
      </c>
      <c r="AM16" s="234" t="s">
        <v>251</v>
      </c>
      <c r="AN16" s="234" t="s">
        <v>248</v>
      </c>
      <c r="AO16" s="234" t="s">
        <v>286</v>
      </c>
      <c r="AP16" s="234" t="s">
        <v>252</v>
      </c>
      <c r="AQ16" s="234">
        <v>6795</v>
      </c>
      <c r="AR16" s="230">
        <f>SUM(AQ13:AQ16)</f>
        <v>611547</v>
      </c>
      <c r="AS16" s="230"/>
      <c r="AT16" s="492" t="s">
        <v>668</v>
      </c>
      <c r="AU16" s="493"/>
      <c r="AV16" s="493"/>
      <c r="AW16" s="494"/>
      <c r="AX16" s="303">
        <f>SUM(AX7:AX15)</f>
        <v>4424381</v>
      </c>
      <c r="BB16" s="230"/>
      <c r="BC16" s="230"/>
      <c r="BD16" s="230"/>
      <c r="BE16" s="230"/>
      <c r="BF16" s="230"/>
      <c r="BG16" s="230"/>
      <c r="BH16" s="230"/>
      <c r="BI16" s="230"/>
      <c r="BJ16" s="230"/>
      <c r="BK16" s="230"/>
      <c r="BN16" s="230"/>
      <c r="BO16" s="230"/>
      <c r="BP16" s="230"/>
      <c r="BQ16" s="230"/>
      <c r="BR16" s="230"/>
      <c r="BS16" s="230"/>
      <c r="BT16" s="230"/>
      <c r="BU16" s="230"/>
      <c r="BV16" s="230"/>
      <c r="BW16" s="230"/>
      <c r="BX16" s="230"/>
      <c r="BY16" s="230"/>
    </row>
    <row r="17" spans="6:127" ht="53.4" thickBot="1" x14ac:dyDescent="0.35">
      <c r="F17" s="233">
        <v>2014</v>
      </c>
      <c r="G17" s="233" t="s">
        <v>251</v>
      </c>
      <c r="H17" s="233" t="s">
        <v>246</v>
      </c>
      <c r="I17" s="233" t="s">
        <v>246</v>
      </c>
      <c r="J17" s="233" t="s">
        <v>252</v>
      </c>
      <c r="K17" s="233">
        <v>383898</v>
      </c>
      <c r="L17" s="230"/>
      <c r="N17" s="233">
        <v>2016</v>
      </c>
      <c r="O17" s="233" t="s">
        <v>254</v>
      </c>
      <c r="P17" s="233" t="s">
        <v>268</v>
      </c>
      <c r="Q17" s="233" t="s">
        <v>272</v>
      </c>
      <c r="R17" s="233" t="s">
        <v>252</v>
      </c>
      <c r="S17" s="233">
        <v>32865</v>
      </c>
      <c r="T17" s="230"/>
      <c r="V17" s="233">
        <v>2016</v>
      </c>
      <c r="W17" s="233" t="s">
        <v>251</v>
      </c>
      <c r="X17" s="233" t="s">
        <v>275</v>
      </c>
      <c r="Y17" s="233" t="s">
        <v>275</v>
      </c>
      <c r="Z17" s="233" t="s">
        <v>252</v>
      </c>
      <c r="AA17" s="233">
        <v>170004</v>
      </c>
      <c r="AB17" s="230">
        <f>SUM(AA15:AA17)</f>
        <v>1018723</v>
      </c>
      <c r="AD17" s="233">
        <v>2017</v>
      </c>
      <c r="AE17" s="233" t="s">
        <v>251</v>
      </c>
      <c r="AF17" s="233" t="s">
        <v>283</v>
      </c>
      <c r="AG17" s="233" t="s">
        <v>284</v>
      </c>
      <c r="AH17" s="233" t="s">
        <v>252</v>
      </c>
      <c r="AI17" s="233">
        <v>184440</v>
      </c>
      <c r="AJ17" s="230"/>
      <c r="AL17" s="233">
        <v>2015</v>
      </c>
      <c r="AM17" s="233" t="s">
        <v>254</v>
      </c>
      <c r="AN17" s="233" t="s">
        <v>248</v>
      </c>
      <c r="AO17" s="233" t="s">
        <v>248</v>
      </c>
      <c r="AP17" s="233" t="s">
        <v>252</v>
      </c>
      <c r="AQ17" s="233">
        <v>200000</v>
      </c>
      <c r="AR17" s="230"/>
      <c r="AS17" s="230"/>
      <c r="AT17" s="298" t="s">
        <v>648</v>
      </c>
      <c r="AU17" s="298" t="s">
        <v>111</v>
      </c>
      <c r="AV17" s="298" t="s">
        <v>649</v>
      </c>
      <c r="AW17" s="298" t="s">
        <v>650</v>
      </c>
      <c r="AX17" s="299">
        <v>604752</v>
      </c>
      <c r="BB17" s="230"/>
      <c r="BC17" s="230"/>
      <c r="BD17" s="230"/>
      <c r="BE17" s="230"/>
      <c r="BF17" s="230"/>
      <c r="BG17" s="230"/>
      <c r="BH17" s="230"/>
      <c r="BI17" s="230"/>
      <c r="BJ17" s="230"/>
      <c r="BK17" s="230"/>
      <c r="BN17" s="230"/>
      <c r="BO17" s="230"/>
      <c r="BP17" s="230"/>
      <c r="BQ17" s="230"/>
      <c r="BR17" s="230"/>
      <c r="BS17" s="230"/>
      <c r="BT17" s="230"/>
      <c r="BU17" s="230"/>
      <c r="BV17" s="230"/>
      <c r="BW17" s="230"/>
      <c r="BX17" s="230"/>
      <c r="BY17" s="230"/>
    </row>
    <row r="18" spans="6:127" ht="53.4" thickBot="1" x14ac:dyDescent="0.35">
      <c r="F18" s="234">
        <v>2014</v>
      </c>
      <c r="G18" s="234" t="s">
        <v>251</v>
      </c>
      <c r="H18" s="234" t="s">
        <v>246</v>
      </c>
      <c r="I18" s="234" t="s">
        <v>253</v>
      </c>
      <c r="J18" s="234" t="s">
        <v>252</v>
      </c>
      <c r="K18" s="234">
        <v>77896</v>
      </c>
      <c r="L18" s="230">
        <f>SUM(K15:K18)</f>
        <v>815685</v>
      </c>
      <c r="N18" s="234">
        <v>2016</v>
      </c>
      <c r="O18" s="234" t="s">
        <v>254</v>
      </c>
      <c r="P18" s="234" t="s">
        <v>268</v>
      </c>
      <c r="Q18" s="234" t="s">
        <v>269</v>
      </c>
      <c r="R18" s="234" t="s">
        <v>252</v>
      </c>
      <c r="S18" s="234">
        <v>65964</v>
      </c>
      <c r="T18" s="230"/>
      <c r="V18" s="234">
        <v>2015</v>
      </c>
      <c r="W18" s="234" t="s">
        <v>254</v>
      </c>
      <c r="X18" s="234" t="s">
        <v>275</v>
      </c>
      <c r="Y18" s="234" t="s">
        <v>275</v>
      </c>
      <c r="Z18" s="234" t="s">
        <v>252</v>
      </c>
      <c r="AA18" s="234">
        <v>309422</v>
      </c>
      <c r="AB18" s="230"/>
      <c r="AD18" s="234">
        <v>2017</v>
      </c>
      <c r="AE18" s="234" t="s">
        <v>251</v>
      </c>
      <c r="AF18" s="234" t="s">
        <v>283</v>
      </c>
      <c r="AG18" s="234" t="s">
        <v>284</v>
      </c>
      <c r="AH18" s="234" t="s">
        <v>252</v>
      </c>
      <c r="AI18" s="234">
        <v>192121</v>
      </c>
      <c r="AJ18" s="230"/>
      <c r="AL18" s="234">
        <v>2015</v>
      </c>
      <c r="AM18" s="234" t="s">
        <v>251</v>
      </c>
      <c r="AN18" s="234" t="s">
        <v>248</v>
      </c>
      <c r="AO18" s="234" t="s">
        <v>286</v>
      </c>
      <c r="AP18" s="234" t="s">
        <v>252</v>
      </c>
      <c r="AQ18" s="234">
        <v>216519</v>
      </c>
      <c r="AR18" s="230"/>
      <c r="AS18" s="230"/>
      <c r="AT18" s="298" t="s">
        <v>651</v>
      </c>
      <c r="AU18" s="298" t="s">
        <v>111</v>
      </c>
      <c r="AV18" s="298" t="s">
        <v>652</v>
      </c>
      <c r="AW18" s="298" t="s">
        <v>653</v>
      </c>
      <c r="AX18" s="299">
        <v>93307</v>
      </c>
      <c r="AZ18" s="300">
        <f>AX18</f>
        <v>93307</v>
      </c>
      <c r="BB18" s="230"/>
      <c r="BC18" s="230"/>
      <c r="BD18" s="230"/>
      <c r="BE18" s="230"/>
      <c r="BF18" s="230"/>
      <c r="BG18" s="230"/>
      <c r="BH18" s="230"/>
      <c r="BI18" s="230"/>
      <c r="BJ18" s="230"/>
      <c r="BK18" s="230"/>
      <c r="BN18" s="230"/>
      <c r="BO18" s="230"/>
      <c r="BP18" s="230"/>
      <c r="BQ18" s="230"/>
      <c r="BR18" s="230"/>
      <c r="BS18" s="230"/>
      <c r="BT18" s="230"/>
      <c r="BU18" s="230"/>
      <c r="BV18" s="230"/>
      <c r="BW18" s="230"/>
      <c r="BX18" s="230"/>
      <c r="BY18" s="230"/>
      <c r="CN18" s="495" t="s">
        <v>623</v>
      </c>
      <c r="CO18" s="495"/>
      <c r="CP18" s="495"/>
      <c r="CQ18" s="495"/>
      <c r="CR18" s="495"/>
      <c r="CS18" s="495"/>
      <c r="CT18" s="495"/>
      <c r="CU18" s="495"/>
      <c r="CV18" s="495"/>
      <c r="CW18" s="495"/>
      <c r="CX18" s="495"/>
      <c r="DL18" s="239" t="s">
        <v>317</v>
      </c>
    </row>
    <row r="19" spans="6:127" ht="40.200000000000003" thickBot="1" x14ac:dyDescent="0.35">
      <c r="F19" s="233">
        <v>2013</v>
      </c>
      <c r="G19" s="233" t="s">
        <v>254</v>
      </c>
      <c r="H19" s="233" t="s">
        <v>246</v>
      </c>
      <c r="I19" s="233" t="s">
        <v>246</v>
      </c>
      <c r="J19" s="233" t="s">
        <v>252</v>
      </c>
      <c r="K19" s="233">
        <v>300000</v>
      </c>
      <c r="L19" s="230"/>
      <c r="N19" s="233">
        <v>2016</v>
      </c>
      <c r="O19" s="233" t="s">
        <v>251</v>
      </c>
      <c r="P19" s="233" t="s">
        <v>268</v>
      </c>
      <c r="Q19" s="233" t="s">
        <v>272</v>
      </c>
      <c r="R19" s="233" t="s">
        <v>252</v>
      </c>
      <c r="S19" s="233">
        <v>264209</v>
      </c>
      <c r="T19" s="230"/>
      <c r="V19" s="233">
        <v>2015</v>
      </c>
      <c r="W19" s="233" t="s">
        <v>251</v>
      </c>
      <c r="X19" s="233" t="s">
        <v>275</v>
      </c>
      <c r="Y19" s="233" t="s">
        <v>275</v>
      </c>
      <c r="Z19" s="233" t="s">
        <v>252</v>
      </c>
      <c r="AA19" s="233">
        <v>480001</v>
      </c>
      <c r="AB19" s="230"/>
      <c r="AD19" s="233">
        <v>2017</v>
      </c>
      <c r="AE19" s="233" t="s">
        <v>251</v>
      </c>
      <c r="AF19" s="233" t="s">
        <v>283</v>
      </c>
      <c r="AG19" s="233" t="s">
        <v>284</v>
      </c>
      <c r="AH19" s="233" t="s">
        <v>252</v>
      </c>
      <c r="AI19" s="233">
        <v>209505</v>
      </c>
      <c r="AJ19" s="230">
        <f>SUM(AI14:AI19)</f>
        <v>1455427</v>
      </c>
      <c r="AL19" s="233">
        <v>2015</v>
      </c>
      <c r="AM19" s="233" t="s">
        <v>251</v>
      </c>
      <c r="AN19" s="233" t="s">
        <v>248</v>
      </c>
      <c r="AO19" s="233" t="s">
        <v>248</v>
      </c>
      <c r="AP19" s="233" t="s">
        <v>252</v>
      </c>
      <c r="AQ19" s="233">
        <v>179775</v>
      </c>
      <c r="AR19" s="230"/>
      <c r="AS19" s="230"/>
      <c r="AT19" s="298" t="s">
        <v>654</v>
      </c>
      <c r="AU19" s="298" t="s">
        <v>111</v>
      </c>
      <c r="AV19" s="298" t="s">
        <v>667</v>
      </c>
      <c r="AW19" s="298" t="s">
        <v>656</v>
      </c>
      <c r="AX19" s="299">
        <v>47948</v>
      </c>
      <c r="BB19" s="230"/>
      <c r="BC19" s="230"/>
      <c r="BD19" s="230"/>
      <c r="BE19" s="230"/>
      <c r="BF19" s="230"/>
      <c r="BG19" s="230"/>
      <c r="BH19" s="230"/>
      <c r="BI19" s="230"/>
      <c r="BJ19" s="230"/>
      <c r="BK19" s="230"/>
      <c r="BN19" s="230"/>
      <c r="BO19" s="230"/>
      <c r="BP19" s="230"/>
      <c r="BQ19" s="230"/>
      <c r="BR19" s="230"/>
      <c r="BS19" s="230"/>
      <c r="BT19" s="230"/>
      <c r="BU19" s="230"/>
      <c r="BV19" s="230"/>
      <c r="BW19" s="230"/>
      <c r="BX19" s="230"/>
      <c r="BY19" s="230"/>
      <c r="CN19"/>
      <c r="DW19" s="150"/>
    </row>
    <row r="20" spans="6:127" ht="40.200000000000003" thickBot="1" x14ac:dyDescent="0.35">
      <c r="F20" s="234">
        <v>2013</v>
      </c>
      <c r="G20" s="234" t="s">
        <v>251</v>
      </c>
      <c r="H20" s="234" t="s">
        <v>246</v>
      </c>
      <c r="I20" s="234" t="s">
        <v>246</v>
      </c>
      <c r="J20" s="234" t="s">
        <v>252</v>
      </c>
      <c r="K20" s="234">
        <v>319500</v>
      </c>
      <c r="L20" s="230"/>
      <c r="N20" s="234">
        <v>2016</v>
      </c>
      <c r="O20" s="234" t="s">
        <v>251</v>
      </c>
      <c r="P20" s="234" t="s">
        <v>268</v>
      </c>
      <c r="Q20" s="234" t="s">
        <v>270</v>
      </c>
      <c r="R20" s="234" t="s">
        <v>252</v>
      </c>
      <c r="S20" s="234">
        <v>100000</v>
      </c>
      <c r="T20" s="230"/>
      <c r="U20" s="231">
        <f>S20</f>
        <v>100000</v>
      </c>
      <c r="V20" s="234">
        <v>2015</v>
      </c>
      <c r="W20" s="234" t="s">
        <v>251</v>
      </c>
      <c r="X20" s="234" t="s">
        <v>275</v>
      </c>
      <c r="Y20" s="234" t="s">
        <v>275</v>
      </c>
      <c r="Z20" s="234" t="s">
        <v>252</v>
      </c>
      <c r="AA20" s="234">
        <v>257963</v>
      </c>
      <c r="AB20" s="230">
        <f>SUM(AA18:AA20)</f>
        <v>1047386</v>
      </c>
      <c r="AD20" s="234">
        <v>2016</v>
      </c>
      <c r="AE20" s="234" t="s">
        <v>254</v>
      </c>
      <c r="AF20" s="234" t="s">
        <v>283</v>
      </c>
      <c r="AG20" s="234" t="s">
        <v>284</v>
      </c>
      <c r="AH20" s="234" t="s">
        <v>252</v>
      </c>
      <c r="AI20" s="234">
        <v>300000</v>
      </c>
      <c r="AJ20" s="230"/>
      <c r="AL20" s="234">
        <v>2015</v>
      </c>
      <c r="AM20" s="234" t="s">
        <v>251</v>
      </c>
      <c r="AN20" s="234" t="s">
        <v>248</v>
      </c>
      <c r="AO20" s="234" t="s">
        <v>248</v>
      </c>
      <c r="AP20" s="234" t="s">
        <v>252</v>
      </c>
      <c r="AQ20" s="234">
        <v>425195</v>
      </c>
      <c r="AR20" s="230">
        <f>SUM(AQ17:AQ20)</f>
        <v>1021489</v>
      </c>
      <c r="AS20" s="230"/>
      <c r="AT20" s="298" t="s">
        <v>669</v>
      </c>
      <c r="AU20" s="298" t="s">
        <v>111</v>
      </c>
      <c r="AV20" s="298" t="s">
        <v>667</v>
      </c>
      <c r="AW20" s="298" t="s">
        <v>656</v>
      </c>
      <c r="AX20" s="299">
        <v>77761</v>
      </c>
      <c r="BB20" s="230"/>
      <c r="BC20" s="230"/>
      <c r="BD20" s="230"/>
      <c r="BE20" s="230"/>
      <c r="BF20" s="230"/>
      <c r="BG20" s="230"/>
      <c r="BH20" s="230"/>
      <c r="BI20" s="230"/>
      <c r="BJ20" s="230"/>
      <c r="BK20" s="230"/>
      <c r="BN20" s="230"/>
      <c r="BO20" s="230"/>
      <c r="BP20" s="230"/>
      <c r="BQ20" s="230"/>
      <c r="BR20" s="230"/>
      <c r="BS20" s="230"/>
      <c r="BT20" s="230"/>
      <c r="BU20" s="230"/>
      <c r="BV20" s="230"/>
      <c r="BW20" s="230"/>
      <c r="BX20" s="230"/>
      <c r="BY20" s="230"/>
    </row>
    <row r="21" spans="6:127" ht="40.200000000000003" thickBot="1" x14ac:dyDescent="0.35">
      <c r="F21" s="233">
        <v>2013</v>
      </c>
      <c r="G21" s="233" t="s">
        <v>251</v>
      </c>
      <c r="H21" s="233" t="s">
        <v>246</v>
      </c>
      <c r="I21" s="233" t="s">
        <v>246</v>
      </c>
      <c r="J21" s="233" t="s">
        <v>252</v>
      </c>
      <c r="K21" s="233">
        <v>373285</v>
      </c>
      <c r="L21" s="230">
        <f>SUM(K19:K21)</f>
        <v>992785</v>
      </c>
      <c r="N21" s="233">
        <v>2016</v>
      </c>
      <c r="O21" s="233" t="s">
        <v>251</v>
      </c>
      <c r="P21" s="233" t="s">
        <v>268</v>
      </c>
      <c r="Q21" s="233" t="s">
        <v>272</v>
      </c>
      <c r="R21" s="233" t="s">
        <v>252</v>
      </c>
      <c r="S21" s="233">
        <v>431997</v>
      </c>
      <c r="T21" s="230">
        <f>SUM(S16:S21)</f>
        <v>905295</v>
      </c>
      <c r="V21" s="233">
        <v>2014</v>
      </c>
      <c r="W21" s="233" t="s">
        <v>254</v>
      </c>
      <c r="X21" s="233" t="s">
        <v>275</v>
      </c>
      <c r="Y21" s="233" t="s">
        <v>275</v>
      </c>
      <c r="Z21" s="233" t="s">
        <v>252</v>
      </c>
      <c r="AA21" s="233">
        <v>298759</v>
      </c>
      <c r="AB21" s="230"/>
      <c r="AD21" s="233">
        <v>2016</v>
      </c>
      <c r="AE21" s="233" t="s">
        <v>251</v>
      </c>
      <c r="AF21" s="233" t="s">
        <v>283</v>
      </c>
      <c r="AG21" s="233" t="s">
        <v>285</v>
      </c>
      <c r="AH21" s="233" t="s">
        <v>252</v>
      </c>
      <c r="AI21" s="233">
        <v>32855</v>
      </c>
      <c r="AJ21" s="230"/>
      <c r="AL21" s="233">
        <v>2014</v>
      </c>
      <c r="AM21" s="233" t="s">
        <v>254</v>
      </c>
      <c r="AN21" s="233" t="s">
        <v>248</v>
      </c>
      <c r="AO21" s="233" t="s">
        <v>292</v>
      </c>
      <c r="AP21" s="233" t="s">
        <v>252</v>
      </c>
      <c r="AQ21" s="233">
        <v>75000</v>
      </c>
      <c r="AR21" s="230"/>
      <c r="AS21" s="230"/>
      <c r="AT21" s="301"/>
      <c r="AU21" s="301"/>
      <c r="AV21" s="298" t="s">
        <v>649</v>
      </c>
      <c r="AW21" s="298" t="s">
        <v>650</v>
      </c>
      <c r="AX21" s="299">
        <v>6795</v>
      </c>
      <c r="BD21" s="230"/>
      <c r="BE21" s="230"/>
      <c r="BF21" s="230"/>
      <c r="BG21" s="230"/>
      <c r="BH21" s="230"/>
      <c r="BI21" s="230"/>
      <c r="BJ21" s="230"/>
      <c r="BK21" s="230"/>
      <c r="BL21" s="230"/>
      <c r="BM21" s="230"/>
      <c r="BN21" s="230"/>
      <c r="BO21" s="230"/>
      <c r="BP21" s="230"/>
      <c r="BQ21" s="230"/>
      <c r="BR21" s="230"/>
      <c r="BS21" s="230"/>
      <c r="BT21" s="230"/>
      <c r="BU21" s="230"/>
      <c r="BV21" s="230"/>
      <c r="BW21" s="230"/>
      <c r="BX21" s="230"/>
      <c r="BY21" s="230"/>
    </row>
    <row r="22" spans="6:127" ht="53.4" thickBot="1" x14ac:dyDescent="0.35">
      <c r="F22" s="234">
        <v>2012</v>
      </c>
      <c r="G22" s="234" t="s">
        <v>254</v>
      </c>
      <c r="H22" s="234" t="s">
        <v>246</v>
      </c>
      <c r="I22" s="234" t="s">
        <v>246</v>
      </c>
      <c r="J22" s="234" t="s">
        <v>252</v>
      </c>
      <c r="K22" s="234">
        <v>293293</v>
      </c>
      <c r="L22" s="230"/>
      <c r="N22" s="234">
        <v>2015</v>
      </c>
      <c r="O22" s="234" t="s">
        <v>254</v>
      </c>
      <c r="P22" s="234" t="s">
        <v>268</v>
      </c>
      <c r="Q22" s="234" t="s">
        <v>271</v>
      </c>
      <c r="R22" s="234" t="s">
        <v>252</v>
      </c>
      <c r="S22" s="234">
        <v>66891</v>
      </c>
      <c r="T22" s="230"/>
      <c r="V22" s="234">
        <v>2014</v>
      </c>
      <c r="W22" s="234" t="s">
        <v>251</v>
      </c>
      <c r="X22" s="234" t="s">
        <v>275</v>
      </c>
      <c r="Y22" s="234" t="s">
        <v>275</v>
      </c>
      <c r="Z22" s="234" t="s">
        <v>252</v>
      </c>
      <c r="AA22" s="234">
        <v>30766</v>
      </c>
      <c r="AB22" s="230"/>
      <c r="AD22" s="234">
        <v>2016</v>
      </c>
      <c r="AE22" s="234" t="s">
        <v>251</v>
      </c>
      <c r="AF22" s="234" t="s">
        <v>283</v>
      </c>
      <c r="AG22" s="234" t="s">
        <v>284</v>
      </c>
      <c r="AH22" s="234" t="s">
        <v>252</v>
      </c>
      <c r="AI22" s="234">
        <v>442833</v>
      </c>
      <c r="AJ22" s="230"/>
      <c r="AL22" s="234">
        <v>2014</v>
      </c>
      <c r="AM22" s="234" t="s">
        <v>254</v>
      </c>
      <c r="AN22" s="234" t="s">
        <v>248</v>
      </c>
      <c r="AO22" s="234" t="s">
        <v>248</v>
      </c>
      <c r="AP22" s="234" t="s">
        <v>252</v>
      </c>
      <c r="AQ22" s="234">
        <v>361493</v>
      </c>
      <c r="AR22" s="230"/>
      <c r="AS22" s="230"/>
      <c r="AT22" s="298" t="s">
        <v>657</v>
      </c>
      <c r="AU22" s="298" t="s">
        <v>111</v>
      </c>
      <c r="AV22" s="298" t="s">
        <v>652</v>
      </c>
      <c r="AW22" s="298" t="s">
        <v>659</v>
      </c>
      <c r="AX22" s="299">
        <v>696206</v>
      </c>
      <c r="BD22" s="230"/>
      <c r="BE22" s="230"/>
      <c r="BF22" s="230"/>
      <c r="BG22" s="230"/>
      <c r="BH22" s="230"/>
      <c r="BI22" s="230"/>
      <c r="BJ22" s="230"/>
      <c r="BK22" s="230"/>
      <c r="BL22" s="230"/>
      <c r="BM22" s="230"/>
      <c r="BN22" s="230"/>
      <c r="BO22" s="230"/>
      <c r="BP22" s="230"/>
      <c r="BQ22" s="230"/>
      <c r="BR22" s="230"/>
      <c r="BS22" s="230"/>
      <c r="BT22" s="230"/>
      <c r="BU22" s="230"/>
      <c r="BV22" s="230"/>
      <c r="BW22" s="230"/>
      <c r="BX22" s="230"/>
      <c r="BY22" s="230"/>
    </row>
    <row r="23" spans="6:127" ht="53.4" thickBot="1" x14ac:dyDescent="0.35">
      <c r="F23" s="233">
        <v>2012</v>
      </c>
      <c r="G23" s="233" t="s">
        <v>251</v>
      </c>
      <c r="H23" s="233" t="s">
        <v>246</v>
      </c>
      <c r="I23" s="233" t="s">
        <v>246</v>
      </c>
      <c r="J23" s="233" t="s">
        <v>252</v>
      </c>
      <c r="K23" s="233">
        <v>456870</v>
      </c>
      <c r="L23" s="230">
        <f>SUM(K22:K23)</f>
        <v>750163</v>
      </c>
      <c r="N23" s="233">
        <v>2015</v>
      </c>
      <c r="O23" s="233" t="s">
        <v>254</v>
      </c>
      <c r="P23" s="233" t="s">
        <v>268</v>
      </c>
      <c r="Q23" s="233" t="s">
        <v>269</v>
      </c>
      <c r="R23" s="233" t="s">
        <v>252</v>
      </c>
      <c r="S23" s="233">
        <v>33484</v>
      </c>
      <c r="T23" s="230"/>
      <c r="V23" s="233">
        <v>2014</v>
      </c>
      <c r="W23" s="233" t="s">
        <v>251</v>
      </c>
      <c r="X23" s="233" t="s">
        <v>275</v>
      </c>
      <c r="Y23" s="233" t="s">
        <v>275</v>
      </c>
      <c r="Z23" s="233" t="s">
        <v>252</v>
      </c>
      <c r="AA23" s="233">
        <v>166616</v>
      </c>
      <c r="AB23" s="230">
        <f>SUM(AA21:AA23)</f>
        <v>496141</v>
      </c>
      <c r="AD23" s="233">
        <v>2016</v>
      </c>
      <c r="AE23" s="233" t="s">
        <v>251</v>
      </c>
      <c r="AF23" s="233" t="s">
        <v>283</v>
      </c>
      <c r="AG23" s="233" t="s">
        <v>284</v>
      </c>
      <c r="AH23" s="233" t="s">
        <v>252</v>
      </c>
      <c r="AI23" s="233">
        <v>203572</v>
      </c>
      <c r="AJ23" s="230"/>
      <c r="AL23" s="233">
        <v>2014</v>
      </c>
      <c r="AM23" s="233" t="s">
        <v>251</v>
      </c>
      <c r="AN23" s="233" t="s">
        <v>248</v>
      </c>
      <c r="AO23" s="233" t="s">
        <v>248</v>
      </c>
      <c r="AP23" s="233" t="s">
        <v>252</v>
      </c>
      <c r="AQ23" s="233">
        <v>303803</v>
      </c>
      <c r="AR23" s="230"/>
      <c r="AS23" s="230"/>
      <c r="AT23" s="298" t="s">
        <v>660</v>
      </c>
      <c r="AU23" s="298" t="s">
        <v>111</v>
      </c>
      <c r="AV23" s="298" t="s">
        <v>663</v>
      </c>
      <c r="AW23" s="298" t="s">
        <v>662</v>
      </c>
      <c r="AX23" s="299">
        <v>1021628</v>
      </c>
      <c r="BA23" s="300"/>
      <c r="BD23" s="230"/>
      <c r="BE23" s="230"/>
      <c r="BF23" s="230"/>
      <c r="BG23" s="230"/>
      <c r="BH23" s="230"/>
      <c r="BI23" s="230"/>
      <c r="BJ23" s="230"/>
      <c r="BK23" s="230"/>
      <c r="BL23" s="230"/>
      <c r="BM23" s="230"/>
      <c r="BN23" s="230"/>
      <c r="BO23" s="230"/>
      <c r="BP23" s="230"/>
      <c r="BQ23" s="230"/>
      <c r="BR23" s="230"/>
      <c r="BS23" s="230"/>
      <c r="BT23" s="230"/>
      <c r="BU23" s="230"/>
      <c r="BV23" s="230"/>
      <c r="BW23" s="230"/>
      <c r="BX23" s="230"/>
      <c r="BY23" s="230"/>
    </row>
    <row r="24" spans="6:127" ht="53.4" thickBot="1" x14ac:dyDescent="0.35">
      <c r="F24" s="234">
        <v>2011</v>
      </c>
      <c r="G24" s="234" t="s">
        <v>254</v>
      </c>
      <c r="H24" s="234" t="s">
        <v>246</v>
      </c>
      <c r="I24" s="234" t="s">
        <v>53</v>
      </c>
      <c r="J24" s="234" t="s">
        <v>252</v>
      </c>
      <c r="K24" s="234">
        <v>319008</v>
      </c>
      <c r="L24" s="230"/>
      <c r="N24" s="234">
        <v>2015</v>
      </c>
      <c r="O24" s="234" t="s">
        <v>254</v>
      </c>
      <c r="P24" s="234" t="s">
        <v>268</v>
      </c>
      <c r="Q24" s="234" t="s">
        <v>271</v>
      </c>
      <c r="R24" s="234" t="s">
        <v>252</v>
      </c>
      <c r="S24" s="234">
        <v>10030</v>
      </c>
      <c r="T24" s="230"/>
      <c r="V24" s="234">
        <v>2013</v>
      </c>
      <c r="W24" s="234" t="s">
        <v>254</v>
      </c>
      <c r="X24" s="234" t="s">
        <v>275</v>
      </c>
      <c r="Y24" s="234" t="s">
        <v>275</v>
      </c>
      <c r="Z24" s="234" t="s">
        <v>252</v>
      </c>
      <c r="AA24" s="234">
        <v>294786</v>
      </c>
      <c r="AB24" s="230"/>
      <c r="AD24" s="234">
        <v>2016</v>
      </c>
      <c r="AE24" s="234" t="s">
        <v>251</v>
      </c>
      <c r="AF24" s="234" t="s">
        <v>283</v>
      </c>
      <c r="AG24" s="234" t="s">
        <v>284</v>
      </c>
      <c r="AH24" s="234" t="s">
        <v>252</v>
      </c>
      <c r="AI24" s="234">
        <v>202071</v>
      </c>
      <c r="AJ24" s="230"/>
      <c r="AL24" s="234">
        <v>2014</v>
      </c>
      <c r="AM24" s="234" t="s">
        <v>251</v>
      </c>
      <c r="AN24" s="234" t="s">
        <v>248</v>
      </c>
      <c r="AO24" s="234" t="s">
        <v>248</v>
      </c>
      <c r="AP24" s="234" t="s">
        <v>252</v>
      </c>
      <c r="AQ24" s="234">
        <v>188683</v>
      </c>
      <c r="AR24" s="230"/>
      <c r="AS24" s="230"/>
      <c r="AT24" s="298" t="s">
        <v>664</v>
      </c>
      <c r="AU24" s="298" t="s">
        <v>111</v>
      </c>
      <c r="AV24" s="298" t="s">
        <v>667</v>
      </c>
      <c r="AW24" s="298" t="s">
        <v>656</v>
      </c>
      <c r="AX24" s="299">
        <v>32855</v>
      </c>
      <c r="BD24" s="230"/>
      <c r="BE24" s="230"/>
      <c r="BF24" s="230"/>
      <c r="BG24" s="230"/>
      <c r="BH24" s="230"/>
      <c r="BI24" s="230"/>
      <c r="BJ24" s="230"/>
      <c r="BK24" s="230"/>
      <c r="BL24" s="230"/>
      <c r="BM24" s="230"/>
      <c r="BN24" s="230"/>
      <c r="BO24" s="230"/>
      <c r="BP24" s="230"/>
      <c r="BQ24" s="230"/>
      <c r="BR24" s="230"/>
      <c r="BS24" s="230"/>
      <c r="BT24" s="230"/>
      <c r="BU24" s="230"/>
      <c r="BV24" s="230"/>
      <c r="BW24" s="230"/>
      <c r="BX24" s="230"/>
      <c r="BY24" s="230"/>
    </row>
    <row r="25" spans="6:127" ht="53.4" thickBot="1" x14ac:dyDescent="0.35">
      <c r="F25" s="233">
        <v>2011</v>
      </c>
      <c r="G25" s="233" t="s">
        <v>251</v>
      </c>
      <c r="H25" s="233" t="s">
        <v>246</v>
      </c>
      <c r="I25" s="233" t="s">
        <v>246</v>
      </c>
      <c r="J25" s="233" t="s">
        <v>252</v>
      </c>
      <c r="K25" s="233">
        <v>382580</v>
      </c>
      <c r="L25" s="230"/>
      <c r="N25" s="233">
        <v>2015</v>
      </c>
      <c r="O25" s="233" t="s">
        <v>254</v>
      </c>
      <c r="P25" s="233" t="s">
        <v>268</v>
      </c>
      <c r="Q25" s="233" t="s">
        <v>269</v>
      </c>
      <c r="R25" s="233" t="s">
        <v>252</v>
      </c>
      <c r="S25" s="233">
        <v>10023</v>
      </c>
      <c r="T25" s="230"/>
      <c r="V25" s="233">
        <v>2013</v>
      </c>
      <c r="W25" s="233" t="s">
        <v>251</v>
      </c>
      <c r="X25" s="233" t="s">
        <v>275</v>
      </c>
      <c r="Y25" s="233" t="s">
        <v>275</v>
      </c>
      <c r="Z25" s="233" t="s">
        <v>252</v>
      </c>
      <c r="AA25" s="233">
        <v>305703</v>
      </c>
      <c r="AB25" s="230"/>
      <c r="AD25" s="233">
        <v>2016</v>
      </c>
      <c r="AE25" s="233" t="s">
        <v>251</v>
      </c>
      <c r="AF25" s="233" t="s">
        <v>283</v>
      </c>
      <c r="AG25" s="233" t="s">
        <v>284</v>
      </c>
      <c r="AH25" s="233" t="s">
        <v>252</v>
      </c>
      <c r="AI25" s="233">
        <v>220863</v>
      </c>
      <c r="AJ25" s="230"/>
      <c r="AL25" s="233">
        <v>2014</v>
      </c>
      <c r="AM25" s="233" t="s">
        <v>251</v>
      </c>
      <c r="AN25" s="233" t="s">
        <v>248</v>
      </c>
      <c r="AO25" s="233" t="s">
        <v>285</v>
      </c>
      <c r="AP25" s="233" t="s">
        <v>252</v>
      </c>
      <c r="AQ25" s="233">
        <v>263085</v>
      </c>
      <c r="AR25" s="230">
        <f>SUM(AQ21:AQ25)</f>
        <v>1192064</v>
      </c>
      <c r="AS25" s="230"/>
      <c r="AT25" s="298" t="s">
        <v>665</v>
      </c>
      <c r="AU25" s="298" t="s">
        <v>111</v>
      </c>
      <c r="AV25" s="298" t="s">
        <v>667</v>
      </c>
      <c r="AW25" s="298" t="s">
        <v>666</v>
      </c>
      <c r="AX25" s="299">
        <v>1327888</v>
      </c>
      <c r="BD25" s="230"/>
      <c r="BE25" s="230"/>
      <c r="BF25" s="230"/>
      <c r="BG25" s="230"/>
      <c r="BH25" s="230"/>
      <c r="BI25" s="230"/>
      <c r="BJ25" s="230"/>
      <c r="BK25" s="230"/>
      <c r="BL25" s="230"/>
      <c r="BM25" s="230"/>
      <c r="BN25" s="230"/>
      <c r="BO25" s="230"/>
      <c r="BP25" s="230"/>
      <c r="BQ25" s="230"/>
      <c r="BR25" s="230"/>
      <c r="BS25" s="230"/>
      <c r="BT25" s="230"/>
      <c r="BU25" s="230"/>
      <c r="BV25" s="230"/>
      <c r="BW25" s="230"/>
      <c r="BX25" s="230"/>
      <c r="BY25" s="230"/>
    </row>
    <row r="26" spans="6:127" ht="40.200000000000003" thickBot="1" x14ac:dyDescent="0.35">
      <c r="F26" s="234">
        <v>2011</v>
      </c>
      <c r="G26" s="234" t="s">
        <v>251</v>
      </c>
      <c r="H26" s="234" t="s">
        <v>246</v>
      </c>
      <c r="I26" s="234" t="s">
        <v>255</v>
      </c>
      <c r="J26" s="234" t="s">
        <v>252</v>
      </c>
      <c r="K26" s="234">
        <v>249811</v>
      </c>
      <c r="L26" s="230">
        <f>SUM(K24:K26)</f>
        <v>951399</v>
      </c>
      <c r="N26" s="234">
        <v>2015</v>
      </c>
      <c r="O26" s="234" t="s">
        <v>251</v>
      </c>
      <c r="P26" s="234" t="s">
        <v>268</v>
      </c>
      <c r="Q26" s="234" t="s">
        <v>272</v>
      </c>
      <c r="R26" s="234" t="s">
        <v>252</v>
      </c>
      <c r="S26" s="234">
        <v>447912</v>
      </c>
      <c r="T26" s="230"/>
      <c r="V26" s="234">
        <v>2013</v>
      </c>
      <c r="W26" s="234" t="s">
        <v>251</v>
      </c>
      <c r="X26" s="234" t="s">
        <v>275</v>
      </c>
      <c r="Y26" s="234" t="s">
        <v>275</v>
      </c>
      <c r="Z26" s="234" t="s">
        <v>252</v>
      </c>
      <c r="AA26" s="234">
        <v>4750</v>
      </c>
      <c r="AB26" s="230">
        <f>SUM(AA24:AA26)</f>
        <v>605239</v>
      </c>
      <c r="AD26" s="234">
        <v>2016</v>
      </c>
      <c r="AE26" s="234" t="s">
        <v>251</v>
      </c>
      <c r="AF26" s="234" t="s">
        <v>283</v>
      </c>
      <c r="AG26" s="234" t="s">
        <v>286</v>
      </c>
      <c r="AH26" s="234" t="s">
        <v>252</v>
      </c>
      <c r="AI26" s="234">
        <v>77761</v>
      </c>
      <c r="AJ26" s="230"/>
      <c r="AL26" s="234">
        <v>2013</v>
      </c>
      <c r="AM26" s="234" t="s">
        <v>254</v>
      </c>
      <c r="AN26" s="234" t="s">
        <v>248</v>
      </c>
      <c r="AO26" s="234" t="s">
        <v>292</v>
      </c>
      <c r="AP26" s="234" t="s">
        <v>252</v>
      </c>
      <c r="AQ26" s="234">
        <v>76609</v>
      </c>
      <c r="AR26" s="230"/>
      <c r="AS26" s="230"/>
      <c r="AT26" s="492" t="s">
        <v>670</v>
      </c>
      <c r="AU26" s="493"/>
      <c r="AV26" s="493"/>
      <c r="AW26" s="494"/>
      <c r="AX26" s="303">
        <f>SUM(AX17:AX25)</f>
        <v>3909140</v>
      </c>
      <c r="BD26" s="230"/>
      <c r="BE26" s="230"/>
      <c r="BF26" s="230"/>
      <c r="BG26" s="230"/>
      <c r="BH26" s="230"/>
      <c r="BI26" s="230"/>
      <c r="BJ26" s="230"/>
      <c r="BK26" s="230"/>
      <c r="BL26" s="230"/>
      <c r="BM26" s="230"/>
      <c r="BN26" s="230"/>
      <c r="BO26" s="230"/>
      <c r="BP26" s="230"/>
      <c r="BQ26" s="230"/>
      <c r="BR26" s="230"/>
      <c r="BS26" s="230"/>
      <c r="BT26" s="230"/>
      <c r="BU26" s="230"/>
      <c r="BV26" s="230"/>
      <c r="BW26" s="230"/>
      <c r="BX26" s="230"/>
      <c r="BY26" s="230"/>
    </row>
    <row r="27" spans="6:127" ht="40.200000000000003" thickBot="1" x14ac:dyDescent="0.35">
      <c r="F27" s="233">
        <v>2010</v>
      </c>
      <c r="G27" s="233" t="s">
        <v>254</v>
      </c>
      <c r="H27" s="233" t="s">
        <v>246</v>
      </c>
      <c r="I27" s="233" t="s">
        <v>53</v>
      </c>
      <c r="J27" s="233" t="s">
        <v>252</v>
      </c>
      <c r="K27" s="233">
        <v>200037</v>
      </c>
      <c r="L27" s="230"/>
      <c r="N27" s="233">
        <v>2015</v>
      </c>
      <c r="O27" s="233" t="s">
        <v>251</v>
      </c>
      <c r="P27" s="233" t="s">
        <v>268</v>
      </c>
      <c r="Q27" s="233" t="s">
        <v>270</v>
      </c>
      <c r="R27" s="233" t="s">
        <v>252</v>
      </c>
      <c r="S27" s="233">
        <v>100000</v>
      </c>
      <c r="T27" s="230"/>
      <c r="U27" s="231">
        <f>S27</f>
        <v>100000</v>
      </c>
      <c r="V27" s="233">
        <v>2012</v>
      </c>
      <c r="W27" s="233" t="s">
        <v>254</v>
      </c>
      <c r="X27" s="233" t="s">
        <v>275</v>
      </c>
      <c r="Y27" s="233" t="s">
        <v>275</v>
      </c>
      <c r="Z27" s="233" t="s">
        <v>252</v>
      </c>
      <c r="AA27" s="233">
        <v>305090</v>
      </c>
      <c r="AB27" s="230"/>
      <c r="AD27" s="233">
        <v>2016</v>
      </c>
      <c r="AE27" s="233" t="s">
        <v>251</v>
      </c>
      <c r="AF27" s="233" t="s">
        <v>283</v>
      </c>
      <c r="AG27" s="233" t="s">
        <v>279</v>
      </c>
      <c r="AH27" s="233" t="s">
        <v>252</v>
      </c>
      <c r="AI27" s="233">
        <v>47988</v>
      </c>
      <c r="AJ27" s="230">
        <f>SUM(AI20:AI27)</f>
        <v>1527943</v>
      </c>
      <c r="AL27" s="233">
        <v>2013</v>
      </c>
      <c r="AM27" s="233" t="s">
        <v>254</v>
      </c>
      <c r="AN27" s="233" t="s">
        <v>248</v>
      </c>
      <c r="AO27" s="233" t="s">
        <v>248</v>
      </c>
      <c r="AP27" s="233" t="s">
        <v>252</v>
      </c>
      <c r="AQ27" s="233">
        <v>346941</v>
      </c>
      <c r="AR27" s="230"/>
      <c r="AS27" s="230"/>
      <c r="AT27" s="298" t="s">
        <v>648</v>
      </c>
      <c r="AU27" s="298" t="s">
        <v>111</v>
      </c>
      <c r="AV27" s="298" t="s">
        <v>649</v>
      </c>
      <c r="AW27" s="298" t="s">
        <v>650</v>
      </c>
      <c r="AX27" s="299">
        <v>604750</v>
      </c>
      <c r="BD27" s="230"/>
      <c r="BE27" s="230"/>
      <c r="BF27" s="230"/>
      <c r="BG27" s="230"/>
      <c r="BH27" s="230"/>
      <c r="BI27" s="230"/>
      <c r="BJ27" s="230"/>
      <c r="BK27" s="230"/>
      <c r="BL27" s="230"/>
      <c r="BM27" s="230"/>
      <c r="BN27" s="230"/>
      <c r="BO27" s="230"/>
      <c r="BP27" s="230"/>
      <c r="BQ27" s="230"/>
      <c r="BR27" s="230"/>
      <c r="BS27" s="230"/>
      <c r="BT27" s="230"/>
      <c r="BU27" s="230"/>
      <c r="BV27" s="230"/>
      <c r="BW27" s="230"/>
      <c r="BX27" s="230"/>
      <c r="BY27" s="230"/>
    </row>
    <row r="28" spans="6:127" ht="40.200000000000003" thickBot="1" x14ac:dyDescent="0.35">
      <c r="F28" s="234">
        <v>2010</v>
      </c>
      <c r="G28" s="234" t="s">
        <v>251</v>
      </c>
      <c r="H28" s="234" t="s">
        <v>246</v>
      </c>
      <c r="I28" s="234" t="s">
        <v>53</v>
      </c>
      <c r="J28" s="234" t="s">
        <v>252</v>
      </c>
      <c r="K28" s="234">
        <v>356169</v>
      </c>
      <c r="L28" s="230"/>
      <c r="N28" s="234">
        <v>2015</v>
      </c>
      <c r="O28" s="234" t="s">
        <v>251</v>
      </c>
      <c r="P28" s="234" t="s">
        <v>268</v>
      </c>
      <c r="Q28" s="234" t="s">
        <v>272</v>
      </c>
      <c r="R28" s="234" t="s">
        <v>252</v>
      </c>
      <c r="S28" s="234">
        <v>277537</v>
      </c>
      <c r="T28" s="230">
        <f>SUM(S22:S28)</f>
        <v>945877</v>
      </c>
      <c r="V28" s="234">
        <v>2012</v>
      </c>
      <c r="W28" s="234" t="s">
        <v>251</v>
      </c>
      <c r="X28" s="234" t="s">
        <v>275</v>
      </c>
      <c r="Y28" s="234" t="s">
        <v>275</v>
      </c>
      <c r="Z28" s="234" t="s">
        <v>252</v>
      </c>
      <c r="AA28" s="234">
        <v>276788</v>
      </c>
      <c r="AB28" s="230"/>
      <c r="AD28" s="234">
        <v>2015</v>
      </c>
      <c r="AE28" s="234" t="s">
        <v>254</v>
      </c>
      <c r="AF28" s="234" t="s">
        <v>283</v>
      </c>
      <c r="AG28" s="234" t="s">
        <v>284</v>
      </c>
      <c r="AH28" s="234" t="s">
        <v>252</v>
      </c>
      <c r="AI28" s="234">
        <v>314629</v>
      </c>
      <c r="AJ28" s="230"/>
      <c r="AL28" s="234">
        <v>2013</v>
      </c>
      <c r="AM28" s="234" t="s">
        <v>254</v>
      </c>
      <c r="AN28" s="234" t="s">
        <v>248</v>
      </c>
      <c r="AO28" s="234" t="s">
        <v>62</v>
      </c>
      <c r="AP28" s="234" t="s">
        <v>252</v>
      </c>
      <c r="AQ28" s="234">
        <v>200</v>
      </c>
      <c r="AR28" s="230"/>
      <c r="AS28" s="230"/>
      <c r="AT28" s="298" t="s">
        <v>651</v>
      </c>
      <c r="AU28" s="298" t="s">
        <v>111</v>
      </c>
      <c r="AV28" s="298" t="s">
        <v>652</v>
      </c>
      <c r="AW28" s="298" t="s">
        <v>653</v>
      </c>
      <c r="AX28" s="299">
        <v>100043</v>
      </c>
      <c r="AZ28" s="300">
        <f>AX28</f>
        <v>100043</v>
      </c>
      <c r="BD28" s="230"/>
      <c r="BE28" s="230"/>
      <c r="BF28" s="230"/>
      <c r="BG28" s="230"/>
      <c r="BH28" s="230"/>
      <c r="BI28" s="230"/>
      <c r="BJ28" s="230"/>
      <c r="BK28" s="230"/>
      <c r="BL28" s="230"/>
      <c r="BM28" s="230"/>
      <c r="BN28" s="230"/>
      <c r="BO28" s="230"/>
      <c r="BP28" s="230"/>
      <c r="BQ28" s="230"/>
      <c r="BR28" s="230"/>
      <c r="BS28" s="230"/>
      <c r="BT28" s="230"/>
      <c r="BU28" s="230"/>
      <c r="BV28" s="230"/>
      <c r="BW28" s="230"/>
      <c r="BX28" s="230"/>
      <c r="BY28" s="230"/>
    </row>
    <row r="29" spans="6:127" ht="53.4" thickBot="1" x14ac:dyDescent="0.35">
      <c r="F29" s="233">
        <v>2010</v>
      </c>
      <c r="G29" s="233" t="s">
        <v>251</v>
      </c>
      <c r="H29" s="233" t="s">
        <v>246</v>
      </c>
      <c r="I29" s="233" t="s">
        <v>255</v>
      </c>
      <c r="J29" s="233" t="s">
        <v>252</v>
      </c>
      <c r="K29" s="233">
        <v>179535</v>
      </c>
      <c r="L29" s="230">
        <f>SUM(K27:K29)</f>
        <v>735741</v>
      </c>
      <c r="N29" s="233">
        <v>2014</v>
      </c>
      <c r="O29" s="233" t="s">
        <v>254</v>
      </c>
      <c r="P29" s="233" t="s">
        <v>268</v>
      </c>
      <c r="Q29" s="233" t="s">
        <v>271</v>
      </c>
      <c r="R29" s="233" t="s">
        <v>252</v>
      </c>
      <c r="S29" s="233">
        <v>66543</v>
      </c>
      <c r="T29" s="230"/>
      <c r="V29" s="233">
        <v>2012</v>
      </c>
      <c r="W29" s="233" t="s">
        <v>251</v>
      </c>
      <c r="X29" s="233" t="s">
        <v>275</v>
      </c>
      <c r="Y29" s="233" t="s">
        <v>275</v>
      </c>
      <c r="Z29" s="233" t="s">
        <v>252</v>
      </c>
      <c r="AA29" s="233">
        <v>124284</v>
      </c>
      <c r="AB29" s="230">
        <f>SUM(AA27:AA29)</f>
        <v>706162</v>
      </c>
      <c r="AD29" s="233">
        <v>2015</v>
      </c>
      <c r="AE29" s="233" t="s">
        <v>254</v>
      </c>
      <c r="AF29" s="233" t="s">
        <v>283</v>
      </c>
      <c r="AG29" s="233" t="s">
        <v>287</v>
      </c>
      <c r="AH29" s="233" t="s">
        <v>252</v>
      </c>
      <c r="AI29" s="233">
        <v>20000</v>
      </c>
      <c r="AJ29" s="230"/>
      <c r="AL29" s="233">
        <v>2013</v>
      </c>
      <c r="AM29" s="233" t="s">
        <v>251</v>
      </c>
      <c r="AN29" s="233" t="s">
        <v>248</v>
      </c>
      <c r="AO29" s="233" t="s">
        <v>248</v>
      </c>
      <c r="AP29" s="233" t="s">
        <v>252</v>
      </c>
      <c r="AQ29" s="233">
        <v>302416</v>
      </c>
      <c r="AR29" s="230"/>
      <c r="AS29" s="230"/>
      <c r="AT29" s="298" t="s">
        <v>654</v>
      </c>
      <c r="AU29" s="298" t="s">
        <v>111</v>
      </c>
      <c r="AV29" s="298" t="s">
        <v>649</v>
      </c>
      <c r="AW29" s="298" t="s">
        <v>656</v>
      </c>
      <c r="AX29" s="299">
        <v>48972</v>
      </c>
      <c r="BD29" s="230"/>
      <c r="BE29" s="230"/>
      <c r="BF29" s="230"/>
      <c r="BG29" s="230"/>
      <c r="BH29" s="230"/>
      <c r="BI29" s="230"/>
      <c r="BJ29" s="230"/>
      <c r="BK29" s="230"/>
      <c r="BL29" s="230"/>
      <c r="BM29" s="230"/>
      <c r="BN29" s="230"/>
      <c r="BO29" s="230"/>
      <c r="BP29" s="230"/>
      <c r="BQ29" s="230"/>
      <c r="BR29" s="230"/>
      <c r="BS29" s="230"/>
      <c r="BT29" s="230"/>
      <c r="BU29" s="230"/>
      <c r="BV29" s="230"/>
      <c r="BW29" s="230"/>
      <c r="BX29" s="230"/>
      <c r="BY29" s="230"/>
    </row>
    <row r="30" spans="6:127" ht="53.4" thickBot="1" x14ac:dyDescent="0.35">
      <c r="F30" s="234">
        <v>2009</v>
      </c>
      <c r="G30" s="234" t="s">
        <v>254</v>
      </c>
      <c r="H30" s="234" t="s">
        <v>246</v>
      </c>
      <c r="I30" s="234" t="s">
        <v>53</v>
      </c>
      <c r="J30" s="234" t="s">
        <v>252</v>
      </c>
      <c r="K30" s="234">
        <v>220876</v>
      </c>
      <c r="L30" s="230"/>
      <c r="N30" s="234">
        <v>2014</v>
      </c>
      <c r="O30" s="234" t="s">
        <v>254</v>
      </c>
      <c r="P30" s="234" t="s">
        <v>268</v>
      </c>
      <c r="Q30" s="234" t="s">
        <v>271</v>
      </c>
      <c r="R30" s="234" t="s">
        <v>252</v>
      </c>
      <c r="S30" s="234">
        <v>50451</v>
      </c>
      <c r="T30" s="230"/>
      <c r="V30" s="234">
        <v>2011</v>
      </c>
      <c r="W30" s="234" t="s">
        <v>254</v>
      </c>
      <c r="X30" s="234" t="s">
        <v>275</v>
      </c>
      <c r="Y30" s="234" t="s">
        <v>275</v>
      </c>
      <c r="Z30" s="234" t="s">
        <v>252</v>
      </c>
      <c r="AA30" s="234">
        <v>303758</v>
      </c>
      <c r="AB30" s="230"/>
      <c r="AD30" s="234">
        <v>2015</v>
      </c>
      <c r="AE30" s="234" t="s">
        <v>251</v>
      </c>
      <c r="AF30" s="234" t="s">
        <v>283</v>
      </c>
      <c r="AG30" s="234" t="s">
        <v>285</v>
      </c>
      <c r="AH30" s="234" t="s">
        <v>252</v>
      </c>
      <c r="AI30" s="234">
        <v>136900</v>
      </c>
      <c r="AJ30" s="230"/>
      <c r="AL30" s="234">
        <v>2013</v>
      </c>
      <c r="AM30" s="234" t="s">
        <v>251</v>
      </c>
      <c r="AN30" s="234" t="s">
        <v>248</v>
      </c>
      <c r="AO30" s="234" t="s">
        <v>248</v>
      </c>
      <c r="AP30" s="234" t="s">
        <v>252</v>
      </c>
      <c r="AQ30" s="234">
        <v>218100</v>
      </c>
      <c r="AR30" s="230"/>
      <c r="AS30" s="230"/>
      <c r="AT30" s="298" t="s">
        <v>669</v>
      </c>
      <c r="AU30" s="298" t="s">
        <v>111</v>
      </c>
      <c r="AV30" s="298" t="s">
        <v>649</v>
      </c>
      <c r="AW30" s="298" t="s">
        <v>656</v>
      </c>
      <c r="AX30" s="299">
        <v>95801</v>
      </c>
      <c r="BB30" s="230"/>
      <c r="BC30" s="230"/>
      <c r="BD30" s="230"/>
      <c r="BE30" s="230"/>
      <c r="BF30" s="230"/>
      <c r="BG30" s="230"/>
      <c r="BH30" s="230"/>
      <c r="BI30" s="230"/>
      <c r="BJ30" s="230"/>
      <c r="BK30" s="230"/>
      <c r="BL30" s="230"/>
      <c r="BM30" s="230"/>
      <c r="BN30" s="230"/>
      <c r="BO30" s="230"/>
      <c r="BP30" s="230"/>
      <c r="BQ30" s="230"/>
      <c r="BR30" s="230"/>
      <c r="BS30" s="230"/>
      <c r="BT30" s="230"/>
      <c r="BU30" s="230"/>
      <c r="BV30" s="230"/>
      <c r="BW30" s="230"/>
      <c r="BX30" s="230"/>
      <c r="BY30" s="230"/>
    </row>
    <row r="31" spans="6:127" ht="53.4" thickBot="1" x14ac:dyDescent="0.35">
      <c r="F31" s="233">
        <v>2009</v>
      </c>
      <c r="G31" s="233" t="s">
        <v>251</v>
      </c>
      <c r="H31" s="233" t="s">
        <v>246</v>
      </c>
      <c r="I31" s="233" t="s">
        <v>53</v>
      </c>
      <c r="J31" s="233" t="s">
        <v>252</v>
      </c>
      <c r="K31" s="233">
        <v>313098</v>
      </c>
      <c r="L31" s="230"/>
      <c r="N31" s="233">
        <v>2014</v>
      </c>
      <c r="O31" s="233" t="s">
        <v>254</v>
      </c>
      <c r="P31" s="233" t="s">
        <v>268</v>
      </c>
      <c r="Q31" s="233" t="s">
        <v>269</v>
      </c>
      <c r="R31" s="233" t="s">
        <v>252</v>
      </c>
      <c r="S31" s="233">
        <v>33270</v>
      </c>
      <c r="T31" s="230"/>
      <c r="V31" s="233">
        <v>2011</v>
      </c>
      <c r="W31" s="233" t="s">
        <v>251</v>
      </c>
      <c r="X31" s="233" t="s">
        <v>275</v>
      </c>
      <c r="Y31" s="233" t="s">
        <v>275</v>
      </c>
      <c r="Z31" s="233" t="s">
        <v>252</v>
      </c>
      <c r="AA31" s="233">
        <v>307199</v>
      </c>
      <c r="AB31" s="230"/>
      <c r="AD31" s="233">
        <v>2015</v>
      </c>
      <c r="AE31" s="233" t="s">
        <v>251</v>
      </c>
      <c r="AF31" s="233" t="s">
        <v>283</v>
      </c>
      <c r="AG31" s="233" t="s">
        <v>284</v>
      </c>
      <c r="AH31" s="233" t="s">
        <v>252</v>
      </c>
      <c r="AI31" s="233">
        <v>676445</v>
      </c>
      <c r="AJ31" s="230"/>
      <c r="AL31" s="233">
        <v>2013</v>
      </c>
      <c r="AM31" s="233" t="s">
        <v>251</v>
      </c>
      <c r="AN31" s="233" t="s">
        <v>248</v>
      </c>
      <c r="AO31" s="233" t="s">
        <v>285</v>
      </c>
      <c r="AP31" s="233" t="s">
        <v>252</v>
      </c>
      <c r="AQ31" s="233">
        <v>270260</v>
      </c>
      <c r="AR31" s="230"/>
      <c r="AS31" s="230"/>
      <c r="AT31" s="298" t="s">
        <v>657</v>
      </c>
      <c r="AU31" s="298" t="s">
        <v>111</v>
      </c>
      <c r="AV31" s="298" t="s">
        <v>652</v>
      </c>
      <c r="AW31" s="298" t="s">
        <v>659</v>
      </c>
      <c r="AX31" s="299">
        <v>720555</v>
      </c>
      <c r="BB31" s="230"/>
      <c r="BC31" s="230"/>
      <c r="BD31" s="230"/>
      <c r="BE31" s="230"/>
      <c r="BF31" s="230"/>
      <c r="BG31" s="230"/>
      <c r="BH31" s="230"/>
      <c r="BI31" s="230"/>
      <c r="BJ31" s="230"/>
      <c r="BK31" s="230"/>
      <c r="BL31" s="230"/>
      <c r="BM31" s="230"/>
      <c r="BN31" s="230"/>
      <c r="BO31" s="230"/>
      <c r="BP31" s="230"/>
      <c r="BQ31" s="230"/>
      <c r="BR31" s="230"/>
      <c r="BS31" s="230"/>
      <c r="BT31" s="230"/>
      <c r="BU31" s="230"/>
      <c r="BV31" s="230"/>
      <c r="BW31" s="230"/>
      <c r="BX31" s="230"/>
      <c r="BY31" s="230"/>
    </row>
    <row r="32" spans="6:127" ht="40.200000000000003" thickBot="1" x14ac:dyDescent="0.35">
      <c r="F32" s="234">
        <v>2009</v>
      </c>
      <c r="G32" s="234" t="s">
        <v>251</v>
      </c>
      <c r="H32" s="234" t="s">
        <v>246</v>
      </c>
      <c r="I32" s="234" t="s">
        <v>255</v>
      </c>
      <c r="J32" s="234" t="s">
        <v>252</v>
      </c>
      <c r="K32" s="234">
        <v>164356</v>
      </c>
      <c r="L32" s="230">
        <f>SUM(K30:K32)</f>
        <v>698330</v>
      </c>
      <c r="N32" s="234">
        <v>2014</v>
      </c>
      <c r="O32" s="234" t="s">
        <v>251</v>
      </c>
      <c r="P32" s="234" t="s">
        <v>268</v>
      </c>
      <c r="Q32" s="234" t="s">
        <v>272</v>
      </c>
      <c r="R32" s="234" t="s">
        <v>252</v>
      </c>
      <c r="S32" s="234">
        <v>179887</v>
      </c>
      <c r="T32" s="230"/>
      <c r="V32" s="234">
        <v>2011</v>
      </c>
      <c r="W32" s="234" t="s">
        <v>251</v>
      </c>
      <c r="X32" s="234" t="s">
        <v>275</v>
      </c>
      <c r="Y32" s="234" t="s">
        <v>275</v>
      </c>
      <c r="Z32" s="234" t="s">
        <v>252</v>
      </c>
      <c r="AA32" s="234">
        <v>298994</v>
      </c>
      <c r="AB32" s="230">
        <f>SUM(AA30:AA32)</f>
        <v>909951</v>
      </c>
      <c r="AD32" s="234">
        <v>2015</v>
      </c>
      <c r="AE32" s="234" t="s">
        <v>251</v>
      </c>
      <c r="AF32" s="234" t="s">
        <v>283</v>
      </c>
      <c r="AG32" s="234" t="s">
        <v>284</v>
      </c>
      <c r="AH32" s="234" t="s">
        <v>252</v>
      </c>
      <c r="AI32" s="234">
        <v>280917</v>
      </c>
      <c r="AJ32" s="230"/>
      <c r="AL32" s="234">
        <v>2013</v>
      </c>
      <c r="AM32" s="234" t="s">
        <v>251</v>
      </c>
      <c r="AN32" s="234" t="s">
        <v>248</v>
      </c>
      <c r="AO32" s="234" t="s">
        <v>285</v>
      </c>
      <c r="AP32" s="234" t="s">
        <v>252</v>
      </c>
      <c r="AQ32" s="234">
        <v>18700</v>
      </c>
      <c r="AR32" s="230"/>
      <c r="AS32" s="230"/>
      <c r="AT32" s="298" t="s">
        <v>660</v>
      </c>
      <c r="AU32" s="298" t="s">
        <v>111</v>
      </c>
      <c r="AV32" s="298" t="s">
        <v>663</v>
      </c>
      <c r="AW32" s="298" t="s">
        <v>662</v>
      </c>
      <c r="AX32" s="299">
        <v>1025447</v>
      </c>
      <c r="BA32" s="30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row>
    <row r="33" spans="6:77" ht="40.200000000000003" thickBot="1" x14ac:dyDescent="0.35">
      <c r="F33" s="233">
        <v>2008</v>
      </c>
      <c r="G33" s="233" t="s">
        <v>254</v>
      </c>
      <c r="H33" s="233" t="s">
        <v>246</v>
      </c>
      <c r="I33" s="233" t="s">
        <v>53</v>
      </c>
      <c r="J33" s="233" t="s">
        <v>252</v>
      </c>
      <c r="K33" s="233">
        <v>321337</v>
      </c>
      <c r="L33" s="230"/>
      <c r="N33" s="233">
        <v>2014</v>
      </c>
      <c r="O33" s="233" t="s">
        <v>251</v>
      </c>
      <c r="P33" s="233" t="s">
        <v>268</v>
      </c>
      <c r="Q33" s="233" t="s">
        <v>272</v>
      </c>
      <c r="R33" s="233" t="s">
        <v>252</v>
      </c>
      <c r="S33" s="233">
        <v>260751</v>
      </c>
      <c r="T33" s="230"/>
      <c r="V33" s="233">
        <v>2010</v>
      </c>
      <c r="W33" s="233" t="s">
        <v>254</v>
      </c>
      <c r="X33" s="233" t="s">
        <v>275</v>
      </c>
      <c r="Y33" s="233" t="s">
        <v>273</v>
      </c>
      <c r="Z33" s="233" t="s">
        <v>252</v>
      </c>
      <c r="AA33" s="233">
        <v>309557</v>
      </c>
      <c r="AB33" s="230"/>
      <c r="AD33" s="233">
        <v>2015</v>
      </c>
      <c r="AE33" s="233" t="s">
        <v>251</v>
      </c>
      <c r="AF33" s="233" t="s">
        <v>283</v>
      </c>
      <c r="AG33" s="233" t="s">
        <v>284</v>
      </c>
      <c r="AH33" s="233" t="s">
        <v>252</v>
      </c>
      <c r="AI33" s="233">
        <v>282777</v>
      </c>
      <c r="AJ33" s="230"/>
      <c r="AL33" s="233">
        <v>2013</v>
      </c>
      <c r="AM33" s="233" t="s">
        <v>251</v>
      </c>
      <c r="AN33" s="233" t="s">
        <v>248</v>
      </c>
      <c r="AO33" s="233" t="s">
        <v>285</v>
      </c>
      <c r="AP33" s="233" t="s">
        <v>252</v>
      </c>
      <c r="AQ33" s="233">
        <v>81400</v>
      </c>
      <c r="AR33" s="230">
        <f>SUM(AQ26:AQ33)</f>
        <v>1314626</v>
      </c>
      <c r="AS33" s="230"/>
      <c r="AT33" s="298" t="s">
        <v>664</v>
      </c>
      <c r="AU33" s="298" t="s">
        <v>111</v>
      </c>
      <c r="AV33" s="298" t="s">
        <v>649</v>
      </c>
      <c r="AW33" s="298" t="s">
        <v>656</v>
      </c>
      <c r="AX33" s="299">
        <v>89157</v>
      </c>
      <c r="BB33" s="230"/>
      <c r="BC33" s="230"/>
      <c r="BD33" s="230"/>
      <c r="BE33" s="230"/>
      <c r="BF33" s="230"/>
      <c r="BG33" s="230"/>
      <c r="BH33" s="230"/>
      <c r="BI33" s="230"/>
      <c r="BJ33" s="230"/>
      <c r="BK33" s="230"/>
      <c r="BL33" s="230"/>
      <c r="BM33" s="230"/>
      <c r="BN33" s="230"/>
      <c r="BO33" s="230"/>
      <c r="BP33" s="230"/>
      <c r="BQ33" s="230"/>
      <c r="BR33" s="230"/>
      <c r="BS33" s="230"/>
      <c r="BT33" s="230"/>
      <c r="BU33" s="230"/>
      <c r="BV33" s="230"/>
      <c r="BW33" s="230"/>
      <c r="BX33" s="230"/>
      <c r="BY33" s="230"/>
    </row>
    <row r="34" spans="6:77" ht="40.200000000000003" thickBot="1" x14ac:dyDescent="0.35">
      <c r="F34" s="234">
        <v>2008</v>
      </c>
      <c r="G34" s="234" t="s">
        <v>254</v>
      </c>
      <c r="H34" s="234" t="s">
        <v>246</v>
      </c>
      <c r="I34" s="234" t="s">
        <v>53</v>
      </c>
      <c r="J34" s="234" t="s">
        <v>252</v>
      </c>
      <c r="K34" s="234">
        <v>90847</v>
      </c>
      <c r="L34" s="230"/>
      <c r="N34" s="234">
        <v>2014</v>
      </c>
      <c r="O34" s="234" t="s">
        <v>251</v>
      </c>
      <c r="P34" s="234" t="s">
        <v>268</v>
      </c>
      <c r="Q34" s="234" t="s">
        <v>272</v>
      </c>
      <c r="R34" s="234" t="s">
        <v>252</v>
      </c>
      <c r="S34" s="234">
        <v>244386</v>
      </c>
      <c r="T34" s="230">
        <f>SUM(S29:S34)</f>
        <v>835288</v>
      </c>
      <c r="V34" s="234">
        <v>2010</v>
      </c>
      <c r="W34" s="234" t="s">
        <v>251</v>
      </c>
      <c r="X34" s="234" t="s">
        <v>275</v>
      </c>
      <c r="Y34" s="234" t="s">
        <v>275</v>
      </c>
      <c r="Z34" s="234" t="s">
        <v>252</v>
      </c>
      <c r="AA34" s="234">
        <v>305640</v>
      </c>
      <c r="AB34" s="230"/>
      <c r="AD34" s="234">
        <v>2015</v>
      </c>
      <c r="AE34" s="234" t="s">
        <v>251</v>
      </c>
      <c r="AF34" s="234" t="s">
        <v>283</v>
      </c>
      <c r="AG34" s="234" t="s">
        <v>284</v>
      </c>
      <c r="AH34" s="234" t="s">
        <v>252</v>
      </c>
      <c r="AI34" s="234">
        <v>286254</v>
      </c>
      <c r="AJ34" s="230">
        <f>SUM(AI28:AI34)</f>
        <v>1997922</v>
      </c>
      <c r="AL34" s="234">
        <v>2012</v>
      </c>
      <c r="AM34" s="234" t="s">
        <v>254</v>
      </c>
      <c r="AN34" s="234" t="s">
        <v>248</v>
      </c>
      <c r="AO34" s="234" t="s">
        <v>292</v>
      </c>
      <c r="AP34" s="234" t="s">
        <v>252</v>
      </c>
      <c r="AQ34" s="234">
        <v>124170</v>
      </c>
      <c r="AR34" s="230"/>
      <c r="AS34" s="230"/>
      <c r="AT34" s="298" t="s">
        <v>665</v>
      </c>
      <c r="AU34" s="298" t="s">
        <v>111</v>
      </c>
      <c r="AV34" s="298" t="s">
        <v>667</v>
      </c>
      <c r="AW34" s="298" t="s">
        <v>666</v>
      </c>
      <c r="AX34" s="299">
        <v>1161698</v>
      </c>
      <c r="BB34" s="230"/>
      <c r="BC34" s="230"/>
      <c r="BD34" s="230"/>
      <c r="BE34" s="230"/>
      <c r="BF34" s="230"/>
      <c r="BG34" s="230"/>
      <c r="BH34" s="230"/>
      <c r="BI34" s="230"/>
      <c r="BJ34" s="230"/>
      <c r="BK34" s="230"/>
      <c r="BL34" s="230"/>
      <c r="BM34" s="230"/>
      <c r="BN34" s="230"/>
      <c r="BO34" s="230"/>
      <c r="BP34" s="230"/>
      <c r="BQ34" s="230"/>
      <c r="BR34" s="230"/>
      <c r="BS34" s="230"/>
      <c r="BT34" s="230"/>
      <c r="BU34" s="230"/>
      <c r="BV34" s="230"/>
      <c r="BW34" s="230"/>
      <c r="BX34" s="230"/>
      <c r="BY34" s="230"/>
    </row>
    <row r="35" spans="6:77" ht="53.4" thickBot="1" x14ac:dyDescent="0.35">
      <c r="F35" s="233">
        <v>2008</v>
      </c>
      <c r="G35" s="233" t="s">
        <v>251</v>
      </c>
      <c r="H35" s="233" t="s">
        <v>246</v>
      </c>
      <c r="I35" s="233" t="s">
        <v>255</v>
      </c>
      <c r="J35" s="233" t="s">
        <v>252</v>
      </c>
      <c r="K35" s="233">
        <v>149996</v>
      </c>
      <c r="L35" s="230"/>
      <c r="N35" s="233">
        <v>2013</v>
      </c>
      <c r="O35" s="233" t="s">
        <v>254</v>
      </c>
      <c r="P35" s="233" t="s">
        <v>268</v>
      </c>
      <c r="Q35" s="233" t="s">
        <v>271</v>
      </c>
      <c r="R35" s="233" t="s">
        <v>252</v>
      </c>
      <c r="S35" s="233">
        <v>100046</v>
      </c>
      <c r="T35" s="230"/>
      <c r="V35" s="233">
        <v>2010</v>
      </c>
      <c r="W35" s="233" t="s">
        <v>251</v>
      </c>
      <c r="X35" s="233" t="s">
        <v>275</v>
      </c>
      <c r="Y35" s="233" t="s">
        <v>275</v>
      </c>
      <c r="Z35" s="233" t="s">
        <v>252</v>
      </c>
      <c r="AA35" s="233">
        <v>431034</v>
      </c>
      <c r="AB35" s="230">
        <f>SUM(AA33:AA35)</f>
        <v>1046231</v>
      </c>
      <c r="AD35" s="233">
        <v>2014</v>
      </c>
      <c r="AE35" s="233" t="s">
        <v>254</v>
      </c>
      <c r="AF35" s="233" t="s">
        <v>283</v>
      </c>
      <c r="AG35" s="233" t="s">
        <v>284</v>
      </c>
      <c r="AH35" s="233" t="s">
        <v>252</v>
      </c>
      <c r="AI35" s="233">
        <v>299319</v>
      </c>
      <c r="AJ35" s="230"/>
      <c r="AL35" s="233">
        <v>2012</v>
      </c>
      <c r="AM35" s="233" t="s">
        <v>254</v>
      </c>
      <c r="AN35" s="233" t="s">
        <v>248</v>
      </c>
      <c r="AO35" s="233" t="s">
        <v>248</v>
      </c>
      <c r="AP35" s="233" t="s">
        <v>252</v>
      </c>
      <c r="AQ35" s="233">
        <v>352836</v>
      </c>
      <c r="AR35" s="230"/>
      <c r="AS35" s="230"/>
      <c r="AT35" s="492" t="s">
        <v>671</v>
      </c>
      <c r="AU35" s="493"/>
      <c r="AV35" s="493"/>
      <c r="AW35" s="494"/>
      <c r="AX35" s="303">
        <f>SUM(AX27:AX34)</f>
        <v>3846423</v>
      </c>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row>
    <row r="36" spans="6:77" ht="53.4" thickBot="1" x14ac:dyDescent="0.35">
      <c r="F36" s="234">
        <v>2008</v>
      </c>
      <c r="G36" s="234" t="s">
        <v>251</v>
      </c>
      <c r="H36" s="234" t="s">
        <v>246</v>
      </c>
      <c r="I36" s="234" t="s">
        <v>53</v>
      </c>
      <c r="J36" s="234" t="s">
        <v>252</v>
      </c>
      <c r="K36" s="234">
        <v>289264</v>
      </c>
      <c r="L36" s="230"/>
      <c r="N36" s="234">
        <v>2013</v>
      </c>
      <c r="O36" s="234" t="s">
        <v>254</v>
      </c>
      <c r="P36" s="234" t="s">
        <v>268</v>
      </c>
      <c r="Q36" s="234" t="s">
        <v>269</v>
      </c>
      <c r="R36" s="234" t="s">
        <v>252</v>
      </c>
      <c r="S36" s="234">
        <v>100962</v>
      </c>
      <c r="T36" s="230"/>
      <c r="V36" s="234">
        <v>2009</v>
      </c>
      <c r="W36" s="234" t="s">
        <v>254</v>
      </c>
      <c r="X36" s="234" t="s">
        <v>275</v>
      </c>
      <c r="Y36" s="234" t="s">
        <v>273</v>
      </c>
      <c r="Z36" s="234" t="s">
        <v>252</v>
      </c>
      <c r="AA36" s="234">
        <v>303747</v>
      </c>
      <c r="AB36" s="230"/>
      <c r="AD36" s="234">
        <v>2014</v>
      </c>
      <c r="AE36" s="234" t="s">
        <v>254</v>
      </c>
      <c r="AF36" s="234" t="s">
        <v>283</v>
      </c>
      <c r="AG36" s="234" t="s">
        <v>288</v>
      </c>
      <c r="AH36" s="234" t="s">
        <v>252</v>
      </c>
      <c r="AI36" s="234">
        <v>93109</v>
      </c>
      <c r="AJ36" s="230"/>
      <c r="AL36" s="234">
        <v>2012</v>
      </c>
      <c r="AM36" s="234" t="s">
        <v>251</v>
      </c>
      <c r="AN36" s="234" t="s">
        <v>248</v>
      </c>
      <c r="AO36" s="234" t="s">
        <v>248</v>
      </c>
      <c r="AP36" s="234" t="s">
        <v>252</v>
      </c>
      <c r="AQ36" s="234">
        <v>407048</v>
      </c>
      <c r="AR36" s="230"/>
      <c r="AS36" s="230"/>
      <c r="AT36" s="298" t="s">
        <v>648</v>
      </c>
      <c r="AU36" s="298" t="s">
        <v>111</v>
      </c>
      <c r="AV36" s="298" t="s">
        <v>649</v>
      </c>
      <c r="AW36" s="298" t="s">
        <v>650</v>
      </c>
      <c r="AX36" s="299">
        <v>603730</v>
      </c>
      <c r="BB36" s="230"/>
      <c r="BC36" s="230"/>
      <c r="BD36" s="230"/>
      <c r="BE36" s="230"/>
      <c r="BF36" s="230"/>
      <c r="BG36" s="230"/>
      <c r="BH36" s="230"/>
      <c r="BI36" s="230"/>
      <c r="BJ36" s="230"/>
      <c r="BK36" s="230"/>
      <c r="BL36" s="230"/>
      <c r="BM36" s="230"/>
      <c r="BN36" s="230"/>
      <c r="BO36" s="230"/>
      <c r="BP36" s="230"/>
      <c r="BQ36" s="230"/>
      <c r="BR36" s="230"/>
      <c r="BS36" s="230"/>
      <c r="BT36" s="230"/>
      <c r="BU36" s="230"/>
      <c r="BV36" s="230"/>
      <c r="BW36" s="230"/>
      <c r="BX36" s="230"/>
      <c r="BY36" s="230"/>
    </row>
    <row r="37" spans="6:77" ht="40.200000000000003" thickBot="1" x14ac:dyDescent="0.35">
      <c r="F37" s="233">
        <v>2008</v>
      </c>
      <c r="G37" s="233" t="s">
        <v>251</v>
      </c>
      <c r="H37" s="233" t="s">
        <v>246</v>
      </c>
      <c r="I37" s="233" t="s">
        <v>53</v>
      </c>
      <c r="J37" s="233" t="s">
        <v>252</v>
      </c>
      <c r="K37" s="233">
        <v>45177</v>
      </c>
      <c r="L37" s="230">
        <f>SUM(K33:K37)</f>
        <v>896621</v>
      </c>
      <c r="N37" s="233">
        <v>2013</v>
      </c>
      <c r="O37" s="233" t="s">
        <v>251</v>
      </c>
      <c r="P37" s="233" t="s">
        <v>268</v>
      </c>
      <c r="Q37" s="233" t="s">
        <v>255</v>
      </c>
      <c r="R37" s="233" t="s">
        <v>252</v>
      </c>
      <c r="S37" s="233">
        <v>74535</v>
      </c>
      <c r="T37" s="230"/>
      <c r="V37" s="233">
        <v>2009</v>
      </c>
      <c r="W37" s="233" t="s">
        <v>251</v>
      </c>
      <c r="X37" s="233" t="s">
        <v>275</v>
      </c>
      <c r="Y37" s="233" t="s">
        <v>273</v>
      </c>
      <c r="Z37" s="233" t="s">
        <v>252</v>
      </c>
      <c r="AA37" s="233">
        <v>312450</v>
      </c>
      <c r="AB37" s="230"/>
      <c r="AD37" s="233">
        <v>2014</v>
      </c>
      <c r="AE37" s="233" t="s">
        <v>254</v>
      </c>
      <c r="AF37" s="233" t="s">
        <v>283</v>
      </c>
      <c r="AG37" s="233" t="s">
        <v>287</v>
      </c>
      <c r="AH37" s="233" t="s">
        <v>252</v>
      </c>
      <c r="AI37" s="233">
        <v>33376</v>
      </c>
      <c r="AJ37" s="230"/>
      <c r="AL37" s="233">
        <v>2012</v>
      </c>
      <c r="AM37" s="233" t="s">
        <v>251</v>
      </c>
      <c r="AN37" s="233" t="s">
        <v>248</v>
      </c>
      <c r="AO37" s="233" t="s">
        <v>62</v>
      </c>
      <c r="AP37" s="233" t="s">
        <v>252</v>
      </c>
      <c r="AQ37" s="233">
        <v>460043</v>
      </c>
      <c r="AR37" s="230">
        <f>SUM(AQ34:AQ37)</f>
        <v>1344097</v>
      </c>
      <c r="AS37" s="230"/>
      <c r="AT37" s="298" t="s">
        <v>651</v>
      </c>
      <c r="AU37" s="298" t="s">
        <v>111</v>
      </c>
      <c r="AV37" s="298" t="s">
        <v>652</v>
      </c>
      <c r="AW37" s="298" t="s">
        <v>653</v>
      </c>
      <c r="AX37" s="299">
        <v>100907</v>
      </c>
      <c r="AZ37" s="300">
        <f>AX37</f>
        <v>100907</v>
      </c>
      <c r="BB37" s="230"/>
      <c r="BC37" s="230"/>
      <c r="BD37" s="230"/>
      <c r="BE37" s="230"/>
      <c r="BF37" s="230"/>
      <c r="BG37" s="230"/>
      <c r="BH37" s="230"/>
      <c r="BI37" s="230"/>
      <c r="BJ37" s="230"/>
      <c r="BK37" s="230"/>
      <c r="BL37" s="230"/>
      <c r="BM37" s="230"/>
      <c r="BN37" s="230"/>
      <c r="BO37" s="230"/>
      <c r="BP37" s="230"/>
      <c r="BQ37" s="230"/>
      <c r="BR37" s="230"/>
      <c r="BS37" s="230"/>
      <c r="BT37" s="230"/>
      <c r="BU37" s="230"/>
      <c r="BV37" s="230"/>
      <c r="BW37" s="230"/>
      <c r="BX37" s="230"/>
      <c r="BY37" s="230"/>
    </row>
    <row r="38" spans="6:77" ht="40.200000000000003" thickBot="1" x14ac:dyDescent="0.35">
      <c r="F38" s="234">
        <v>2007</v>
      </c>
      <c r="G38" s="234" t="s">
        <v>254</v>
      </c>
      <c r="H38" s="234" t="s">
        <v>246</v>
      </c>
      <c r="I38" s="234" t="s">
        <v>53</v>
      </c>
      <c r="J38" s="234" t="s">
        <v>252</v>
      </c>
      <c r="K38" s="234">
        <v>322437</v>
      </c>
      <c r="L38" s="230"/>
      <c r="N38" s="234">
        <v>2013</v>
      </c>
      <c r="O38" s="234" t="s">
        <v>251</v>
      </c>
      <c r="P38" s="234" t="s">
        <v>268</v>
      </c>
      <c r="Q38" s="234" t="s">
        <v>255</v>
      </c>
      <c r="R38" s="234" t="s">
        <v>252</v>
      </c>
      <c r="S38" s="234">
        <v>68442</v>
      </c>
      <c r="T38" s="230"/>
      <c r="V38" s="234">
        <v>2009</v>
      </c>
      <c r="W38" s="234" t="s">
        <v>251</v>
      </c>
      <c r="X38" s="234" t="s">
        <v>275</v>
      </c>
      <c r="Y38" s="234" t="s">
        <v>273</v>
      </c>
      <c r="Z38" s="234" t="s">
        <v>252</v>
      </c>
      <c r="AA38" s="234">
        <v>327841</v>
      </c>
      <c r="AB38" s="230"/>
      <c r="AD38" s="234">
        <v>2014</v>
      </c>
      <c r="AE38" s="234" t="s">
        <v>254</v>
      </c>
      <c r="AF38" s="234" t="s">
        <v>283</v>
      </c>
      <c r="AG38" s="234" t="s">
        <v>288</v>
      </c>
      <c r="AH38" s="234" t="s">
        <v>252</v>
      </c>
      <c r="AI38" s="234">
        <v>74631</v>
      </c>
      <c r="AJ38" s="230"/>
      <c r="AL38" s="234">
        <v>2011</v>
      </c>
      <c r="AM38" s="234" t="s">
        <v>254</v>
      </c>
      <c r="AN38" s="234" t="s">
        <v>248</v>
      </c>
      <c r="AO38" s="234" t="s">
        <v>292</v>
      </c>
      <c r="AP38" s="234" t="s">
        <v>252</v>
      </c>
      <c r="AQ38" s="234">
        <v>109998</v>
      </c>
      <c r="AR38" s="230"/>
      <c r="AS38" s="230"/>
      <c r="AT38" s="298" t="s">
        <v>654</v>
      </c>
      <c r="AU38" s="298" t="s">
        <v>111</v>
      </c>
      <c r="AV38" s="298" t="s">
        <v>649</v>
      </c>
      <c r="AW38" s="298" t="s">
        <v>656</v>
      </c>
      <c r="AX38" s="299">
        <v>51725</v>
      </c>
      <c r="BB38" s="230"/>
      <c r="BC38" s="230"/>
      <c r="BD38" s="230"/>
      <c r="BE38" s="230"/>
      <c r="BF38" s="230"/>
      <c r="BG38" s="230"/>
      <c r="BH38" s="230"/>
      <c r="BI38" s="230"/>
      <c r="BJ38" s="230"/>
      <c r="BK38" s="230"/>
      <c r="BL38" s="230"/>
      <c r="BM38" s="230"/>
      <c r="BN38" s="230"/>
      <c r="BO38" s="230"/>
      <c r="BP38" s="230"/>
      <c r="BQ38" s="230"/>
      <c r="BR38" s="230"/>
      <c r="BS38" s="230"/>
      <c r="BT38" s="230"/>
      <c r="BU38" s="230"/>
      <c r="BV38" s="230"/>
      <c r="BW38" s="230"/>
      <c r="BX38" s="230"/>
      <c r="BY38" s="230"/>
    </row>
    <row r="39" spans="6:77" ht="40.200000000000003" thickBot="1" x14ac:dyDescent="0.35">
      <c r="F39" s="233">
        <v>2007</v>
      </c>
      <c r="G39" s="233" t="s">
        <v>251</v>
      </c>
      <c r="H39" s="233" t="s">
        <v>246</v>
      </c>
      <c r="I39" s="233" t="s">
        <v>53</v>
      </c>
      <c r="J39" s="233" t="s">
        <v>252</v>
      </c>
      <c r="K39" s="233">
        <v>62014</v>
      </c>
      <c r="L39" s="230"/>
      <c r="N39" s="233">
        <v>2013</v>
      </c>
      <c r="O39" s="233" t="s">
        <v>251</v>
      </c>
      <c r="P39" s="233" t="s">
        <v>268</v>
      </c>
      <c r="Q39" s="233" t="s">
        <v>255</v>
      </c>
      <c r="R39" s="233" t="s">
        <v>252</v>
      </c>
      <c r="S39" s="233">
        <v>37300</v>
      </c>
      <c r="T39" s="230"/>
      <c r="V39" s="233">
        <v>2009</v>
      </c>
      <c r="W39" s="233" t="s">
        <v>251</v>
      </c>
      <c r="X39" s="233" t="s">
        <v>275</v>
      </c>
      <c r="Y39" s="233" t="s">
        <v>273</v>
      </c>
      <c r="Z39" s="233" t="s">
        <v>252</v>
      </c>
      <c r="AA39" s="233">
        <v>121385</v>
      </c>
      <c r="AB39" s="230">
        <f>SUM(AA36:AA39)</f>
        <v>1065423</v>
      </c>
      <c r="AD39" s="233">
        <v>2014</v>
      </c>
      <c r="AE39" s="233" t="s">
        <v>254</v>
      </c>
      <c r="AF39" s="233" t="s">
        <v>283</v>
      </c>
      <c r="AG39" s="233" t="s">
        <v>274</v>
      </c>
      <c r="AH39" s="233" t="s">
        <v>252</v>
      </c>
      <c r="AI39" s="233">
        <v>37340</v>
      </c>
      <c r="AJ39" s="230"/>
      <c r="AL39" s="233">
        <v>2011</v>
      </c>
      <c r="AM39" s="233" t="s">
        <v>254</v>
      </c>
      <c r="AN39" s="233" t="s">
        <v>248</v>
      </c>
      <c r="AO39" s="233" t="s">
        <v>248</v>
      </c>
      <c r="AP39" s="233" t="s">
        <v>252</v>
      </c>
      <c r="AQ39" s="233">
        <v>349669</v>
      </c>
      <c r="AR39" s="230"/>
      <c r="AS39" s="230"/>
      <c r="AT39" s="490" t="s">
        <v>669</v>
      </c>
      <c r="AU39" s="298" t="s">
        <v>111</v>
      </c>
      <c r="AV39" s="298" t="s">
        <v>649</v>
      </c>
      <c r="AW39" s="298" t="s">
        <v>650</v>
      </c>
      <c r="AX39" s="299">
        <v>19380</v>
      </c>
      <c r="BB39" s="230"/>
      <c r="BC39" s="230"/>
      <c r="BD39" s="230"/>
      <c r="BE39" s="230"/>
      <c r="BF39" s="230"/>
      <c r="BG39" s="230"/>
      <c r="BH39" s="230"/>
      <c r="BI39" s="230"/>
      <c r="BJ39" s="230"/>
      <c r="BK39" s="230"/>
      <c r="BL39" s="230"/>
      <c r="BM39" s="230"/>
      <c r="BN39" s="230"/>
      <c r="BO39" s="230"/>
      <c r="BP39" s="230"/>
      <c r="BQ39" s="230"/>
      <c r="BR39" s="230"/>
      <c r="BS39" s="230"/>
      <c r="BT39" s="230"/>
      <c r="BU39" s="230"/>
      <c r="BV39" s="230"/>
      <c r="BW39" s="230"/>
      <c r="BX39" s="230"/>
      <c r="BY39" s="230"/>
    </row>
    <row r="40" spans="6:77" ht="40.200000000000003" thickBot="1" x14ac:dyDescent="0.35">
      <c r="F40" s="234">
        <v>2007</v>
      </c>
      <c r="G40" s="234" t="s">
        <v>251</v>
      </c>
      <c r="H40" s="234" t="s">
        <v>246</v>
      </c>
      <c r="I40" s="234" t="s">
        <v>255</v>
      </c>
      <c r="J40" s="234" t="s">
        <v>252</v>
      </c>
      <c r="K40" s="234">
        <v>107310</v>
      </c>
      <c r="L40" s="230"/>
      <c r="N40" s="234">
        <v>2013</v>
      </c>
      <c r="O40" s="234" t="s">
        <v>251</v>
      </c>
      <c r="P40" s="234" t="s">
        <v>268</v>
      </c>
      <c r="Q40" s="234" t="s">
        <v>269</v>
      </c>
      <c r="R40" s="234" t="s">
        <v>252</v>
      </c>
      <c r="S40" s="234">
        <v>228996</v>
      </c>
      <c r="T40" s="230"/>
      <c r="V40" s="234">
        <v>2008</v>
      </c>
      <c r="W40" s="234" t="s">
        <v>254</v>
      </c>
      <c r="X40" s="234" t="s">
        <v>275</v>
      </c>
      <c r="Y40" s="234" t="s">
        <v>273</v>
      </c>
      <c r="Z40" s="234" t="s">
        <v>252</v>
      </c>
      <c r="AA40" s="234">
        <v>316790</v>
      </c>
      <c r="AB40" s="230"/>
      <c r="AD40" s="234">
        <v>2014</v>
      </c>
      <c r="AE40" s="234" t="s">
        <v>254</v>
      </c>
      <c r="AF40" s="234" t="s">
        <v>283</v>
      </c>
      <c r="AG40" s="234" t="s">
        <v>287</v>
      </c>
      <c r="AH40" s="234" t="s">
        <v>252</v>
      </c>
      <c r="AI40" s="234">
        <v>57505</v>
      </c>
      <c r="AJ40" s="230"/>
      <c r="AL40" s="234">
        <v>2011</v>
      </c>
      <c r="AM40" s="234" t="s">
        <v>251</v>
      </c>
      <c r="AN40" s="234" t="s">
        <v>248</v>
      </c>
      <c r="AO40" s="234" t="s">
        <v>248</v>
      </c>
      <c r="AP40" s="234" t="s">
        <v>252</v>
      </c>
      <c r="AQ40" s="234">
        <v>406748</v>
      </c>
      <c r="AR40" s="230"/>
      <c r="AS40" s="230"/>
      <c r="AT40" s="491"/>
      <c r="AU40" s="301"/>
      <c r="AV40" s="301"/>
      <c r="AW40" s="298" t="s">
        <v>656</v>
      </c>
      <c r="AX40" s="299">
        <v>106784</v>
      </c>
      <c r="BA40" s="304"/>
      <c r="BB40" s="230"/>
      <c r="BC40" s="230"/>
      <c r="BD40" s="230"/>
      <c r="BE40" s="230"/>
      <c r="BF40" s="230"/>
      <c r="BG40" s="230"/>
      <c r="BH40" s="230"/>
      <c r="BI40" s="230"/>
      <c r="BJ40" s="230"/>
      <c r="BK40" s="230"/>
      <c r="BL40" s="230"/>
      <c r="BM40" s="230"/>
      <c r="BN40" s="230"/>
      <c r="BO40" s="230"/>
      <c r="BP40" s="230"/>
      <c r="BQ40" s="230"/>
      <c r="BR40" s="230"/>
      <c r="BS40" s="230"/>
      <c r="BT40" s="230"/>
      <c r="BU40" s="230"/>
      <c r="BV40" s="230"/>
      <c r="BW40" s="230"/>
      <c r="BX40" s="230"/>
      <c r="BY40" s="230"/>
    </row>
    <row r="41" spans="6:77" ht="40.200000000000003" thickBot="1" x14ac:dyDescent="0.35">
      <c r="F41" s="233">
        <v>2007</v>
      </c>
      <c r="G41" s="233" t="s">
        <v>251</v>
      </c>
      <c r="H41" s="233" t="s">
        <v>246</v>
      </c>
      <c r="I41" s="233" t="s">
        <v>255</v>
      </c>
      <c r="J41" s="233" t="s">
        <v>252</v>
      </c>
      <c r="K41" s="233">
        <v>47800</v>
      </c>
      <c r="L41" s="230"/>
      <c r="N41" s="233">
        <v>2013</v>
      </c>
      <c r="O41" s="233" t="s">
        <v>251</v>
      </c>
      <c r="P41" s="233" t="s">
        <v>268</v>
      </c>
      <c r="Q41" s="233" t="s">
        <v>269</v>
      </c>
      <c r="R41" s="233" t="s">
        <v>252</v>
      </c>
      <c r="S41" s="233">
        <v>469000</v>
      </c>
      <c r="T41" s="230"/>
      <c r="V41" s="233">
        <v>2008</v>
      </c>
      <c r="W41" s="233" t="s">
        <v>251</v>
      </c>
      <c r="X41" s="233" t="s">
        <v>275</v>
      </c>
      <c r="Y41" s="233" t="s">
        <v>273</v>
      </c>
      <c r="Z41" s="233" t="s">
        <v>252</v>
      </c>
      <c r="AA41" s="233">
        <v>313573</v>
      </c>
      <c r="AB41" s="230"/>
      <c r="AD41" s="233">
        <v>2014</v>
      </c>
      <c r="AE41" s="233" t="s">
        <v>251</v>
      </c>
      <c r="AF41" s="233" t="s">
        <v>283</v>
      </c>
      <c r="AG41" s="233" t="s">
        <v>284</v>
      </c>
      <c r="AH41" s="233" t="s">
        <v>252</v>
      </c>
      <c r="AI41" s="233">
        <v>668754</v>
      </c>
      <c r="AJ41" s="230"/>
      <c r="AL41" s="233">
        <v>2011</v>
      </c>
      <c r="AM41" s="233" t="s">
        <v>251</v>
      </c>
      <c r="AN41" s="233" t="s">
        <v>248</v>
      </c>
      <c r="AO41" s="233" t="s">
        <v>248</v>
      </c>
      <c r="AP41" s="233" t="s">
        <v>252</v>
      </c>
      <c r="AQ41" s="233">
        <v>463718</v>
      </c>
      <c r="AR41" s="230">
        <f>SUM(AQ38:AQ41)</f>
        <v>1330133</v>
      </c>
      <c r="AS41" s="230"/>
      <c r="AT41" s="298" t="s">
        <v>657</v>
      </c>
      <c r="AU41" s="298" t="s">
        <v>111</v>
      </c>
      <c r="AV41" s="298" t="s">
        <v>652</v>
      </c>
      <c r="AW41" s="298" t="s">
        <v>659</v>
      </c>
      <c r="AX41" s="299">
        <v>703596</v>
      </c>
      <c r="BB41" s="230"/>
      <c r="BC41" s="230"/>
      <c r="BD41" s="230"/>
      <c r="BE41" s="230"/>
      <c r="BF41" s="230"/>
      <c r="BG41" s="230"/>
      <c r="BH41" s="230"/>
      <c r="BI41" s="230"/>
      <c r="BJ41" s="230"/>
      <c r="BK41" s="230"/>
      <c r="BL41" s="230"/>
      <c r="BM41" s="230"/>
      <c r="BN41" s="230"/>
      <c r="BO41" s="230"/>
      <c r="BP41" s="230"/>
      <c r="BQ41" s="230"/>
      <c r="BR41" s="230"/>
      <c r="BS41" s="230"/>
      <c r="BT41" s="230"/>
      <c r="BU41" s="230"/>
      <c r="BV41" s="230"/>
      <c r="BW41" s="230"/>
      <c r="BX41" s="230"/>
      <c r="BY41" s="230"/>
    </row>
    <row r="42" spans="6:77" ht="40.200000000000003" thickBot="1" x14ac:dyDescent="0.35">
      <c r="F42" s="234">
        <v>2007</v>
      </c>
      <c r="G42" s="234" t="s">
        <v>251</v>
      </c>
      <c r="H42" s="234" t="s">
        <v>246</v>
      </c>
      <c r="I42" s="234" t="s">
        <v>53</v>
      </c>
      <c r="J42" s="234" t="s">
        <v>252</v>
      </c>
      <c r="K42" s="234">
        <v>278878</v>
      </c>
      <c r="L42" s="230">
        <f>SUM(K38:K42)</f>
        <v>818439</v>
      </c>
      <c r="N42" s="234">
        <v>2013</v>
      </c>
      <c r="O42" s="234" t="s">
        <v>251</v>
      </c>
      <c r="P42" s="234" t="s">
        <v>268</v>
      </c>
      <c r="Q42" s="234" t="s">
        <v>269</v>
      </c>
      <c r="R42" s="234" t="s">
        <v>252</v>
      </c>
      <c r="S42" s="234">
        <v>14674</v>
      </c>
      <c r="T42" s="230">
        <f>SUM(S35:S42)</f>
        <v>1093955</v>
      </c>
      <c r="V42" s="234">
        <v>2008</v>
      </c>
      <c r="W42" s="234" t="s">
        <v>251</v>
      </c>
      <c r="X42" s="234" t="s">
        <v>275</v>
      </c>
      <c r="Y42" s="234" t="s">
        <v>273</v>
      </c>
      <c r="Z42" s="234" t="s">
        <v>252</v>
      </c>
      <c r="AA42" s="234">
        <v>165532</v>
      </c>
      <c r="AB42" s="230">
        <f>SUM(AA40:AA42)</f>
        <v>795895</v>
      </c>
      <c r="AD42" s="234">
        <v>2014</v>
      </c>
      <c r="AE42" s="234" t="s">
        <v>251</v>
      </c>
      <c r="AF42" s="234" t="s">
        <v>283</v>
      </c>
      <c r="AG42" s="234" t="s">
        <v>284</v>
      </c>
      <c r="AH42" s="234" t="s">
        <v>252</v>
      </c>
      <c r="AI42" s="234">
        <v>227095</v>
      </c>
      <c r="AJ42" s="230"/>
      <c r="AL42" s="234">
        <v>2010</v>
      </c>
      <c r="AM42" s="234" t="s">
        <v>254</v>
      </c>
      <c r="AN42" s="234" t="s">
        <v>248</v>
      </c>
      <c r="AO42" s="234" t="s">
        <v>292</v>
      </c>
      <c r="AP42" s="234" t="s">
        <v>252</v>
      </c>
      <c r="AQ42" s="234">
        <v>70176</v>
      </c>
      <c r="AR42" s="230"/>
      <c r="AS42" s="230"/>
      <c r="AT42" s="298" t="s">
        <v>660</v>
      </c>
      <c r="AU42" s="298" t="s">
        <v>111</v>
      </c>
      <c r="AV42" s="298" t="s">
        <v>663</v>
      </c>
      <c r="AW42" s="298" t="s">
        <v>662</v>
      </c>
      <c r="AX42" s="299">
        <v>724476</v>
      </c>
      <c r="BB42" s="230"/>
      <c r="BC42" s="230"/>
      <c r="BD42" s="230"/>
      <c r="BE42" s="230"/>
      <c r="BF42" s="230"/>
      <c r="BG42" s="230"/>
      <c r="BH42" s="230"/>
      <c r="BI42" s="230"/>
      <c r="BJ42" s="230"/>
      <c r="BK42" s="230"/>
      <c r="BL42" s="230"/>
      <c r="BM42" s="230"/>
      <c r="BN42" s="230"/>
      <c r="BO42" s="230"/>
      <c r="BP42" s="230"/>
      <c r="BQ42" s="230"/>
      <c r="BR42" s="230"/>
      <c r="BS42" s="230"/>
      <c r="BT42" s="230"/>
      <c r="BU42" s="230"/>
      <c r="BV42" s="230"/>
      <c r="BW42" s="230"/>
      <c r="BX42" s="230"/>
      <c r="BY42" s="230"/>
    </row>
    <row r="43" spans="6:77" ht="53.4" thickBot="1" x14ac:dyDescent="0.35">
      <c r="F43" s="233">
        <v>2006</v>
      </c>
      <c r="G43" s="233" t="s">
        <v>254</v>
      </c>
      <c r="H43" s="233" t="s">
        <v>246</v>
      </c>
      <c r="I43" s="233" t="s">
        <v>246</v>
      </c>
      <c r="J43" s="233" t="s">
        <v>252</v>
      </c>
      <c r="K43" s="233">
        <v>205435</v>
      </c>
      <c r="L43" s="230"/>
      <c r="N43" s="233">
        <v>2012</v>
      </c>
      <c r="O43" s="233" t="s">
        <v>254</v>
      </c>
      <c r="P43" s="233" t="s">
        <v>268</v>
      </c>
      <c r="Q43" s="233" t="s">
        <v>271</v>
      </c>
      <c r="R43" s="233" t="s">
        <v>252</v>
      </c>
      <c r="S43" s="233">
        <v>138857</v>
      </c>
      <c r="T43" s="230"/>
      <c r="V43" s="233">
        <v>2007</v>
      </c>
      <c r="W43" s="233" t="s">
        <v>254</v>
      </c>
      <c r="X43" s="233" t="s">
        <v>275</v>
      </c>
      <c r="Y43" s="233" t="s">
        <v>273</v>
      </c>
      <c r="Z43" s="233" t="s">
        <v>252</v>
      </c>
      <c r="AA43" s="233">
        <v>288841</v>
      </c>
      <c r="AB43" s="230"/>
      <c r="AD43" s="233">
        <v>2014</v>
      </c>
      <c r="AE43" s="233" t="s">
        <v>251</v>
      </c>
      <c r="AF43" s="233" t="s">
        <v>283</v>
      </c>
      <c r="AG43" s="233" t="s">
        <v>284</v>
      </c>
      <c r="AH43" s="233" t="s">
        <v>252</v>
      </c>
      <c r="AI43" s="233">
        <v>228107</v>
      </c>
      <c r="AJ43" s="230"/>
      <c r="AL43" s="233">
        <v>2010</v>
      </c>
      <c r="AM43" s="233" t="s">
        <v>254</v>
      </c>
      <c r="AN43" s="233" t="s">
        <v>248</v>
      </c>
      <c r="AO43" s="233" t="s">
        <v>62</v>
      </c>
      <c r="AP43" s="233" t="s">
        <v>252</v>
      </c>
      <c r="AQ43" s="233">
        <v>279748</v>
      </c>
      <c r="AR43" s="230"/>
      <c r="AS43" s="230"/>
      <c r="AT43" s="298" t="s">
        <v>664</v>
      </c>
      <c r="AU43" s="298" t="s">
        <v>111</v>
      </c>
      <c r="AV43" s="298" t="s">
        <v>649</v>
      </c>
      <c r="AW43" s="298" t="s">
        <v>656</v>
      </c>
      <c r="AX43" s="299">
        <v>106555</v>
      </c>
      <c r="BB43" s="230"/>
      <c r="BC43" s="230"/>
      <c r="BD43" s="230"/>
      <c r="BE43" s="230"/>
      <c r="BF43" s="230"/>
      <c r="BG43" s="230"/>
      <c r="BH43" s="230"/>
      <c r="BI43" s="230"/>
      <c r="BJ43" s="230"/>
      <c r="BK43" s="230"/>
      <c r="BL43" s="230"/>
      <c r="BM43" s="230"/>
      <c r="BN43" s="230"/>
      <c r="BO43" s="230"/>
      <c r="BP43" s="230"/>
      <c r="BQ43" s="230"/>
      <c r="BR43" s="230"/>
      <c r="BS43" s="230"/>
      <c r="BT43" s="230"/>
      <c r="BU43" s="230"/>
      <c r="BV43" s="230"/>
      <c r="BW43" s="230"/>
      <c r="BX43" s="230"/>
      <c r="BY43" s="230"/>
    </row>
    <row r="44" spans="6:77" ht="40.200000000000003" thickBot="1" x14ac:dyDescent="0.35">
      <c r="F44" s="234">
        <v>2006</v>
      </c>
      <c r="G44" s="234" t="s">
        <v>251</v>
      </c>
      <c r="H44" s="234" t="s">
        <v>246</v>
      </c>
      <c r="I44" s="234" t="s">
        <v>255</v>
      </c>
      <c r="J44" s="234" t="s">
        <v>252</v>
      </c>
      <c r="K44" s="234">
        <v>22253</v>
      </c>
      <c r="L44" s="230"/>
      <c r="N44" s="234">
        <v>2012</v>
      </c>
      <c r="O44" s="234" t="s">
        <v>251</v>
      </c>
      <c r="P44" s="234" t="s">
        <v>268</v>
      </c>
      <c r="Q44" s="234" t="s">
        <v>255</v>
      </c>
      <c r="R44" s="234" t="s">
        <v>252</v>
      </c>
      <c r="S44" s="234">
        <v>81071</v>
      </c>
      <c r="T44" s="230"/>
      <c r="V44" s="234">
        <v>2007</v>
      </c>
      <c r="W44" s="234" t="s">
        <v>251</v>
      </c>
      <c r="X44" s="234" t="s">
        <v>275</v>
      </c>
      <c r="Y44" s="234" t="s">
        <v>273</v>
      </c>
      <c r="Z44" s="234" t="s">
        <v>252</v>
      </c>
      <c r="AA44" s="234">
        <v>301382</v>
      </c>
      <c r="AB44" s="230"/>
      <c r="AD44" s="234">
        <v>2014</v>
      </c>
      <c r="AE44" s="234" t="s">
        <v>251</v>
      </c>
      <c r="AF44" s="234" t="s">
        <v>283</v>
      </c>
      <c r="AG44" s="234" t="s">
        <v>284</v>
      </c>
      <c r="AH44" s="234" t="s">
        <v>252</v>
      </c>
      <c r="AI44" s="234">
        <v>240238</v>
      </c>
      <c r="AJ44" s="230"/>
      <c r="AL44" s="234">
        <v>2010</v>
      </c>
      <c r="AM44" s="234" t="s">
        <v>254</v>
      </c>
      <c r="AN44" s="234" t="s">
        <v>248</v>
      </c>
      <c r="AO44" s="234" t="s">
        <v>279</v>
      </c>
      <c r="AP44" s="234" t="s">
        <v>252</v>
      </c>
      <c r="AQ44" s="234">
        <v>1600</v>
      </c>
      <c r="AR44" s="230"/>
      <c r="AS44" s="230"/>
      <c r="AT44" s="298" t="s">
        <v>665</v>
      </c>
      <c r="AU44" s="298" t="s">
        <v>111</v>
      </c>
      <c r="AV44" s="298" t="s">
        <v>667</v>
      </c>
      <c r="AW44" s="298" t="s">
        <v>666</v>
      </c>
      <c r="AX44" s="299">
        <v>754580</v>
      </c>
      <c r="BB44" s="230"/>
      <c r="BC44" s="230"/>
      <c r="BD44" s="230"/>
      <c r="BE44" s="230"/>
      <c r="BF44" s="230"/>
      <c r="BG44" s="230"/>
      <c r="BH44" s="230"/>
      <c r="BI44" s="230"/>
      <c r="BJ44" s="230"/>
      <c r="BK44" s="230"/>
      <c r="BL44" s="230"/>
      <c r="BM44" s="230"/>
      <c r="BN44" s="230"/>
      <c r="BO44" s="230"/>
      <c r="BP44" s="230"/>
      <c r="BQ44" s="230"/>
      <c r="BR44" s="230"/>
      <c r="BS44" s="230"/>
      <c r="BT44" s="230"/>
      <c r="BU44" s="230"/>
      <c r="BV44" s="230"/>
      <c r="BW44" s="230"/>
      <c r="BX44" s="230"/>
      <c r="BY44" s="230"/>
    </row>
    <row r="45" spans="6:77" ht="40.200000000000003" thickBot="1" x14ac:dyDescent="0.35">
      <c r="F45" s="233">
        <v>2006</v>
      </c>
      <c r="G45" s="233" t="s">
        <v>251</v>
      </c>
      <c r="H45" s="233" t="s">
        <v>246</v>
      </c>
      <c r="I45" s="233" t="s">
        <v>255</v>
      </c>
      <c r="J45" s="233" t="s">
        <v>252</v>
      </c>
      <c r="K45" s="233">
        <v>15428</v>
      </c>
      <c r="L45" s="230"/>
      <c r="N45" s="233">
        <v>2012</v>
      </c>
      <c r="O45" s="233" t="s">
        <v>251</v>
      </c>
      <c r="P45" s="233" t="s">
        <v>268</v>
      </c>
      <c r="Q45" s="233" t="s">
        <v>255</v>
      </c>
      <c r="R45" s="233" t="s">
        <v>252</v>
      </c>
      <c r="S45" s="233">
        <v>82176</v>
      </c>
      <c r="T45" s="230"/>
      <c r="V45" s="233">
        <v>2007</v>
      </c>
      <c r="W45" s="233" t="s">
        <v>251</v>
      </c>
      <c r="X45" s="233" t="s">
        <v>275</v>
      </c>
      <c r="Y45" s="233" t="s">
        <v>273</v>
      </c>
      <c r="Z45" s="233" t="s">
        <v>252</v>
      </c>
      <c r="AA45" s="233">
        <v>153155</v>
      </c>
      <c r="AB45" s="230">
        <f>SUM(AA43:AA45)</f>
        <v>743378</v>
      </c>
      <c r="AD45" s="233">
        <v>2014</v>
      </c>
      <c r="AE45" s="233" t="s">
        <v>251</v>
      </c>
      <c r="AF45" s="233" t="s">
        <v>283</v>
      </c>
      <c r="AG45" s="233" t="s">
        <v>270</v>
      </c>
      <c r="AH45" s="233" t="s">
        <v>252</v>
      </c>
      <c r="AI45" s="233">
        <v>49988</v>
      </c>
      <c r="AJ45" s="230"/>
      <c r="AL45" s="233">
        <v>2010</v>
      </c>
      <c r="AM45" s="233" t="s">
        <v>251</v>
      </c>
      <c r="AN45" s="233" t="s">
        <v>248</v>
      </c>
      <c r="AO45" s="233" t="s">
        <v>248</v>
      </c>
      <c r="AP45" s="233" t="s">
        <v>252</v>
      </c>
      <c r="AQ45" s="233">
        <v>379460</v>
      </c>
      <c r="AR45" s="230"/>
      <c r="AS45" s="230"/>
      <c r="AT45" s="492" t="s">
        <v>672</v>
      </c>
      <c r="AU45" s="493"/>
      <c r="AV45" s="493"/>
      <c r="AW45" s="494"/>
      <c r="AX45" s="303">
        <f>SUM(AX36:AX44)</f>
        <v>3171733</v>
      </c>
      <c r="AZ45" s="304"/>
      <c r="BB45" s="230"/>
      <c r="BC45" s="230"/>
      <c r="BD45" s="230"/>
      <c r="BE45" s="230"/>
      <c r="BF45" s="230"/>
      <c r="BG45" s="230"/>
      <c r="BH45" s="230"/>
      <c r="BI45" s="230"/>
      <c r="BJ45" s="230"/>
      <c r="BK45" s="230"/>
      <c r="BL45" s="230"/>
      <c r="BM45" s="230"/>
      <c r="BN45" s="230"/>
      <c r="BO45" s="230"/>
      <c r="BP45" s="230"/>
      <c r="BQ45" s="230"/>
      <c r="BR45" s="230"/>
      <c r="BS45" s="230"/>
      <c r="BT45" s="230"/>
      <c r="BU45" s="230"/>
      <c r="BV45" s="230"/>
      <c r="BW45" s="230"/>
      <c r="BX45" s="230"/>
      <c r="BY45" s="230"/>
    </row>
    <row r="46" spans="6:77" ht="40.200000000000003" thickBot="1" x14ac:dyDescent="0.35">
      <c r="F46" s="234">
        <v>2006</v>
      </c>
      <c r="G46" s="234" t="s">
        <v>251</v>
      </c>
      <c r="H46" s="234" t="s">
        <v>246</v>
      </c>
      <c r="I46" s="234" t="s">
        <v>255</v>
      </c>
      <c r="J46" s="234" t="s">
        <v>252</v>
      </c>
      <c r="K46" s="234">
        <v>16032</v>
      </c>
      <c r="L46" s="230"/>
      <c r="N46" s="234">
        <v>2012</v>
      </c>
      <c r="O46" s="234" t="s">
        <v>251</v>
      </c>
      <c r="P46" s="234" t="s">
        <v>268</v>
      </c>
      <c r="Q46" s="234" t="s">
        <v>255</v>
      </c>
      <c r="R46" s="234" t="s">
        <v>252</v>
      </c>
      <c r="S46" s="234">
        <v>71401</v>
      </c>
      <c r="T46" s="230"/>
      <c r="V46" s="234">
        <v>2006</v>
      </c>
      <c r="W46" s="234" t="s">
        <v>254</v>
      </c>
      <c r="X46" s="234" t="s">
        <v>275</v>
      </c>
      <c r="Y46" s="234" t="s">
        <v>275</v>
      </c>
      <c r="Z46" s="234" t="s">
        <v>252</v>
      </c>
      <c r="AA46" s="234">
        <v>232447</v>
      </c>
      <c r="AB46" s="230"/>
      <c r="AD46" s="234">
        <v>2014</v>
      </c>
      <c r="AE46" s="234" t="s">
        <v>251</v>
      </c>
      <c r="AF46" s="234" t="s">
        <v>283</v>
      </c>
      <c r="AG46" s="234" t="s">
        <v>273</v>
      </c>
      <c r="AH46" s="234" t="s">
        <v>252</v>
      </c>
      <c r="AI46" s="234">
        <v>253638</v>
      </c>
      <c r="AJ46" s="230"/>
      <c r="AL46" s="234">
        <v>2010</v>
      </c>
      <c r="AM46" s="234" t="s">
        <v>251</v>
      </c>
      <c r="AN46" s="234" t="s">
        <v>248</v>
      </c>
      <c r="AO46" s="234" t="s">
        <v>248</v>
      </c>
      <c r="AP46" s="234" t="s">
        <v>252</v>
      </c>
      <c r="AQ46" s="234">
        <v>451351</v>
      </c>
      <c r="AR46" s="230">
        <f>SUM(AQ42:AQ46)</f>
        <v>1182335</v>
      </c>
      <c r="AS46" s="230"/>
      <c r="BB46" s="230"/>
      <c r="BC46" s="230"/>
      <c r="BD46" s="230"/>
      <c r="BE46" s="230"/>
      <c r="BF46" s="230"/>
      <c r="BG46" s="230"/>
      <c r="BH46" s="230"/>
      <c r="BI46" s="230"/>
      <c r="BJ46" s="230"/>
      <c r="BK46" s="230"/>
      <c r="BL46" s="230"/>
      <c r="BM46" s="230"/>
      <c r="BN46" s="230"/>
      <c r="BO46" s="230"/>
      <c r="BP46" s="230"/>
      <c r="BQ46" s="230"/>
      <c r="BR46" s="230"/>
      <c r="BS46" s="230"/>
      <c r="BT46" s="230"/>
      <c r="BU46" s="230"/>
      <c r="BV46" s="230"/>
      <c r="BW46" s="230"/>
      <c r="BX46" s="230"/>
      <c r="BY46" s="230"/>
    </row>
    <row r="47" spans="6:77" ht="40.200000000000003" thickBot="1" x14ac:dyDescent="0.35">
      <c r="F47" s="233">
        <v>2006</v>
      </c>
      <c r="G47" s="233" t="s">
        <v>251</v>
      </c>
      <c r="H47" s="233" t="s">
        <v>246</v>
      </c>
      <c r="I47" s="233" t="s">
        <v>255</v>
      </c>
      <c r="J47" s="233" t="s">
        <v>252</v>
      </c>
      <c r="K47" s="233">
        <v>8330</v>
      </c>
      <c r="L47" s="230"/>
      <c r="N47" s="233">
        <v>2012</v>
      </c>
      <c r="O47" s="233" t="s">
        <v>251</v>
      </c>
      <c r="P47" s="233" t="s">
        <v>268</v>
      </c>
      <c r="Q47" s="233" t="s">
        <v>269</v>
      </c>
      <c r="R47" s="233" t="s">
        <v>252</v>
      </c>
      <c r="S47" s="233">
        <v>455715</v>
      </c>
      <c r="T47" s="230"/>
      <c r="V47" s="233">
        <v>2006</v>
      </c>
      <c r="W47" s="233" t="s">
        <v>251</v>
      </c>
      <c r="X47" s="233" t="s">
        <v>275</v>
      </c>
      <c r="Y47" s="233" t="s">
        <v>273</v>
      </c>
      <c r="Z47" s="233" t="s">
        <v>252</v>
      </c>
      <c r="AA47" s="233">
        <v>292474</v>
      </c>
      <c r="AB47" s="230"/>
      <c r="AD47" s="233">
        <v>2014</v>
      </c>
      <c r="AE47" s="233" t="s">
        <v>251</v>
      </c>
      <c r="AF47" s="233" t="s">
        <v>283</v>
      </c>
      <c r="AG47" s="233" t="s">
        <v>270</v>
      </c>
      <c r="AH47" s="233" t="s">
        <v>252</v>
      </c>
      <c r="AI47" s="233">
        <v>49970</v>
      </c>
      <c r="AJ47" s="230">
        <f>SUM(AI35:AI47)-AI36-AI37-AI38-AI40</f>
        <v>2054449</v>
      </c>
      <c r="AL47" s="233">
        <v>2009</v>
      </c>
      <c r="AM47" s="233" t="s">
        <v>254</v>
      </c>
      <c r="AN47" s="233" t="s">
        <v>248</v>
      </c>
      <c r="AO47" s="233" t="s">
        <v>292</v>
      </c>
      <c r="AP47" s="233" t="s">
        <v>252</v>
      </c>
      <c r="AQ47" s="233">
        <v>112360</v>
      </c>
      <c r="AR47" s="230"/>
      <c r="AS47" s="230"/>
      <c r="BB47" s="230"/>
      <c r="BC47" s="230"/>
      <c r="BD47" s="230"/>
      <c r="BE47" s="230"/>
      <c r="BF47" s="230"/>
      <c r="BG47" s="230"/>
      <c r="BH47" s="230"/>
      <c r="BI47" s="230"/>
      <c r="BJ47" s="230"/>
      <c r="BK47" s="230"/>
      <c r="BL47" s="230"/>
      <c r="BM47" s="230"/>
      <c r="BN47" s="230"/>
      <c r="BO47" s="230"/>
      <c r="BP47" s="230"/>
      <c r="BQ47" s="230"/>
      <c r="BR47" s="230"/>
      <c r="BS47" s="230"/>
      <c r="BT47" s="230"/>
      <c r="BU47" s="230"/>
      <c r="BV47" s="230"/>
      <c r="BW47" s="230"/>
      <c r="BX47" s="230"/>
      <c r="BY47" s="230"/>
    </row>
    <row r="48" spans="6:77" ht="40.200000000000003" thickBot="1" x14ac:dyDescent="0.35">
      <c r="F48" s="234">
        <v>2006</v>
      </c>
      <c r="G48" s="234" t="s">
        <v>251</v>
      </c>
      <c r="H48" s="234" t="s">
        <v>246</v>
      </c>
      <c r="I48" s="234" t="s">
        <v>53</v>
      </c>
      <c r="J48" s="234" t="s">
        <v>252</v>
      </c>
      <c r="K48" s="234">
        <v>227101</v>
      </c>
      <c r="L48" s="230"/>
      <c r="N48" s="234">
        <v>2012</v>
      </c>
      <c r="O48" s="234" t="s">
        <v>251</v>
      </c>
      <c r="P48" s="234" t="s">
        <v>268</v>
      </c>
      <c r="Q48" s="234" t="s">
        <v>269</v>
      </c>
      <c r="R48" s="234" t="s">
        <v>252</v>
      </c>
      <c r="S48" s="234">
        <v>223749</v>
      </c>
      <c r="T48" s="230">
        <f>SUM(S43:S48)</f>
        <v>1052969</v>
      </c>
      <c r="V48" s="234">
        <v>2006</v>
      </c>
      <c r="W48" s="234" t="s">
        <v>251</v>
      </c>
      <c r="X48" s="234" t="s">
        <v>275</v>
      </c>
      <c r="Y48" s="234" t="s">
        <v>273</v>
      </c>
      <c r="Z48" s="234" t="s">
        <v>252</v>
      </c>
      <c r="AA48" s="234">
        <v>150881</v>
      </c>
      <c r="AB48" s="230">
        <f>SUM(AA46:AA48)</f>
        <v>675802</v>
      </c>
      <c r="AD48" s="234">
        <v>2013</v>
      </c>
      <c r="AE48" s="234" t="s">
        <v>254</v>
      </c>
      <c r="AF48" s="234" t="s">
        <v>283</v>
      </c>
      <c r="AG48" s="234" t="s">
        <v>284</v>
      </c>
      <c r="AH48" s="234" t="s">
        <v>252</v>
      </c>
      <c r="AI48" s="234">
        <v>297693</v>
      </c>
      <c r="AJ48" s="230"/>
      <c r="AL48" s="234">
        <v>2009</v>
      </c>
      <c r="AM48" s="234" t="s">
        <v>254</v>
      </c>
      <c r="AN48" s="234" t="s">
        <v>248</v>
      </c>
      <c r="AO48" s="234" t="s">
        <v>62</v>
      </c>
      <c r="AP48" s="234" t="s">
        <v>252</v>
      </c>
      <c r="AQ48" s="234">
        <v>367656</v>
      </c>
      <c r="AR48" s="230"/>
      <c r="AS48" s="230"/>
      <c r="BB48" s="230"/>
      <c r="BC48" s="230"/>
      <c r="BD48" s="230"/>
      <c r="BE48" s="230"/>
      <c r="BF48" s="230"/>
      <c r="BG48" s="230"/>
      <c r="BH48" s="230"/>
      <c r="BI48" s="230"/>
      <c r="BJ48" s="230"/>
      <c r="BK48" s="230"/>
      <c r="BL48" s="230"/>
      <c r="BM48" s="230"/>
      <c r="BN48" s="230"/>
      <c r="BO48" s="230"/>
      <c r="BP48" s="230"/>
      <c r="BQ48" s="230"/>
      <c r="BR48" s="230"/>
      <c r="BS48" s="230"/>
      <c r="BT48" s="230"/>
      <c r="BU48" s="230"/>
      <c r="BV48" s="230"/>
      <c r="BW48" s="230"/>
      <c r="BX48" s="230"/>
      <c r="BY48" s="230"/>
    </row>
    <row r="49" spans="6:77" ht="53.4" thickBot="1" x14ac:dyDescent="0.35">
      <c r="F49" s="233">
        <v>2006</v>
      </c>
      <c r="G49" s="233" t="s">
        <v>251</v>
      </c>
      <c r="H49" s="233" t="s">
        <v>246</v>
      </c>
      <c r="I49" s="233" t="s">
        <v>53</v>
      </c>
      <c r="J49" s="233" t="s">
        <v>252</v>
      </c>
      <c r="K49" s="233">
        <v>270565</v>
      </c>
      <c r="L49" s="230">
        <f>SUM(K43:K49)</f>
        <v>765144</v>
      </c>
      <c r="N49" s="233">
        <v>2011</v>
      </c>
      <c r="O49" s="233" t="s">
        <v>254</v>
      </c>
      <c r="P49" s="233" t="s">
        <v>268</v>
      </c>
      <c r="Q49" s="233" t="s">
        <v>271</v>
      </c>
      <c r="R49" s="233" t="s">
        <v>252</v>
      </c>
      <c r="S49" s="233">
        <v>156607</v>
      </c>
      <c r="T49" s="230"/>
      <c r="V49" s="233">
        <v>2005</v>
      </c>
      <c r="W49" s="233" t="s">
        <v>254</v>
      </c>
      <c r="X49" s="233" t="s">
        <v>275</v>
      </c>
      <c r="Y49" s="233" t="s">
        <v>275</v>
      </c>
      <c r="Z49" s="233" t="s">
        <v>252</v>
      </c>
      <c r="AA49" s="233">
        <v>302256</v>
      </c>
      <c r="AB49" s="230"/>
      <c r="AD49" s="233">
        <v>2013</v>
      </c>
      <c r="AE49" s="233" t="s">
        <v>254</v>
      </c>
      <c r="AF49" s="233" t="s">
        <v>283</v>
      </c>
      <c r="AG49" s="233" t="s">
        <v>274</v>
      </c>
      <c r="AH49" s="233" t="s">
        <v>252</v>
      </c>
      <c r="AI49" s="233">
        <v>45695</v>
      </c>
      <c r="AJ49" s="230"/>
      <c r="AL49" s="233">
        <v>2009</v>
      </c>
      <c r="AM49" s="233" t="s">
        <v>251</v>
      </c>
      <c r="AN49" s="233" t="s">
        <v>248</v>
      </c>
      <c r="AO49" s="233" t="s">
        <v>62</v>
      </c>
      <c r="AP49" s="233" t="s">
        <v>252</v>
      </c>
      <c r="AQ49" s="233">
        <v>448689</v>
      </c>
      <c r="AR49" s="230"/>
      <c r="AS49" s="230"/>
      <c r="BB49" s="230"/>
      <c r="BC49" s="230"/>
      <c r="BD49" s="230"/>
      <c r="BE49" s="230"/>
      <c r="BF49" s="230"/>
      <c r="BG49" s="230"/>
      <c r="BH49" s="230"/>
      <c r="BI49" s="230"/>
      <c r="BJ49" s="230"/>
      <c r="BK49" s="230"/>
      <c r="BL49" s="230"/>
      <c r="BM49" s="230"/>
      <c r="BN49" s="230"/>
      <c r="BO49" s="230"/>
      <c r="BP49" s="230"/>
      <c r="BQ49" s="230"/>
      <c r="BR49" s="230"/>
      <c r="BS49" s="230"/>
      <c r="BT49" s="230"/>
      <c r="BU49" s="230"/>
      <c r="BV49" s="230"/>
      <c r="BW49" s="230"/>
      <c r="BX49" s="230"/>
      <c r="BY49" s="230"/>
    </row>
    <row r="50" spans="6:77" ht="40.200000000000003" thickBot="1" x14ac:dyDescent="0.35">
      <c r="F50" s="234">
        <v>2005</v>
      </c>
      <c r="G50" s="234" t="s">
        <v>254</v>
      </c>
      <c r="H50" s="234" t="s">
        <v>246</v>
      </c>
      <c r="I50" s="234" t="s">
        <v>246</v>
      </c>
      <c r="J50" s="234" t="s">
        <v>252</v>
      </c>
      <c r="K50" s="234">
        <v>303620</v>
      </c>
      <c r="L50" s="230"/>
      <c r="N50" s="234">
        <v>2011</v>
      </c>
      <c r="O50" s="234" t="s">
        <v>251</v>
      </c>
      <c r="P50" s="234" t="s">
        <v>268</v>
      </c>
      <c r="Q50" s="234" t="s">
        <v>269</v>
      </c>
      <c r="R50" s="234" t="s">
        <v>252</v>
      </c>
      <c r="S50" s="234">
        <v>209760</v>
      </c>
      <c r="T50" s="230"/>
      <c r="V50" s="234">
        <v>2005</v>
      </c>
      <c r="W50" s="234" t="s">
        <v>251</v>
      </c>
      <c r="X50" s="234" t="s">
        <v>275</v>
      </c>
      <c r="Y50" s="234" t="s">
        <v>275</v>
      </c>
      <c r="Z50" s="234" t="s">
        <v>252</v>
      </c>
      <c r="AA50" s="234">
        <v>250124</v>
      </c>
      <c r="AB50" s="230"/>
      <c r="AD50" s="234">
        <v>2013</v>
      </c>
      <c r="AE50" s="234" t="s">
        <v>254</v>
      </c>
      <c r="AF50" s="234" t="s">
        <v>283</v>
      </c>
      <c r="AG50" s="234" t="s">
        <v>288</v>
      </c>
      <c r="AH50" s="234" t="s">
        <v>252</v>
      </c>
      <c r="AI50" s="234">
        <v>45696</v>
      </c>
      <c r="AJ50" s="230"/>
      <c r="AL50" s="234">
        <v>2009</v>
      </c>
      <c r="AM50" s="234" t="s">
        <v>251</v>
      </c>
      <c r="AN50" s="234" t="s">
        <v>248</v>
      </c>
      <c r="AO50" s="234" t="s">
        <v>62</v>
      </c>
      <c r="AP50" s="234" t="s">
        <v>252</v>
      </c>
      <c r="AQ50" s="234">
        <v>428583</v>
      </c>
      <c r="AR50" s="230">
        <f>SUM(AQ47:AQ50)</f>
        <v>1357288</v>
      </c>
      <c r="AS50" s="230"/>
      <c r="BB50" s="230"/>
      <c r="BC50" s="230"/>
      <c r="BD50" s="230"/>
      <c r="BE50" s="230"/>
      <c r="BF50" s="230"/>
      <c r="BG50" s="230"/>
      <c r="BH50" s="230"/>
      <c r="BI50" s="230"/>
      <c r="BJ50" s="230"/>
      <c r="BK50" s="230"/>
      <c r="BL50" s="230"/>
      <c r="BM50" s="230"/>
      <c r="BN50" s="230"/>
      <c r="BO50" s="230"/>
      <c r="BP50" s="230"/>
      <c r="BQ50" s="230"/>
      <c r="BR50" s="230"/>
      <c r="BS50" s="230"/>
      <c r="BT50" s="230"/>
      <c r="BU50" s="230"/>
      <c r="BV50" s="230"/>
      <c r="BW50" s="230"/>
      <c r="BX50" s="230"/>
      <c r="BY50" s="230"/>
    </row>
    <row r="51" spans="6:77" ht="40.200000000000003" thickBot="1" x14ac:dyDescent="0.35">
      <c r="F51" s="233">
        <v>2005</v>
      </c>
      <c r="G51" s="233" t="s">
        <v>251</v>
      </c>
      <c r="H51" s="233" t="s">
        <v>246</v>
      </c>
      <c r="I51" s="233" t="s">
        <v>246</v>
      </c>
      <c r="J51" s="233" t="s">
        <v>252</v>
      </c>
      <c r="K51" s="233">
        <v>21000</v>
      </c>
      <c r="L51" s="230"/>
      <c r="N51" s="233">
        <v>2011</v>
      </c>
      <c r="O51" s="233" t="s">
        <v>251</v>
      </c>
      <c r="P51" s="233" t="s">
        <v>268</v>
      </c>
      <c r="Q51" s="233" t="s">
        <v>272</v>
      </c>
      <c r="R51" s="233" t="s">
        <v>252</v>
      </c>
      <c r="S51" s="233">
        <v>250746</v>
      </c>
      <c r="T51" s="230"/>
      <c r="V51" s="233">
        <v>2005</v>
      </c>
      <c r="W51" s="233" t="s">
        <v>251</v>
      </c>
      <c r="X51" s="233" t="s">
        <v>275</v>
      </c>
      <c r="Y51" s="233" t="s">
        <v>275</v>
      </c>
      <c r="Z51" s="233" t="s">
        <v>252</v>
      </c>
      <c r="AA51" s="233">
        <v>150645</v>
      </c>
      <c r="AB51" s="230">
        <f>SUM(AA49:AA51)</f>
        <v>703025</v>
      </c>
      <c r="AD51" s="233">
        <v>2013</v>
      </c>
      <c r="AE51" s="233" t="s">
        <v>254</v>
      </c>
      <c r="AF51" s="233" t="s">
        <v>283</v>
      </c>
      <c r="AG51" s="233" t="s">
        <v>274</v>
      </c>
      <c r="AH51" s="233" t="s">
        <v>252</v>
      </c>
      <c r="AI51" s="233">
        <v>49038</v>
      </c>
      <c r="AJ51" s="230"/>
      <c r="AL51" s="233">
        <v>2008</v>
      </c>
      <c r="AM51" s="233" t="s">
        <v>254</v>
      </c>
      <c r="AN51" s="233" t="s">
        <v>248</v>
      </c>
      <c r="AO51" s="233" t="s">
        <v>292</v>
      </c>
      <c r="AP51" s="233" t="s">
        <v>252</v>
      </c>
      <c r="AQ51" s="233">
        <v>106995</v>
      </c>
      <c r="AR51" s="230"/>
      <c r="AS51" s="230"/>
      <c r="BB51" s="230"/>
      <c r="BC51" s="230"/>
      <c r="BD51" s="230"/>
      <c r="BE51" s="230"/>
      <c r="BF51" s="230"/>
      <c r="BG51" s="230"/>
      <c r="BH51" s="230"/>
      <c r="BI51" s="230"/>
      <c r="BJ51" s="230"/>
      <c r="BK51" s="230"/>
      <c r="BL51" s="230"/>
      <c r="BM51" s="230"/>
      <c r="BN51" s="230"/>
      <c r="BO51" s="230"/>
      <c r="BP51" s="230"/>
      <c r="BQ51" s="230"/>
      <c r="BR51" s="230"/>
      <c r="BS51" s="230"/>
      <c r="BT51" s="230"/>
      <c r="BU51" s="230"/>
      <c r="BV51" s="230"/>
      <c r="BW51" s="230"/>
      <c r="BX51" s="230"/>
      <c r="BY51" s="230"/>
    </row>
    <row r="52" spans="6:77" ht="40.200000000000003" thickBot="1" x14ac:dyDescent="0.35">
      <c r="F52" s="234">
        <v>2005</v>
      </c>
      <c r="G52" s="234" t="s">
        <v>251</v>
      </c>
      <c r="H52" s="234" t="s">
        <v>246</v>
      </c>
      <c r="I52" s="234" t="s">
        <v>246</v>
      </c>
      <c r="J52" s="234" t="s">
        <v>252</v>
      </c>
      <c r="K52" s="234">
        <v>478651</v>
      </c>
      <c r="L52" s="230"/>
      <c r="N52" s="234">
        <v>2011</v>
      </c>
      <c r="O52" s="234" t="s">
        <v>251</v>
      </c>
      <c r="P52" s="234" t="s">
        <v>268</v>
      </c>
      <c r="Q52" s="234" t="s">
        <v>269</v>
      </c>
      <c r="R52" s="234" t="s">
        <v>252</v>
      </c>
      <c r="S52" s="234">
        <v>226795</v>
      </c>
      <c r="T52" s="230">
        <f>SUM(S49:S52)</f>
        <v>843908</v>
      </c>
      <c r="V52" s="234">
        <v>2004</v>
      </c>
      <c r="W52" s="234" t="s">
        <v>254</v>
      </c>
      <c r="X52" s="234" t="s">
        <v>275</v>
      </c>
      <c r="Y52" s="234" t="s">
        <v>275</v>
      </c>
      <c r="Z52" s="234" t="s">
        <v>252</v>
      </c>
      <c r="AA52" s="234">
        <v>299854</v>
      </c>
      <c r="AB52" s="230"/>
      <c r="AD52" s="234">
        <v>2013</v>
      </c>
      <c r="AE52" s="234" t="s">
        <v>254</v>
      </c>
      <c r="AF52" s="234" t="s">
        <v>283</v>
      </c>
      <c r="AG52" s="234" t="s">
        <v>288</v>
      </c>
      <c r="AH52" s="234" t="s">
        <v>252</v>
      </c>
      <c r="AI52" s="234">
        <v>49521</v>
      </c>
      <c r="AJ52" s="230"/>
      <c r="AL52" s="234">
        <v>2008</v>
      </c>
      <c r="AM52" s="234" t="s">
        <v>254</v>
      </c>
      <c r="AN52" s="234" t="s">
        <v>248</v>
      </c>
      <c r="AO52" s="234" t="s">
        <v>62</v>
      </c>
      <c r="AP52" s="234" t="s">
        <v>252</v>
      </c>
      <c r="AQ52" s="234">
        <v>343213</v>
      </c>
      <c r="AR52" s="230"/>
      <c r="AS52" s="230"/>
      <c r="BB52" s="230"/>
      <c r="BC52" s="230"/>
      <c r="BD52" s="230"/>
      <c r="BE52" s="230"/>
      <c r="BF52" s="230"/>
      <c r="BG52" s="230"/>
      <c r="BH52" s="230"/>
      <c r="BI52" s="230"/>
      <c r="BJ52" s="230"/>
      <c r="BK52" s="230"/>
      <c r="BL52" s="230"/>
      <c r="BM52" s="230"/>
      <c r="BN52" s="230"/>
      <c r="BO52" s="230"/>
      <c r="BP52" s="230"/>
      <c r="BQ52" s="230"/>
      <c r="BR52" s="230"/>
      <c r="BS52" s="230"/>
      <c r="BT52" s="230"/>
      <c r="BU52" s="230"/>
      <c r="BV52" s="230"/>
      <c r="BW52" s="230"/>
      <c r="BX52" s="230"/>
      <c r="BY52" s="230"/>
    </row>
    <row r="53" spans="6:77" ht="53.4" thickBot="1" x14ac:dyDescent="0.35">
      <c r="F53" s="233">
        <v>2005</v>
      </c>
      <c r="G53" s="233" t="s">
        <v>251</v>
      </c>
      <c r="H53" s="233" t="s">
        <v>246</v>
      </c>
      <c r="I53" s="233" t="s">
        <v>255</v>
      </c>
      <c r="J53" s="233" t="s">
        <v>252</v>
      </c>
      <c r="K53" s="233">
        <v>54901</v>
      </c>
      <c r="L53" s="230">
        <f>SUM(K50:K53)</f>
        <v>858172</v>
      </c>
      <c r="N53" s="233">
        <v>2010</v>
      </c>
      <c r="O53" s="233" t="s">
        <v>254</v>
      </c>
      <c r="P53" s="233" t="s">
        <v>268</v>
      </c>
      <c r="Q53" s="233" t="s">
        <v>271</v>
      </c>
      <c r="R53" s="233" t="s">
        <v>252</v>
      </c>
      <c r="S53" s="233">
        <v>150570</v>
      </c>
      <c r="T53" s="230"/>
      <c r="V53" s="233">
        <v>2004</v>
      </c>
      <c r="W53" s="233" t="s">
        <v>251</v>
      </c>
      <c r="X53" s="233" t="s">
        <v>275</v>
      </c>
      <c r="Y53" s="233" t="s">
        <v>275</v>
      </c>
      <c r="Z53" s="233" t="s">
        <v>252</v>
      </c>
      <c r="AA53" s="233">
        <v>448247</v>
      </c>
      <c r="AB53" s="230">
        <f>SUM(AA52:AA53)</f>
        <v>748101</v>
      </c>
      <c r="AD53" s="233">
        <v>2013</v>
      </c>
      <c r="AE53" s="233" t="s">
        <v>254</v>
      </c>
      <c r="AF53" s="233" t="s">
        <v>283</v>
      </c>
      <c r="AG53" s="233" t="s">
        <v>287</v>
      </c>
      <c r="AH53" s="233" t="s">
        <v>252</v>
      </c>
      <c r="AI53" s="233">
        <v>49104</v>
      </c>
      <c r="AJ53" s="230"/>
      <c r="AL53" s="233">
        <v>2008</v>
      </c>
      <c r="AM53" s="233" t="s">
        <v>251</v>
      </c>
      <c r="AN53" s="233" t="s">
        <v>248</v>
      </c>
      <c r="AO53" s="233" t="s">
        <v>62</v>
      </c>
      <c r="AP53" s="233" t="s">
        <v>252</v>
      </c>
      <c r="AQ53" s="233">
        <v>407383</v>
      </c>
      <c r="AR53" s="230"/>
      <c r="AS53" s="230"/>
      <c r="BB53" s="230"/>
      <c r="BC53" s="230"/>
      <c r="BD53" s="230"/>
      <c r="BE53" s="230"/>
      <c r="BF53" s="230"/>
      <c r="BG53" s="230"/>
      <c r="BH53" s="230"/>
      <c r="BI53" s="230"/>
      <c r="BJ53" s="230"/>
      <c r="BK53" s="230"/>
      <c r="BL53" s="230"/>
      <c r="BM53" s="230"/>
      <c r="BN53" s="230"/>
      <c r="BO53" s="230"/>
      <c r="BP53" s="230"/>
      <c r="BQ53" s="230"/>
      <c r="BR53" s="230"/>
      <c r="BS53" s="230"/>
      <c r="BT53" s="230"/>
      <c r="BU53" s="230"/>
      <c r="BV53" s="230"/>
      <c r="BW53" s="230"/>
      <c r="BX53" s="230"/>
      <c r="BY53" s="230"/>
    </row>
    <row r="54" spans="6:77" ht="40.200000000000003" thickBot="1" x14ac:dyDescent="0.35">
      <c r="F54" s="234">
        <v>2004</v>
      </c>
      <c r="G54" s="234" t="s">
        <v>254</v>
      </c>
      <c r="H54" s="234" t="s">
        <v>246</v>
      </c>
      <c r="I54" s="234" t="s">
        <v>246</v>
      </c>
      <c r="J54" s="234" t="s">
        <v>252</v>
      </c>
      <c r="K54" s="234">
        <v>286998</v>
      </c>
      <c r="L54" s="230"/>
      <c r="N54" s="234">
        <v>2010</v>
      </c>
      <c r="O54" s="234" t="s">
        <v>251</v>
      </c>
      <c r="P54" s="234" t="s">
        <v>268</v>
      </c>
      <c r="Q54" s="234" t="s">
        <v>272</v>
      </c>
      <c r="R54" s="234" t="s">
        <v>252</v>
      </c>
      <c r="S54" s="234">
        <v>672000</v>
      </c>
      <c r="T54" s="230">
        <f>SUM(S54)</f>
        <v>672000</v>
      </c>
      <c r="V54" s="234">
        <v>2003</v>
      </c>
      <c r="W54" s="234" t="s">
        <v>254</v>
      </c>
      <c r="X54" s="234" t="s">
        <v>275</v>
      </c>
      <c r="Y54" s="234" t="s">
        <v>275</v>
      </c>
      <c r="Z54" s="234" t="s">
        <v>252</v>
      </c>
      <c r="AA54" s="234">
        <v>298345</v>
      </c>
      <c r="AB54" s="230"/>
      <c r="AD54" s="234">
        <v>2013</v>
      </c>
      <c r="AE54" s="234" t="s">
        <v>254</v>
      </c>
      <c r="AF54" s="234" t="s">
        <v>283</v>
      </c>
      <c r="AG54" s="234" t="s">
        <v>287</v>
      </c>
      <c r="AH54" s="234" t="s">
        <v>252</v>
      </c>
      <c r="AI54" s="234">
        <v>100817</v>
      </c>
      <c r="AJ54" s="230"/>
      <c r="AL54" s="234">
        <v>2008</v>
      </c>
      <c r="AM54" s="234" t="s">
        <v>251</v>
      </c>
      <c r="AN54" s="234" t="s">
        <v>248</v>
      </c>
      <c r="AO54" s="234" t="s">
        <v>62</v>
      </c>
      <c r="AP54" s="234" t="s">
        <v>252</v>
      </c>
      <c r="AQ54" s="234">
        <v>424356</v>
      </c>
      <c r="AR54" s="230">
        <f>SUM(AQ51:AQ54)</f>
        <v>1281947</v>
      </c>
      <c r="AS54" s="230"/>
      <c r="BB54" s="230"/>
      <c r="BC54" s="230"/>
      <c r="BD54" s="230"/>
      <c r="BE54" s="230"/>
      <c r="BF54" s="230"/>
      <c r="BG54" s="230"/>
      <c r="BH54" s="230"/>
      <c r="BI54" s="230"/>
      <c r="BJ54" s="230"/>
      <c r="BK54" s="230"/>
      <c r="BL54" s="230"/>
      <c r="BM54" s="230"/>
      <c r="BN54" s="230"/>
      <c r="BO54" s="230"/>
      <c r="BP54" s="230"/>
      <c r="BQ54" s="230"/>
      <c r="BR54" s="230"/>
      <c r="BS54" s="230"/>
      <c r="BT54" s="230"/>
      <c r="BU54" s="230"/>
      <c r="BV54" s="230"/>
      <c r="BW54" s="230"/>
      <c r="BX54" s="230"/>
      <c r="BY54" s="230"/>
    </row>
    <row r="55" spans="6:77" ht="53.4" thickBot="1" x14ac:dyDescent="0.35">
      <c r="F55" s="233">
        <v>2004</v>
      </c>
      <c r="G55" s="233" t="s">
        <v>251</v>
      </c>
      <c r="H55" s="233" t="s">
        <v>246</v>
      </c>
      <c r="I55" s="233" t="s">
        <v>246</v>
      </c>
      <c r="J55" s="233" t="s">
        <v>252</v>
      </c>
      <c r="K55" s="233">
        <v>571085</v>
      </c>
      <c r="L55" s="230">
        <f>SUM(K54:K55)</f>
        <v>858083</v>
      </c>
      <c r="N55" s="233">
        <v>2009</v>
      </c>
      <c r="O55" s="233" t="s">
        <v>254</v>
      </c>
      <c r="P55" s="233" t="s">
        <v>268</v>
      </c>
      <c r="Q55" s="233" t="s">
        <v>271</v>
      </c>
      <c r="R55" s="233" t="s">
        <v>252</v>
      </c>
      <c r="S55" s="233">
        <v>147995</v>
      </c>
      <c r="T55" s="230"/>
      <c r="V55" s="233">
        <v>2003</v>
      </c>
      <c r="W55" s="233" t="s">
        <v>251</v>
      </c>
      <c r="X55" s="233" t="s">
        <v>275</v>
      </c>
      <c r="Y55" s="233" t="s">
        <v>275</v>
      </c>
      <c r="Z55" s="233" t="s">
        <v>252</v>
      </c>
      <c r="AA55" s="233">
        <v>298427</v>
      </c>
      <c r="AB55" s="230"/>
      <c r="AD55" s="233">
        <v>2013</v>
      </c>
      <c r="AE55" s="233" t="s">
        <v>251</v>
      </c>
      <c r="AF55" s="233" t="s">
        <v>283</v>
      </c>
      <c r="AG55" s="233" t="s">
        <v>284</v>
      </c>
      <c r="AH55" s="233" t="s">
        <v>252</v>
      </c>
      <c r="AI55" s="233">
        <v>691537</v>
      </c>
      <c r="AJ55" s="230"/>
      <c r="AL55" s="233">
        <v>2007</v>
      </c>
      <c r="AM55" s="233" t="s">
        <v>254</v>
      </c>
      <c r="AN55" s="233" t="s">
        <v>248</v>
      </c>
      <c r="AO55" s="233" t="s">
        <v>292</v>
      </c>
      <c r="AP55" s="233" t="s">
        <v>252</v>
      </c>
      <c r="AQ55" s="233">
        <v>79990</v>
      </c>
      <c r="AR55" s="230"/>
      <c r="AS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c r="BX55" s="230"/>
      <c r="BY55" s="230"/>
    </row>
    <row r="56" spans="6:77" ht="40.200000000000003" thickBot="1" x14ac:dyDescent="0.35">
      <c r="F56" s="234">
        <v>2003</v>
      </c>
      <c r="G56" s="234" t="s">
        <v>254</v>
      </c>
      <c r="H56" s="234" t="s">
        <v>246</v>
      </c>
      <c r="I56" s="234" t="s">
        <v>246</v>
      </c>
      <c r="J56" s="234" t="s">
        <v>252</v>
      </c>
      <c r="K56" s="234">
        <v>645448</v>
      </c>
      <c r="L56" s="230"/>
      <c r="N56" s="234">
        <v>2009</v>
      </c>
      <c r="O56" s="234" t="s">
        <v>251</v>
      </c>
      <c r="P56" s="234" t="s">
        <v>268</v>
      </c>
      <c r="Q56" s="234" t="s">
        <v>272</v>
      </c>
      <c r="R56" s="234" t="s">
        <v>252</v>
      </c>
      <c r="S56" s="234">
        <v>677454</v>
      </c>
      <c r="T56" s="230">
        <f>SUM(S55:S56)</f>
        <v>825449</v>
      </c>
      <c r="V56" s="234">
        <v>2003</v>
      </c>
      <c r="W56" s="234" t="s">
        <v>251</v>
      </c>
      <c r="X56" s="234" t="s">
        <v>275</v>
      </c>
      <c r="Y56" s="234" t="s">
        <v>275</v>
      </c>
      <c r="Z56" s="234" t="s">
        <v>252</v>
      </c>
      <c r="AA56" s="234">
        <v>156006</v>
      </c>
      <c r="AB56" s="230">
        <f>SUM(AA54:AA56)</f>
        <v>752778</v>
      </c>
      <c r="AD56" s="234">
        <v>2013</v>
      </c>
      <c r="AE56" s="234" t="s">
        <v>251</v>
      </c>
      <c r="AF56" s="234" t="s">
        <v>283</v>
      </c>
      <c r="AG56" s="234" t="s">
        <v>284</v>
      </c>
      <c r="AH56" s="234" t="s">
        <v>252</v>
      </c>
      <c r="AI56" s="234">
        <v>551523</v>
      </c>
      <c r="AJ56" s="230"/>
      <c r="AL56" s="234">
        <v>2007</v>
      </c>
      <c r="AM56" s="234" t="s">
        <v>254</v>
      </c>
      <c r="AN56" s="234" t="s">
        <v>248</v>
      </c>
      <c r="AO56" s="234" t="s">
        <v>292</v>
      </c>
      <c r="AP56" s="234" t="s">
        <v>252</v>
      </c>
      <c r="AQ56" s="234">
        <v>34990</v>
      </c>
      <c r="AR56" s="230"/>
      <c r="AS56" s="230"/>
      <c r="BB56" s="230"/>
      <c r="BC56" s="230"/>
      <c r="BD56" s="230"/>
      <c r="BE56" s="230"/>
      <c r="BF56" s="230"/>
      <c r="BG56" s="230"/>
      <c r="BH56" s="230"/>
      <c r="BI56" s="230"/>
      <c r="BJ56" s="230"/>
      <c r="BK56" s="230"/>
      <c r="BL56" s="230"/>
      <c r="BM56" s="230"/>
      <c r="BN56" s="230"/>
      <c r="BO56" s="230"/>
      <c r="BP56" s="230"/>
      <c r="BQ56" s="230"/>
      <c r="BR56" s="230"/>
      <c r="BS56" s="230"/>
      <c r="BT56" s="230"/>
      <c r="BU56" s="230"/>
      <c r="BV56" s="230"/>
      <c r="BW56" s="230"/>
      <c r="BX56" s="230"/>
      <c r="BY56" s="230"/>
    </row>
    <row r="57" spans="6:77" ht="53.4" thickBot="1" x14ac:dyDescent="0.35">
      <c r="F57" s="233">
        <v>2003</v>
      </c>
      <c r="G57" s="233" t="s">
        <v>251</v>
      </c>
      <c r="H57" s="233" t="s">
        <v>246</v>
      </c>
      <c r="I57" s="233" t="s">
        <v>246</v>
      </c>
      <c r="J57" s="233" t="s">
        <v>252</v>
      </c>
      <c r="K57" s="233">
        <v>391200</v>
      </c>
      <c r="L57" s="230">
        <f>SUM(K56:K57)</f>
        <v>1036648</v>
      </c>
      <c r="N57" s="233">
        <v>2008</v>
      </c>
      <c r="O57" s="233" t="s">
        <v>254</v>
      </c>
      <c r="P57" s="233" t="s">
        <v>268</v>
      </c>
      <c r="Q57" s="233" t="s">
        <v>271</v>
      </c>
      <c r="R57" s="233" t="s">
        <v>252</v>
      </c>
      <c r="S57" s="233">
        <v>45360</v>
      </c>
      <c r="T57" s="230"/>
      <c r="V57" s="233">
        <v>2002</v>
      </c>
      <c r="W57" s="233" t="s">
        <v>254</v>
      </c>
      <c r="X57" s="233" t="s">
        <v>275</v>
      </c>
      <c r="Y57" s="233" t="s">
        <v>275</v>
      </c>
      <c r="Z57" s="233" t="s">
        <v>252</v>
      </c>
      <c r="AA57" s="233">
        <v>301753</v>
      </c>
      <c r="AB57" s="230"/>
      <c r="AD57" s="233">
        <v>2013</v>
      </c>
      <c r="AE57" s="233" t="s">
        <v>251</v>
      </c>
      <c r="AF57" s="233" t="s">
        <v>283</v>
      </c>
      <c r="AG57" s="233" t="s">
        <v>284</v>
      </c>
      <c r="AH57" s="233" t="s">
        <v>252</v>
      </c>
      <c r="AI57" s="233">
        <v>238509</v>
      </c>
      <c r="AJ57" s="230"/>
      <c r="AL57" s="233">
        <v>2007</v>
      </c>
      <c r="AM57" s="233" t="s">
        <v>254</v>
      </c>
      <c r="AN57" s="233" t="s">
        <v>248</v>
      </c>
      <c r="AO57" s="233" t="s">
        <v>62</v>
      </c>
      <c r="AP57" s="233" t="s">
        <v>252</v>
      </c>
      <c r="AQ57" s="233">
        <v>355738</v>
      </c>
      <c r="AR57" s="230"/>
      <c r="AS57" s="230"/>
      <c r="BB57" s="230"/>
      <c r="BC57" s="230"/>
      <c r="BD57" s="230"/>
      <c r="BE57" s="230"/>
      <c r="BF57" s="230"/>
      <c r="BG57" s="230"/>
      <c r="BH57" s="230"/>
      <c r="BI57" s="230"/>
      <c r="BJ57" s="230"/>
      <c r="BK57" s="230"/>
      <c r="BL57" s="230"/>
      <c r="BM57" s="230"/>
      <c r="BN57" s="230"/>
      <c r="BO57" s="230"/>
      <c r="BP57" s="230"/>
      <c r="BQ57" s="230"/>
      <c r="BR57" s="230"/>
      <c r="BS57" s="230"/>
      <c r="BT57" s="230"/>
      <c r="BU57" s="230"/>
      <c r="BV57" s="230"/>
      <c r="BW57" s="230"/>
      <c r="BX57" s="230"/>
      <c r="BY57" s="230"/>
    </row>
    <row r="58" spans="6:77" ht="53.4" thickBot="1" x14ac:dyDescent="0.35">
      <c r="F58" s="234">
        <v>2002</v>
      </c>
      <c r="G58" s="234" t="s">
        <v>254</v>
      </c>
      <c r="H58" s="234" t="s">
        <v>246</v>
      </c>
      <c r="I58" s="234" t="s">
        <v>246</v>
      </c>
      <c r="J58" s="234" t="s">
        <v>252</v>
      </c>
      <c r="K58" s="234">
        <v>589995</v>
      </c>
      <c r="L58" s="230"/>
      <c r="N58" s="234">
        <v>2008</v>
      </c>
      <c r="O58" s="234" t="s">
        <v>254</v>
      </c>
      <c r="P58" s="234" t="s">
        <v>268</v>
      </c>
      <c r="Q58" s="234" t="s">
        <v>271</v>
      </c>
      <c r="R58" s="234" t="s">
        <v>252</v>
      </c>
      <c r="S58" s="234">
        <v>44200</v>
      </c>
      <c r="T58" s="230"/>
      <c r="V58" s="234">
        <v>2002</v>
      </c>
      <c r="W58" s="234" t="s">
        <v>251</v>
      </c>
      <c r="X58" s="234" t="s">
        <v>275</v>
      </c>
      <c r="Y58" s="234" t="s">
        <v>275</v>
      </c>
      <c r="Z58" s="234" t="s">
        <v>252</v>
      </c>
      <c r="AA58" s="234">
        <v>300263</v>
      </c>
      <c r="AB58" s="230"/>
      <c r="AD58" s="234">
        <v>2013</v>
      </c>
      <c r="AE58" s="234" t="s">
        <v>251</v>
      </c>
      <c r="AF58" s="234" t="s">
        <v>283</v>
      </c>
      <c r="AG58" s="234" t="s">
        <v>273</v>
      </c>
      <c r="AH58" s="234" t="s">
        <v>252</v>
      </c>
      <c r="AI58" s="234">
        <v>251999</v>
      </c>
      <c r="AJ58" s="230">
        <f>SUM(AI48:AI58)-AI50-AI52-AI53-AI54</f>
        <v>2125994</v>
      </c>
      <c r="AL58" s="234">
        <v>2007</v>
      </c>
      <c r="AM58" s="234" t="s">
        <v>251</v>
      </c>
      <c r="AN58" s="234" t="s">
        <v>248</v>
      </c>
      <c r="AO58" s="234" t="s">
        <v>62</v>
      </c>
      <c r="AP58" s="234" t="s">
        <v>252</v>
      </c>
      <c r="AQ58" s="234">
        <v>416072</v>
      </c>
      <c r="AR58" s="230"/>
      <c r="AS58" s="230"/>
      <c r="BB58" s="230"/>
      <c r="BC58" s="230"/>
      <c r="BD58" s="230"/>
      <c r="BE58" s="230"/>
      <c r="BF58" s="230"/>
      <c r="BG58" s="230"/>
      <c r="BH58" s="230"/>
      <c r="BI58" s="230"/>
      <c r="BJ58" s="230"/>
      <c r="BK58" s="230"/>
      <c r="BL58" s="230"/>
      <c r="BM58" s="230"/>
      <c r="BN58" s="230"/>
      <c r="BO58" s="230"/>
      <c r="BP58" s="230"/>
      <c r="BQ58" s="230"/>
      <c r="BR58" s="230"/>
      <c r="BS58" s="230"/>
      <c r="BT58" s="230"/>
      <c r="BU58" s="230"/>
      <c r="BV58" s="230"/>
      <c r="BW58" s="230"/>
      <c r="BX58" s="230"/>
      <c r="BY58" s="230"/>
    </row>
    <row r="59" spans="6:77" ht="53.4" thickBot="1" x14ac:dyDescent="0.35">
      <c r="F59" s="233">
        <v>2002</v>
      </c>
      <c r="G59" s="233" t="s">
        <v>251</v>
      </c>
      <c r="H59" s="233" t="s">
        <v>246</v>
      </c>
      <c r="I59" s="233" t="s">
        <v>246</v>
      </c>
      <c r="J59" s="233" t="s">
        <v>252</v>
      </c>
      <c r="K59" s="233">
        <v>81296</v>
      </c>
      <c r="L59" s="230"/>
      <c r="N59" s="233">
        <v>2008</v>
      </c>
      <c r="O59" s="233" t="s">
        <v>254</v>
      </c>
      <c r="P59" s="233" t="s">
        <v>268</v>
      </c>
      <c r="Q59" s="233" t="s">
        <v>271</v>
      </c>
      <c r="R59" s="233" t="s">
        <v>252</v>
      </c>
      <c r="S59" s="233">
        <v>99397</v>
      </c>
      <c r="T59" s="230"/>
      <c r="V59" s="233">
        <v>2002</v>
      </c>
      <c r="W59" s="233" t="s">
        <v>251</v>
      </c>
      <c r="X59" s="233" t="s">
        <v>275</v>
      </c>
      <c r="Y59" s="233" t="s">
        <v>275</v>
      </c>
      <c r="Z59" s="233" t="s">
        <v>252</v>
      </c>
      <c r="AA59" s="233">
        <v>438813</v>
      </c>
      <c r="AB59" s="230">
        <f>SUM(AA57:AA59)</f>
        <v>1040829</v>
      </c>
      <c r="AD59" s="233">
        <v>2012</v>
      </c>
      <c r="AE59" s="233" t="s">
        <v>254</v>
      </c>
      <c r="AF59" s="233" t="s">
        <v>283</v>
      </c>
      <c r="AG59" s="233" t="s">
        <v>284</v>
      </c>
      <c r="AH59" s="233" t="s">
        <v>252</v>
      </c>
      <c r="AI59" s="233">
        <v>315787</v>
      </c>
      <c r="AJ59" s="230"/>
      <c r="AL59" s="233">
        <v>2007</v>
      </c>
      <c r="AM59" s="233" t="s">
        <v>251</v>
      </c>
      <c r="AN59" s="233" t="s">
        <v>248</v>
      </c>
      <c r="AO59" s="233" t="s">
        <v>62</v>
      </c>
      <c r="AP59" s="233" t="s">
        <v>252</v>
      </c>
      <c r="AQ59" s="233">
        <v>460927</v>
      </c>
      <c r="AR59" s="230"/>
      <c r="AS59" s="230"/>
      <c r="BB59" s="230"/>
      <c r="BC59" s="230"/>
      <c r="BD59" s="230"/>
      <c r="BE59" s="230"/>
      <c r="BF59" s="230"/>
      <c r="BG59" s="230"/>
      <c r="BH59" s="230"/>
      <c r="BI59" s="230"/>
      <c r="BJ59" s="230"/>
      <c r="BK59" s="230"/>
      <c r="BL59" s="230"/>
      <c r="BM59" s="230"/>
      <c r="BN59" s="230"/>
      <c r="BO59" s="230"/>
      <c r="BP59" s="230"/>
      <c r="BQ59" s="230"/>
      <c r="BR59" s="230"/>
      <c r="BS59" s="230"/>
      <c r="BT59" s="230"/>
      <c r="BU59" s="230"/>
      <c r="BV59" s="230"/>
      <c r="BW59" s="230"/>
      <c r="BX59" s="230"/>
      <c r="BY59" s="230"/>
    </row>
    <row r="60" spans="6:77" ht="40.200000000000003" thickBot="1" x14ac:dyDescent="0.35">
      <c r="F60" s="234">
        <v>2002</v>
      </c>
      <c r="G60" s="234" t="s">
        <v>251</v>
      </c>
      <c r="H60" s="234" t="s">
        <v>246</v>
      </c>
      <c r="I60" s="234" t="s">
        <v>246</v>
      </c>
      <c r="J60" s="234" t="s">
        <v>252</v>
      </c>
      <c r="K60" s="234">
        <v>308081</v>
      </c>
      <c r="L60" s="230">
        <f>SUM(K58:K60)</f>
        <v>979372</v>
      </c>
      <c r="N60" s="234">
        <v>2008</v>
      </c>
      <c r="O60" s="234" t="s">
        <v>251</v>
      </c>
      <c r="P60" s="234" t="s">
        <v>268</v>
      </c>
      <c r="Q60" s="234" t="s">
        <v>272</v>
      </c>
      <c r="R60" s="234" t="s">
        <v>252</v>
      </c>
      <c r="S60" s="234">
        <v>670458</v>
      </c>
      <c r="T60" s="230">
        <f>SUM(S57:S60)</f>
        <v>859415</v>
      </c>
      <c r="V60" s="234">
        <v>2001</v>
      </c>
      <c r="W60" s="234" t="s">
        <v>254</v>
      </c>
      <c r="X60" s="234" t="s">
        <v>275</v>
      </c>
      <c r="Y60" s="234" t="s">
        <v>275</v>
      </c>
      <c r="Z60" s="234" t="s">
        <v>252</v>
      </c>
      <c r="AA60" s="234">
        <v>292147</v>
      </c>
      <c r="AB60" s="230"/>
      <c r="AD60" s="234">
        <v>2012</v>
      </c>
      <c r="AE60" s="234" t="s">
        <v>254</v>
      </c>
      <c r="AF60" s="234" t="s">
        <v>283</v>
      </c>
      <c r="AG60" s="234" t="s">
        <v>279</v>
      </c>
      <c r="AH60" s="234" t="s">
        <v>252</v>
      </c>
      <c r="AI60" s="234">
        <v>111780</v>
      </c>
      <c r="AJ60" s="230"/>
      <c r="AL60" s="234">
        <v>2007</v>
      </c>
      <c r="AM60" s="234" t="s">
        <v>251</v>
      </c>
      <c r="AN60" s="234" t="s">
        <v>248</v>
      </c>
      <c r="AO60" s="234" t="s">
        <v>62</v>
      </c>
      <c r="AP60" s="234" t="s">
        <v>252</v>
      </c>
      <c r="AQ60" s="234">
        <v>650</v>
      </c>
      <c r="AR60" s="230">
        <f>SUM(AQ55:AQ60)</f>
        <v>1348367</v>
      </c>
      <c r="AS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c r="BX60" s="230"/>
      <c r="BY60" s="230"/>
    </row>
    <row r="61" spans="6:77" ht="53.4" thickBot="1" x14ac:dyDescent="0.35">
      <c r="F61" s="233">
        <v>2001</v>
      </c>
      <c r="G61" s="233" t="s">
        <v>254</v>
      </c>
      <c r="H61" s="233" t="s">
        <v>246</v>
      </c>
      <c r="I61" s="233" t="s">
        <v>246</v>
      </c>
      <c r="J61" s="233" t="s">
        <v>252</v>
      </c>
      <c r="K61" s="233">
        <v>313072</v>
      </c>
      <c r="L61" s="230"/>
      <c r="N61" s="233">
        <v>2007</v>
      </c>
      <c r="O61" s="233" t="s">
        <v>254</v>
      </c>
      <c r="P61" s="233" t="s">
        <v>268</v>
      </c>
      <c r="Q61" s="233" t="s">
        <v>271</v>
      </c>
      <c r="R61" s="233" t="s">
        <v>252</v>
      </c>
      <c r="S61" s="233">
        <v>108561</v>
      </c>
      <c r="T61" s="230"/>
      <c r="V61" s="233">
        <v>2001</v>
      </c>
      <c r="W61" s="233" t="s">
        <v>251</v>
      </c>
      <c r="X61" s="233" t="s">
        <v>275</v>
      </c>
      <c r="Y61" s="233" t="s">
        <v>275</v>
      </c>
      <c r="Z61" s="233" t="s">
        <v>252</v>
      </c>
      <c r="AA61" s="233">
        <v>297609</v>
      </c>
      <c r="AB61" s="230"/>
      <c r="AD61" s="233">
        <v>2012</v>
      </c>
      <c r="AE61" s="233" t="s">
        <v>254</v>
      </c>
      <c r="AF61" s="233" t="s">
        <v>283</v>
      </c>
      <c r="AG61" s="233" t="s">
        <v>288</v>
      </c>
      <c r="AH61" s="233" t="s">
        <v>252</v>
      </c>
      <c r="AI61" s="233">
        <v>100800</v>
      </c>
      <c r="AJ61" s="230"/>
      <c r="AL61" s="233">
        <v>2006</v>
      </c>
      <c r="AM61" s="233" t="s">
        <v>254</v>
      </c>
      <c r="AN61" s="233" t="s">
        <v>248</v>
      </c>
      <c r="AO61" s="233" t="s">
        <v>299</v>
      </c>
      <c r="AP61" s="233" t="s">
        <v>252</v>
      </c>
      <c r="AQ61" s="233">
        <v>20978</v>
      </c>
      <c r="AR61" s="230"/>
      <c r="AS61" s="230"/>
      <c r="BB61" s="230"/>
      <c r="BC61" s="230"/>
      <c r="BD61" s="230"/>
      <c r="BE61" s="230"/>
      <c r="BF61" s="230"/>
      <c r="BG61" s="230"/>
      <c r="BH61" s="230"/>
      <c r="BI61" s="230"/>
      <c r="BJ61" s="230"/>
      <c r="BK61" s="230"/>
      <c r="BL61" s="230"/>
      <c r="BM61" s="230"/>
      <c r="BN61" s="230"/>
      <c r="BO61" s="230"/>
      <c r="BP61" s="230"/>
      <c r="BQ61" s="230"/>
      <c r="BR61" s="230"/>
      <c r="BS61" s="230"/>
      <c r="BT61" s="230"/>
      <c r="BU61" s="230"/>
      <c r="BV61" s="230"/>
      <c r="BW61" s="230"/>
      <c r="BX61" s="230"/>
      <c r="BY61" s="230"/>
    </row>
    <row r="62" spans="6:77" ht="40.200000000000003" thickBot="1" x14ac:dyDescent="0.35">
      <c r="F62" s="234">
        <v>2001</v>
      </c>
      <c r="G62" s="234" t="s">
        <v>251</v>
      </c>
      <c r="H62" s="234" t="s">
        <v>246</v>
      </c>
      <c r="I62" s="234" t="s">
        <v>246</v>
      </c>
      <c r="J62" s="234" t="s">
        <v>252</v>
      </c>
      <c r="K62" s="234">
        <v>373648</v>
      </c>
      <c r="L62" s="230">
        <f>SUM(K61:K62)</f>
        <v>686720</v>
      </c>
      <c r="N62" s="234">
        <v>2007</v>
      </c>
      <c r="O62" s="234" t="s">
        <v>251</v>
      </c>
      <c r="P62" s="234" t="s">
        <v>268</v>
      </c>
      <c r="Q62" s="234" t="s">
        <v>272</v>
      </c>
      <c r="R62" s="234" t="s">
        <v>252</v>
      </c>
      <c r="S62" s="234">
        <v>674675</v>
      </c>
      <c r="T62" s="230">
        <f>SUM(S61:S62)</f>
        <v>783236</v>
      </c>
      <c r="V62" s="234">
        <v>2001</v>
      </c>
      <c r="W62" s="234" t="s">
        <v>251</v>
      </c>
      <c r="X62" s="234" t="s">
        <v>275</v>
      </c>
      <c r="Y62" s="234" t="s">
        <v>275</v>
      </c>
      <c r="Z62" s="234" t="s">
        <v>252</v>
      </c>
      <c r="AA62" s="234">
        <v>418162</v>
      </c>
      <c r="AB62" s="230">
        <f>SUM(AA60:AA62)</f>
        <v>1007918</v>
      </c>
      <c r="AD62" s="234">
        <v>2012</v>
      </c>
      <c r="AE62" s="234" t="s">
        <v>254</v>
      </c>
      <c r="AF62" s="234" t="s">
        <v>283</v>
      </c>
      <c r="AG62" s="234" t="s">
        <v>287</v>
      </c>
      <c r="AH62" s="234" t="s">
        <v>252</v>
      </c>
      <c r="AI62" s="234">
        <v>80744</v>
      </c>
      <c r="AJ62" s="230"/>
      <c r="AL62" s="234">
        <v>2006</v>
      </c>
      <c r="AM62" s="234" t="s">
        <v>251</v>
      </c>
      <c r="AN62" s="234" t="s">
        <v>248</v>
      </c>
      <c r="AO62" s="234" t="s">
        <v>62</v>
      </c>
      <c r="AP62" s="234" t="s">
        <v>252</v>
      </c>
      <c r="AQ62" s="234">
        <v>52363</v>
      </c>
      <c r="AR62" s="230"/>
      <c r="AS62" s="230"/>
      <c r="BB62" s="230"/>
      <c r="BC62" s="230"/>
      <c r="BD62" s="230"/>
      <c r="BE62" s="230"/>
      <c r="BF62" s="230"/>
      <c r="BG62" s="230"/>
      <c r="BH62" s="230"/>
      <c r="BI62" s="230"/>
      <c r="BJ62" s="230"/>
      <c r="BK62" s="230"/>
      <c r="BL62" s="230"/>
      <c r="BM62" s="230"/>
      <c r="BN62" s="230"/>
      <c r="BO62" s="230"/>
      <c r="BP62" s="230"/>
      <c r="BQ62" s="230"/>
      <c r="BR62" s="230"/>
      <c r="BS62" s="230"/>
      <c r="BT62" s="230"/>
      <c r="BU62" s="230"/>
      <c r="BV62" s="230"/>
      <c r="BW62" s="230"/>
      <c r="BX62" s="230"/>
      <c r="BY62" s="230"/>
    </row>
    <row r="63" spans="6:77" ht="53.4" thickBot="1" x14ac:dyDescent="0.35">
      <c r="F63" s="233">
        <v>2000</v>
      </c>
      <c r="G63" s="233" t="s">
        <v>251</v>
      </c>
      <c r="H63" s="233" t="s">
        <v>246</v>
      </c>
      <c r="I63" s="233" t="s">
        <v>246</v>
      </c>
      <c r="J63" s="233" t="s">
        <v>252</v>
      </c>
      <c r="K63" s="233">
        <v>387886</v>
      </c>
      <c r="L63" s="230"/>
      <c r="N63" s="233">
        <v>2006</v>
      </c>
      <c r="O63" s="233" t="s">
        <v>254</v>
      </c>
      <c r="P63" s="233" t="s">
        <v>268</v>
      </c>
      <c r="Q63" s="233" t="s">
        <v>271</v>
      </c>
      <c r="R63" s="233" t="s">
        <v>252</v>
      </c>
      <c r="S63" s="233">
        <v>153972</v>
      </c>
      <c r="T63" s="230"/>
      <c r="V63" s="233">
        <v>2000</v>
      </c>
      <c r="W63" s="233" t="s">
        <v>251</v>
      </c>
      <c r="X63" s="233" t="s">
        <v>275</v>
      </c>
      <c r="Y63" s="233" t="s">
        <v>273</v>
      </c>
      <c r="Z63" s="233" t="s">
        <v>252</v>
      </c>
      <c r="AA63" s="233">
        <v>304489</v>
      </c>
      <c r="AB63" s="230"/>
      <c r="AD63" s="233">
        <v>2012</v>
      </c>
      <c r="AE63" s="233" t="s">
        <v>251</v>
      </c>
      <c r="AF63" s="233" t="s">
        <v>283</v>
      </c>
      <c r="AG63" s="233" t="s">
        <v>284</v>
      </c>
      <c r="AH63" s="233" t="s">
        <v>252</v>
      </c>
      <c r="AI63" s="233">
        <v>719188</v>
      </c>
      <c r="AJ63" s="230"/>
      <c r="AL63" s="233">
        <v>2006</v>
      </c>
      <c r="AM63" s="233" t="s">
        <v>251</v>
      </c>
      <c r="AN63" s="233" t="s">
        <v>248</v>
      </c>
      <c r="AO63" s="233" t="s">
        <v>62</v>
      </c>
      <c r="AP63" s="233" t="s">
        <v>252</v>
      </c>
      <c r="AQ63" s="233">
        <v>310525</v>
      </c>
      <c r="AR63" s="230"/>
      <c r="AS63" s="230"/>
      <c r="BB63" s="230"/>
      <c r="BC63" s="230"/>
      <c r="BD63" s="230"/>
      <c r="BE63" s="230"/>
      <c r="BF63" s="230"/>
      <c r="BG63" s="230"/>
      <c r="BH63" s="230"/>
      <c r="BI63" s="230"/>
      <c r="BJ63" s="230"/>
      <c r="BK63" s="230"/>
      <c r="BL63" s="230"/>
      <c r="BM63" s="230"/>
      <c r="BN63" s="230"/>
      <c r="BO63" s="230"/>
      <c r="BP63" s="230"/>
      <c r="BQ63" s="230"/>
      <c r="BR63" s="230"/>
      <c r="BS63" s="230"/>
      <c r="BT63" s="230"/>
      <c r="BU63" s="230"/>
      <c r="BV63" s="230"/>
      <c r="BW63" s="230"/>
      <c r="BX63" s="230"/>
      <c r="BY63" s="230"/>
    </row>
    <row r="64" spans="6:77" ht="40.200000000000003" thickBot="1" x14ac:dyDescent="0.35">
      <c r="F64" s="234">
        <v>2000</v>
      </c>
      <c r="G64" s="234" t="s">
        <v>254</v>
      </c>
      <c r="H64" s="234" t="s">
        <v>246</v>
      </c>
      <c r="I64" s="234" t="s">
        <v>246</v>
      </c>
      <c r="J64" s="234" t="s">
        <v>252</v>
      </c>
      <c r="K64" s="234">
        <v>279700</v>
      </c>
      <c r="L64" s="230"/>
      <c r="N64" s="234">
        <v>2006</v>
      </c>
      <c r="O64" s="234" t="s">
        <v>251</v>
      </c>
      <c r="P64" s="234" t="s">
        <v>268</v>
      </c>
      <c r="Q64" s="234" t="s">
        <v>269</v>
      </c>
      <c r="R64" s="234" t="s">
        <v>252</v>
      </c>
      <c r="S64" s="234">
        <v>29786</v>
      </c>
      <c r="T64" s="230"/>
      <c r="V64" s="234">
        <v>2000</v>
      </c>
      <c r="W64" s="234" t="s">
        <v>251</v>
      </c>
      <c r="X64" s="234" t="s">
        <v>275</v>
      </c>
      <c r="Y64" s="234" t="s">
        <v>273</v>
      </c>
      <c r="Z64" s="234" t="s">
        <v>252</v>
      </c>
      <c r="AA64" s="234">
        <v>416512</v>
      </c>
      <c r="AB64" s="230">
        <f>SUM(AA63:AA64)</f>
        <v>721001</v>
      </c>
      <c r="AD64" s="234">
        <v>2012</v>
      </c>
      <c r="AE64" s="234" t="s">
        <v>251</v>
      </c>
      <c r="AF64" s="234" t="s">
        <v>283</v>
      </c>
      <c r="AG64" s="234" t="s">
        <v>284</v>
      </c>
      <c r="AH64" s="234" t="s">
        <v>252</v>
      </c>
      <c r="AI64" s="234">
        <v>656843</v>
      </c>
      <c r="AJ64" s="230"/>
      <c r="AL64" s="234">
        <v>2006</v>
      </c>
      <c r="AM64" s="234" t="s">
        <v>251</v>
      </c>
      <c r="AN64" s="234" t="s">
        <v>248</v>
      </c>
      <c r="AO64" s="234" t="s">
        <v>62</v>
      </c>
      <c r="AP64" s="234" t="s">
        <v>252</v>
      </c>
      <c r="AQ64" s="234">
        <v>51420</v>
      </c>
      <c r="AR64" s="230"/>
      <c r="AS64" s="230"/>
      <c r="BB64" s="230"/>
      <c r="BC64" s="230"/>
      <c r="BD64" s="230"/>
      <c r="BE64" s="230"/>
      <c r="BF64" s="230"/>
      <c r="BG64" s="230"/>
      <c r="BH64" s="230"/>
      <c r="BI64" s="230"/>
      <c r="BJ64" s="230"/>
      <c r="BK64" s="230"/>
      <c r="BL64" s="230"/>
      <c r="BM64" s="230"/>
      <c r="BN64" s="230"/>
      <c r="BO64" s="230"/>
      <c r="BP64" s="230"/>
      <c r="BQ64" s="230"/>
      <c r="BR64" s="230"/>
      <c r="BS64" s="230"/>
      <c r="BT64" s="230"/>
      <c r="BU64" s="230"/>
      <c r="BV64" s="230"/>
      <c r="BW64" s="230"/>
      <c r="BX64" s="230"/>
      <c r="BY64" s="230"/>
    </row>
    <row r="65" spans="6:77" ht="40.200000000000003" thickBot="1" x14ac:dyDescent="0.35">
      <c r="F65" s="233">
        <v>2000</v>
      </c>
      <c r="G65" s="233" t="s">
        <v>254</v>
      </c>
      <c r="H65" s="233" t="s">
        <v>246</v>
      </c>
      <c r="I65" s="233" t="s">
        <v>246</v>
      </c>
      <c r="J65" s="233" t="s">
        <v>252</v>
      </c>
      <c r="K65" s="233">
        <v>430913</v>
      </c>
      <c r="L65" s="230">
        <f>SUM(K63:K65)</f>
        <v>1098499</v>
      </c>
      <c r="N65" s="233">
        <v>2006</v>
      </c>
      <c r="O65" s="233" t="s">
        <v>251</v>
      </c>
      <c r="P65" s="233" t="s">
        <v>268</v>
      </c>
      <c r="Q65" s="233" t="s">
        <v>269</v>
      </c>
      <c r="R65" s="233" t="s">
        <v>252</v>
      </c>
      <c r="S65" s="233">
        <v>30338</v>
      </c>
      <c r="T65" s="230"/>
      <c r="V65" s="233">
        <v>1999</v>
      </c>
      <c r="W65" s="233" t="s">
        <v>254</v>
      </c>
      <c r="X65" s="233" t="s">
        <v>275</v>
      </c>
      <c r="Y65" s="233" t="s">
        <v>275</v>
      </c>
      <c r="Z65" s="233" t="s">
        <v>252</v>
      </c>
      <c r="AA65" s="233">
        <v>304596</v>
      </c>
      <c r="AB65" s="230"/>
      <c r="AD65" s="233">
        <v>2012</v>
      </c>
      <c r="AE65" s="233" t="s">
        <v>251</v>
      </c>
      <c r="AF65" s="233" t="s">
        <v>283</v>
      </c>
      <c r="AG65" s="233" t="s">
        <v>284</v>
      </c>
      <c r="AH65" s="233" t="s">
        <v>252</v>
      </c>
      <c r="AI65" s="233">
        <v>241040</v>
      </c>
      <c r="AJ65" s="230"/>
      <c r="AL65" s="233">
        <v>2006</v>
      </c>
      <c r="AM65" s="233" t="s">
        <v>251</v>
      </c>
      <c r="AN65" s="233" t="s">
        <v>248</v>
      </c>
      <c r="AO65" s="233" t="s">
        <v>62</v>
      </c>
      <c r="AP65" s="233" t="s">
        <v>252</v>
      </c>
      <c r="AQ65" s="233">
        <v>31350</v>
      </c>
      <c r="AR65" s="230"/>
      <c r="AS65" s="230"/>
      <c r="BB65" s="230"/>
      <c r="BC65" s="230"/>
      <c r="BD65" s="230"/>
      <c r="BE65" s="230"/>
      <c r="BF65" s="230"/>
      <c r="BG65" s="230"/>
      <c r="BH65" s="230"/>
      <c r="BI65" s="230"/>
      <c r="BJ65" s="230"/>
      <c r="BK65" s="230"/>
      <c r="BL65" s="230"/>
      <c r="BM65" s="230"/>
      <c r="BN65" s="230"/>
      <c r="BO65" s="230"/>
      <c r="BP65" s="230"/>
      <c r="BQ65" s="230"/>
      <c r="BR65" s="230"/>
      <c r="BS65" s="230"/>
      <c r="BT65" s="230"/>
      <c r="BU65" s="230"/>
      <c r="BV65" s="230"/>
      <c r="BW65" s="230"/>
      <c r="BX65" s="230"/>
      <c r="BY65" s="230"/>
    </row>
    <row r="66" spans="6:77" ht="40.200000000000003" thickBot="1" x14ac:dyDescent="0.35">
      <c r="F66" s="234">
        <v>1999</v>
      </c>
      <c r="G66" s="234" t="s">
        <v>251</v>
      </c>
      <c r="H66" s="234" t="s">
        <v>246</v>
      </c>
      <c r="I66" s="234" t="s">
        <v>246</v>
      </c>
      <c r="J66" s="234" t="s">
        <v>252</v>
      </c>
      <c r="K66" s="234">
        <v>374433</v>
      </c>
      <c r="L66" s="230"/>
      <c r="N66" s="234">
        <v>2006</v>
      </c>
      <c r="O66" s="234" t="s">
        <v>251</v>
      </c>
      <c r="P66" s="234" t="s">
        <v>268</v>
      </c>
      <c r="Q66" s="234" t="s">
        <v>269</v>
      </c>
      <c r="R66" s="234" t="s">
        <v>252</v>
      </c>
      <c r="S66" s="234">
        <v>63525</v>
      </c>
      <c r="T66" s="230"/>
      <c r="V66" s="234">
        <v>1999</v>
      </c>
      <c r="W66" s="234" t="s">
        <v>251</v>
      </c>
      <c r="X66" s="234" t="s">
        <v>275</v>
      </c>
      <c r="Y66" s="234" t="s">
        <v>275</v>
      </c>
      <c r="Z66" s="234" t="s">
        <v>252</v>
      </c>
      <c r="AA66" s="234">
        <v>294611</v>
      </c>
      <c r="AB66" s="230"/>
      <c r="AD66" s="234">
        <v>2012</v>
      </c>
      <c r="AE66" s="234" t="s">
        <v>251</v>
      </c>
      <c r="AF66" s="234" t="s">
        <v>283</v>
      </c>
      <c r="AG66" s="234" t="s">
        <v>270</v>
      </c>
      <c r="AH66" s="234" t="s">
        <v>252</v>
      </c>
      <c r="AI66" s="234">
        <v>99301</v>
      </c>
      <c r="AJ66" s="230"/>
      <c r="AL66" s="234">
        <v>2006</v>
      </c>
      <c r="AM66" s="234" t="s">
        <v>251</v>
      </c>
      <c r="AN66" s="234" t="s">
        <v>248</v>
      </c>
      <c r="AO66" s="234" t="s">
        <v>62</v>
      </c>
      <c r="AP66" s="234" t="s">
        <v>252</v>
      </c>
      <c r="AQ66" s="234">
        <v>417404</v>
      </c>
      <c r="AR66" s="230">
        <f>SUM(AQ61:AQ66)</f>
        <v>884040</v>
      </c>
      <c r="AS66" s="230"/>
      <c r="BB66" s="230"/>
      <c r="BC66" s="230"/>
      <c r="BD66" s="230"/>
      <c r="BE66" s="230"/>
      <c r="BF66" s="230"/>
      <c r="BG66" s="230"/>
      <c r="BH66" s="230"/>
      <c r="BI66" s="230"/>
      <c r="BJ66" s="230"/>
      <c r="BK66" s="230"/>
      <c r="BL66" s="230"/>
      <c r="BM66" s="230"/>
      <c r="BN66" s="230"/>
      <c r="BO66" s="230"/>
      <c r="BP66" s="230"/>
      <c r="BQ66" s="230"/>
      <c r="BR66" s="230"/>
      <c r="BS66" s="230"/>
      <c r="BT66" s="230"/>
      <c r="BU66" s="230"/>
      <c r="BV66" s="230"/>
      <c r="BW66" s="230"/>
      <c r="BX66" s="230"/>
      <c r="BY66" s="230"/>
    </row>
    <row r="67" spans="6:77" ht="40.200000000000003" thickBot="1" x14ac:dyDescent="0.35">
      <c r="F67" s="233">
        <v>1998</v>
      </c>
      <c r="G67" s="233" t="s">
        <v>254</v>
      </c>
      <c r="H67" s="233" t="s">
        <v>246</v>
      </c>
      <c r="I67" s="233" t="s">
        <v>53</v>
      </c>
      <c r="J67" s="233" t="s">
        <v>252</v>
      </c>
      <c r="K67" s="233">
        <v>683121</v>
      </c>
      <c r="L67" s="230"/>
      <c r="N67" s="233">
        <v>2006</v>
      </c>
      <c r="O67" s="233" t="s">
        <v>251</v>
      </c>
      <c r="P67" s="233" t="s">
        <v>268</v>
      </c>
      <c r="Q67" s="233" t="s">
        <v>269</v>
      </c>
      <c r="R67" s="233" t="s">
        <v>252</v>
      </c>
      <c r="S67" s="233">
        <v>32282</v>
      </c>
      <c r="T67" s="230"/>
      <c r="V67" s="233">
        <v>1999</v>
      </c>
      <c r="W67" s="233" t="s">
        <v>251</v>
      </c>
      <c r="X67" s="233" t="s">
        <v>275</v>
      </c>
      <c r="Y67" s="233" t="s">
        <v>275</v>
      </c>
      <c r="Z67" s="233" t="s">
        <v>252</v>
      </c>
      <c r="AA67" s="233">
        <v>417914</v>
      </c>
      <c r="AB67" s="230"/>
      <c r="AD67" s="233">
        <v>2012</v>
      </c>
      <c r="AE67" s="233" t="s">
        <v>251</v>
      </c>
      <c r="AF67" s="233" t="s">
        <v>283</v>
      </c>
      <c r="AG67" s="233" t="s">
        <v>273</v>
      </c>
      <c r="AH67" s="233" t="s">
        <v>252</v>
      </c>
      <c r="AI67" s="233">
        <v>251055</v>
      </c>
      <c r="AJ67" s="230">
        <f>SUM(AI59:AI67)-AI62</f>
        <v>2495794</v>
      </c>
      <c r="AL67" s="233">
        <v>2005</v>
      </c>
      <c r="AM67" s="233" t="s">
        <v>254</v>
      </c>
      <c r="AN67" s="233" t="s">
        <v>248</v>
      </c>
      <c r="AO67" s="233" t="s">
        <v>292</v>
      </c>
      <c r="AP67" s="233" t="s">
        <v>252</v>
      </c>
      <c r="AQ67" s="233">
        <v>72558</v>
      </c>
      <c r="AR67" s="230"/>
      <c r="AS67" s="230"/>
      <c r="BB67" s="230"/>
      <c r="BC67" s="230"/>
      <c r="BD67" s="230"/>
      <c r="BE67" s="230"/>
      <c r="BF67" s="230"/>
      <c r="BG67" s="230"/>
      <c r="BH67" s="230"/>
      <c r="BI67" s="230"/>
      <c r="BJ67" s="230"/>
      <c r="BK67" s="230"/>
      <c r="BL67" s="230"/>
      <c r="BM67" s="230"/>
      <c r="BN67" s="230"/>
      <c r="BO67" s="230"/>
      <c r="BP67" s="230"/>
      <c r="BQ67" s="230"/>
      <c r="BR67" s="230"/>
      <c r="BS67" s="230"/>
      <c r="BT67" s="230"/>
      <c r="BU67" s="230"/>
      <c r="BV67" s="230"/>
      <c r="BW67" s="230"/>
      <c r="BX67" s="230"/>
      <c r="BY67" s="230"/>
    </row>
    <row r="68" spans="6:77" ht="40.200000000000003" thickBot="1" x14ac:dyDescent="0.35">
      <c r="F68" s="234">
        <v>1998</v>
      </c>
      <c r="G68" s="234" t="s">
        <v>251</v>
      </c>
      <c r="H68" s="234" t="s">
        <v>246</v>
      </c>
      <c r="I68" s="234" t="s">
        <v>246</v>
      </c>
      <c r="J68" s="234" t="s">
        <v>252</v>
      </c>
      <c r="K68" s="234">
        <v>487334</v>
      </c>
      <c r="L68" s="230"/>
      <c r="N68" s="234">
        <v>2006</v>
      </c>
      <c r="O68" s="234" t="s">
        <v>251</v>
      </c>
      <c r="P68" s="234" t="s">
        <v>268</v>
      </c>
      <c r="Q68" s="234" t="s">
        <v>269</v>
      </c>
      <c r="R68" s="234" t="s">
        <v>252</v>
      </c>
      <c r="S68" s="234">
        <v>69300</v>
      </c>
      <c r="T68" s="230"/>
      <c r="V68" s="234">
        <v>1998</v>
      </c>
      <c r="W68" s="234" t="s">
        <v>254</v>
      </c>
      <c r="X68" s="234" t="s">
        <v>275</v>
      </c>
      <c r="Y68" s="234" t="s">
        <v>273</v>
      </c>
      <c r="Z68" s="234" t="s">
        <v>252</v>
      </c>
      <c r="AA68" s="234">
        <v>299572</v>
      </c>
      <c r="AB68" s="230"/>
      <c r="AD68" s="234">
        <v>2011</v>
      </c>
      <c r="AE68" s="234" t="s">
        <v>254</v>
      </c>
      <c r="AF68" s="234" t="s">
        <v>283</v>
      </c>
      <c r="AG68" s="234" t="s">
        <v>284</v>
      </c>
      <c r="AH68" s="234" t="s">
        <v>252</v>
      </c>
      <c r="AI68" s="234">
        <v>2500</v>
      </c>
      <c r="AJ68" s="230"/>
      <c r="AL68" s="234">
        <v>2005</v>
      </c>
      <c r="AM68" s="234" t="s">
        <v>254</v>
      </c>
      <c r="AN68" s="234" t="s">
        <v>248</v>
      </c>
      <c r="AO68" s="234" t="s">
        <v>248</v>
      </c>
      <c r="AP68" s="234" t="s">
        <v>252</v>
      </c>
      <c r="AQ68" s="234">
        <v>354759</v>
      </c>
      <c r="AR68" s="230"/>
      <c r="AS68" s="230"/>
      <c r="BB68" s="230"/>
      <c r="BC68" s="230"/>
      <c r="BD68" s="230"/>
      <c r="BE68" s="230"/>
      <c r="BF68" s="230"/>
      <c r="BG68" s="230"/>
      <c r="BH68" s="230"/>
      <c r="BI68" s="230"/>
      <c r="BJ68" s="230"/>
      <c r="BK68" s="230"/>
      <c r="BL68" s="230"/>
      <c r="BM68" s="230"/>
      <c r="BN68" s="230"/>
      <c r="BO68" s="230"/>
      <c r="BP68" s="230"/>
      <c r="BQ68" s="230"/>
      <c r="BR68" s="230"/>
      <c r="BS68" s="230"/>
      <c r="BT68" s="230"/>
      <c r="BU68" s="230"/>
      <c r="BV68" s="230"/>
      <c r="BW68" s="230"/>
      <c r="BX68" s="230"/>
      <c r="BY68" s="230"/>
    </row>
    <row r="69" spans="6:77" ht="40.200000000000003" thickBot="1" x14ac:dyDescent="0.35">
      <c r="F69" s="233">
        <v>1997</v>
      </c>
      <c r="G69" s="233" t="s">
        <v>254</v>
      </c>
      <c r="H69" s="233" t="s">
        <v>246</v>
      </c>
      <c r="I69" s="233" t="s">
        <v>53</v>
      </c>
      <c r="J69" s="233" t="s">
        <v>252</v>
      </c>
      <c r="K69" s="233">
        <v>615580</v>
      </c>
      <c r="L69" s="230"/>
      <c r="N69" s="233">
        <v>2006</v>
      </c>
      <c r="O69" s="233" t="s">
        <v>251</v>
      </c>
      <c r="P69" s="233" t="s">
        <v>268</v>
      </c>
      <c r="Q69" s="233" t="s">
        <v>269</v>
      </c>
      <c r="R69" s="233" t="s">
        <v>252</v>
      </c>
      <c r="S69" s="233">
        <v>61560</v>
      </c>
      <c r="T69" s="230"/>
      <c r="V69" s="233">
        <v>1998</v>
      </c>
      <c r="W69" s="233" t="s">
        <v>251</v>
      </c>
      <c r="X69" s="233" t="s">
        <v>275</v>
      </c>
      <c r="Y69" s="233" t="s">
        <v>275</v>
      </c>
      <c r="Z69" s="233" t="s">
        <v>252</v>
      </c>
      <c r="AA69" s="233">
        <v>300234</v>
      </c>
      <c r="AB69" s="230"/>
      <c r="AD69" s="233">
        <v>2011</v>
      </c>
      <c r="AE69" s="233" t="s">
        <v>254</v>
      </c>
      <c r="AF69" s="233" t="s">
        <v>283</v>
      </c>
      <c r="AG69" s="233" t="s">
        <v>284</v>
      </c>
      <c r="AH69" s="233" t="s">
        <v>252</v>
      </c>
      <c r="AI69" s="233">
        <v>314450</v>
      </c>
      <c r="AJ69" s="230"/>
      <c r="AL69" s="233">
        <v>2005</v>
      </c>
      <c r="AM69" s="233" t="s">
        <v>251</v>
      </c>
      <c r="AN69" s="233" t="s">
        <v>248</v>
      </c>
      <c r="AO69" s="233" t="s">
        <v>248</v>
      </c>
      <c r="AP69" s="233" t="s">
        <v>252</v>
      </c>
      <c r="AQ69" s="233">
        <v>855563</v>
      </c>
      <c r="AR69" s="230">
        <f>SUM(AQ67:AQ69)</f>
        <v>1282880</v>
      </c>
      <c r="AS69" s="230"/>
      <c r="BB69" s="230"/>
      <c r="BC69" s="230"/>
      <c r="BD69" s="230"/>
      <c r="BE69" s="230"/>
      <c r="BF69" s="230"/>
      <c r="BG69" s="230"/>
      <c r="BH69" s="230"/>
      <c r="BI69" s="230"/>
      <c r="BJ69" s="230"/>
      <c r="BK69" s="230"/>
      <c r="BL69" s="230"/>
      <c r="BM69" s="230"/>
      <c r="BN69" s="230"/>
      <c r="BO69" s="230"/>
      <c r="BP69" s="230"/>
      <c r="BQ69" s="230"/>
      <c r="BR69" s="230"/>
      <c r="BS69" s="230"/>
      <c r="BT69" s="230"/>
      <c r="BU69" s="230"/>
      <c r="BV69" s="230"/>
      <c r="BW69" s="230"/>
      <c r="BX69" s="230"/>
      <c r="BY69" s="230"/>
    </row>
    <row r="70" spans="6:77" ht="40.200000000000003" thickBot="1" x14ac:dyDescent="0.35">
      <c r="F70" s="234">
        <v>1997</v>
      </c>
      <c r="G70" s="234" t="s">
        <v>251</v>
      </c>
      <c r="H70" s="234" t="s">
        <v>246</v>
      </c>
      <c r="I70" s="234" t="s">
        <v>53</v>
      </c>
      <c r="J70" s="234" t="s">
        <v>252</v>
      </c>
      <c r="K70" s="234">
        <v>390111</v>
      </c>
      <c r="L70" s="230"/>
      <c r="N70" s="234">
        <v>2006</v>
      </c>
      <c r="O70" s="234" t="s">
        <v>251</v>
      </c>
      <c r="P70" s="234" t="s">
        <v>268</v>
      </c>
      <c r="Q70" s="234" t="s">
        <v>269</v>
      </c>
      <c r="R70" s="234" t="s">
        <v>252</v>
      </c>
      <c r="S70" s="234">
        <v>68400</v>
      </c>
      <c r="T70" s="230"/>
      <c r="V70" s="234">
        <v>1998</v>
      </c>
      <c r="W70" s="234" t="s">
        <v>251</v>
      </c>
      <c r="X70" s="234" t="s">
        <v>275</v>
      </c>
      <c r="Y70" s="234" t="s">
        <v>275</v>
      </c>
      <c r="Z70" s="234" t="s">
        <v>252</v>
      </c>
      <c r="AA70" s="234">
        <v>379084</v>
      </c>
      <c r="AB70" s="230"/>
      <c r="AD70" s="234">
        <v>2011</v>
      </c>
      <c r="AE70" s="234" t="s">
        <v>254</v>
      </c>
      <c r="AF70" s="234" t="s">
        <v>283</v>
      </c>
      <c r="AG70" s="234" t="s">
        <v>287</v>
      </c>
      <c r="AH70" s="234" t="s">
        <v>252</v>
      </c>
      <c r="AI70" s="234">
        <v>100959</v>
      </c>
      <c r="AJ70" s="230"/>
      <c r="AL70" s="234">
        <v>2004</v>
      </c>
      <c r="AM70" s="234" t="s">
        <v>254</v>
      </c>
      <c r="AN70" s="234" t="s">
        <v>248</v>
      </c>
      <c r="AO70" s="234" t="s">
        <v>292</v>
      </c>
      <c r="AP70" s="234" t="s">
        <v>252</v>
      </c>
      <c r="AQ70" s="234">
        <v>68396</v>
      </c>
      <c r="AR70" s="230"/>
      <c r="AS70" s="230"/>
      <c r="BB70" s="230"/>
      <c r="BC70" s="230"/>
      <c r="BD70" s="230"/>
      <c r="BE70" s="230"/>
      <c r="BF70" s="230"/>
      <c r="BG70" s="230"/>
      <c r="BH70" s="230"/>
      <c r="BI70" s="230"/>
      <c r="BJ70" s="230"/>
      <c r="BK70" s="230"/>
      <c r="BL70" s="230"/>
      <c r="BM70" s="230"/>
      <c r="BN70" s="230"/>
      <c r="BO70" s="230"/>
      <c r="BP70" s="230"/>
      <c r="BQ70" s="230"/>
      <c r="BR70" s="230"/>
      <c r="BS70" s="230"/>
      <c r="BT70" s="230"/>
      <c r="BU70" s="230"/>
      <c r="BV70" s="230"/>
      <c r="BW70" s="230"/>
      <c r="BX70" s="230"/>
      <c r="BY70" s="230"/>
    </row>
    <row r="71" spans="6:77" ht="40.200000000000003" thickBot="1" x14ac:dyDescent="0.35">
      <c r="F71" s="233">
        <v>1996</v>
      </c>
      <c r="G71" s="233" t="s">
        <v>254</v>
      </c>
      <c r="H71" s="233" t="s">
        <v>246</v>
      </c>
      <c r="I71" s="233" t="s">
        <v>246</v>
      </c>
      <c r="J71" s="233" t="s">
        <v>252</v>
      </c>
      <c r="K71" s="233">
        <v>612793</v>
      </c>
      <c r="L71" s="230"/>
      <c r="N71" s="233">
        <v>2006</v>
      </c>
      <c r="O71" s="233" t="s">
        <v>251</v>
      </c>
      <c r="P71" s="233" t="s">
        <v>268</v>
      </c>
      <c r="Q71" s="233" t="s">
        <v>269</v>
      </c>
      <c r="R71" s="233" t="s">
        <v>252</v>
      </c>
      <c r="S71" s="233">
        <v>97356</v>
      </c>
      <c r="T71" s="230"/>
      <c r="V71" s="233">
        <v>1997</v>
      </c>
      <c r="W71" s="233" t="s">
        <v>254</v>
      </c>
      <c r="X71" s="233" t="s">
        <v>275</v>
      </c>
      <c r="Y71" s="233" t="s">
        <v>61</v>
      </c>
      <c r="Z71" s="233" t="s">
        <v>252</v>
      </c>
      <c r="AA71" s="233">
        <v>53636</v>
      </c>
      <c r="AB71" s="230"/>
      <c r="AD71" s="233">
        <v>2011</v>
      </c>
      <c r="AE71" s="233" t="s">
        <v>251</v>
      </c>
      <c r="AF71" s="233" t="s">
        <v>283</v>
      </c>
      <c r="AG71" s="233" t="s">
        <v>284</v>
      </c>
      <c r="AH71" s="233" t="s">
        <v>252</v>
      </c>
      <c r="AI71" s="233">
        <v>539469</v>
      </c>
      <c r="AJ71" s="230"/>
      <c r="AL71" s="233">
        <v>2004</v>
      </c>
      <c r="AM71" s="233" t="s">
        <v>254</v>
      </c>
      <c r="AN71" s="233" t="s">
        <v>248</v>
      </c>
      <c r="AO71" s="233" t="s">
        <v>248</v>
      </c>
      <c r="AP71" s="233" t="s">
        <v>252</v>
      </c>
      <c r="AQ71" s="233">
        <v>352371</v>
      </c>
      <c r="AR71" s="230"/>
      <c r="AS71" s="230"/>
      <c r="BB71" s="230"/>
      <c r="BC71" s="230"/>
      <c r="BD71" s="230"/>
      <c r="BE71" s="230"/>
      <c r="BF71" s="230"/>
      <c r="BG71" s="230"/>
      <c r="BH71" s="230"/>
      <c r="BI71" s="230"/>
      <c r="BJ71" s="230"/>
      <c r="BK71" s="230"/>
      <c r="BL71" s="230"/>
      <c r="BM71" s="230"/>
      <c r="BN71" s="230"/>
      <c r="BO71" s="230"/>
      <c r="BP71" s="230"/>
      <c r="BQ71" s="230"/>
      <c r="BR71" s="230"/>
      <c r="BS71" s="230"/>
      <c r="BT71" s="230"/>
      <c r="BU71" s="230"/>
      <c r="BV71" s="230"/>
      <c r="BW71" s="230"/>
      <c r="BX71" s="230"/>
      <c r="BY71" s="230"/>
    </row>
    <row r="72" spans="6:77" ht="40.200000000000003" thickBot="1" x14ac:dyDescent="0.35">
      <c r="F72" s="234">
        <v>1996</v>
      </c>
      <c r="G72" s="234" t="s">
        <v>251</v>
      </c>
      <c r="H72" s="234" t="s">
        <v>246</v>
      </c>
      <c r="I72" s="234" t="s">
        <v>246</v>
      </c>
      <c r="J72" s="234" t="s">
        <v>252</v>
      </c>
      <c r="K72" s="234">
        <v>379140</v>
      </c>
      <c r="L72" s="230"/>
      <c r="N72" s="234">
        <v>2006</v>
      </c>
      <c r="O72" s="234" t="s">
        <v>251</v>
      </c>
      <c r="P72" s="234" t="s">
        <v>268</v>
      </c>
      <c r="Q72" s="234" t="s">
        <v>269</v>
      </c>
      <c r="R72" s="234" t="s">
        <v>252</v>
      </c>
      <c r="S72" s="234">
        <v>87360</v>
      </c>
      <c r="T72" s="230"/>
      <c r="V72" s="234">
        <v>1997</v>
      </c>
      <c r="W72" s="234" t="s">
        <v>251</v>
      </c>
      <c r="X72" s="234" t="s">
        <v>275</v>
      </c>
      <c r="Y72" s="234" t="s">
        <v>273</v>
      </c>
      <c r="Z72" s="234" t="s">
        <v>252</v>
      </c>
      <c r="AA72" s="234">
        <v>293657</v>
      </c>
      <c r="AB72" s="230"/>
      <c r="AD72" s="234">
        <v>2011</v>
      </c>
      <c r="AE72" s="234" t="s">
        <v>251</v>
      </c>
      <c r="AF72" s="234" t="s">
        <v>283</v>
      </c>
      <c r="AG72" s="234" t="s">
        <v>284</v>
      </c>
      <c r="AH72" s="234" t="s">
        <v>252</v>
      </c>
      <c r="AI72" s="234">
        <v>654437</v>
      </c>
      <c r="AJ72" s="230"/>
      <c r="AL72" s="234">
        <v>2004</v>
      </c>
      <c r="AM72" s="234" t="s">
        <v>251</v>
      </c>
      <c r="AN72" s="234" t="s">
        <v>248</v>
      </c>
      <c r="AO72" s="234" t="s">
        <v>248</v>
      </c>
      <c r="AP72" s="234" t="s">
        <v>252</v>
      </c>
      <c r="AQ72" s="234">
        <v>394245</v>
      </c>
      <c r="AR72" s="230"/>
      <c r="AS72" s="230"/>
      <c r="BB72" s="230"/>
      <c r="BC72" s="230"/>
      <c r="BD72" s="230"/>
      <c r="BE72" s="230"/>
      <c r="BF72" s="230"/>
      <c r="BG72" s="230"/>
      <c r="BH72" s="230"/>
      <c r="BI72" s="230"/>
      <c r="BJ72" s="230"/>
      <c r="BK72" s="230"/>
      <c r="BL72" s="230"/>
      <c r="BM72" s="230"/>
      <c r="BN72" s="230"/>
      <c r="BO72" s="230"/>
      <c r="BP72" s="230"/>
      <c r="BQ72" s="230"/>
      <c r="BR72" s="230"/>
      <c r="BS72" s="230"/>
      <c r="BT72" s="230"/>
      <c r="BU72" s="230"/>
      <c r="BV72" s="230"/>
      <c r="BW72" s="230"/>
      <c r="BX72" s="230"/>
      <c r="BY72" s="230"/>
    </row>
    <row r="73" spans="6:77" ht="40.200000000000003" thickBot="1" x14ac:dyDescent="0.35">
      <c r="F73" s="233">
        <v>1995</v>
      </c>
      <c r="G73" s="233" t="s">
        <v>254</v>
      </c>
      <c r="H73" s="233" t="s">
        <v>246</v>
      </c>
      <c r="I73" s="233" t="s">
        <v>246</v>
      </c>
      <c r="J73" s="233" t="s">
        <v>252</v>
      </c>
      <c r="K73" s="233">
        <v>652523</v>
      </c>
      <c r="L73" s="230"/>
      <c r="N73" s="233">
        <v>2006</v>
      </c>
      <c r="O73" s="233" t="s">
        <v>251</v>
      </c>
      <c r="P73" s="233" t="s">
        <v>268</v>
      </c>
      <c r="Q73" s="233" t="s">
        <v>269</v>
      </c>
      <c r="R73" s="233" t="s">
        <v>252</v>
      </c>
      <c r="S73" s="233">
        <v>50736</v>
      </c>
      <c r="T73" s="230"/>
      <c r="V73" s="233">
        <v>1997</v>
      </c>
      <c r="W73" s="233" t="s">
        <v>251</v>
      </c>
      <c r="X73" s="233" t="s">
        <v>275</v>
      </c>
      <c r="Y73" s="233" t="s">
        <v>273</v>
      </c>
      <c r="Z73" s="233" t="s">
        <v>252</v>
      </c>
      <c r="AA73" s="233">
        <v>406149</v>
      </c>
      <c r="AB73" s="230"/>
      <c r="AD73" s="233">
        <v>2011</v>
      </c>
      <c r="AE73" s="233" t="s">
        <v>251</v>
      </c>
      <c r="AF73" s="233" t="s">
        <v>283</v>
      </c>
      <c r="AG73" s="233" t="s">
        <v>284</v>
      </c>
      <c r="AH73" s="233" t="s">
        <v>252</v>
      </c>
      <c r="AI73" s="233">
        <v>236542</v>
      </c>
      <c r="AJ73" s="230"/>
      <c r="AL73" s="233">
        <v>2004</v>
      </c>
      <c r="AM73" s="233" t="s">
        <v>251</v>
      </c>
      <c r="AN73" s="233" t="s">
        <v>248</v>
      </c>
      <c r="AO73" s="233" t="s">
        <v>248</v>
      </c>
      <c r="AP73" s="233" t="s">
        <v>252</v>
      </c>
      <c r="AQ73" s="233">
        <v>448932</v>
      </c>
      <c r="AR73" s="230">
        <f>SUM(AQ70:AQ73)</f>
        <v>1263944</v>
      </c>
      <c r="AS73" s="230"/>
      <c r="BB73" s="230"/>
      <c r="BC73" s="230"/>
      <c r="BD73" s="230"/>
      <c r="BE73" s="230"/>
      <c r="BF73" s="230"/>
      <c r="BG73" s="230"/>
      <c r="BH73" s="230"/>
      <c r="BI73" s="230"/>
      <c r="BJ73" s="230"/>
      <c r="BK73" s="230"/>
      <c r="BL73" s="230"/>
      <c r="BM73" s="230"/>
      <c r="BN73" s="230"/>
      <c r="BO73" s="230"/>
      <c r="BP73" s="230"/>
      <c r="BQ73" s="230"/>
      <c r="BR73" s="230"/>
      <c r="BS73" s="230"/>
      <c r="BT73" s="230"/>
      <c r="BU73" s="230"/>
      <c r="BV73" s="230"/>
      <c r="BW73" s="230"/>
      <c r="BX73" s="230"/>
      <c r="BY73" s="230"/>
    </row>
    <row r="74" spans="6:77" ht="40.200000000000003" thickBot="1" x14ac:dyDescent="0.35">
      <c r="F74" s="234">
        <v>1995</v>
      </c>
      <c r="G74" s="234" t="s">
        <v>251</v>
      </c>
      <c r="H74" s="234" t="s">
        <v>246</v>
      </c>
      <c r="I74" s="234" t="s">
        <v>246</v>
      </c>
      <c r="J74" s="234" t="s">
        <v>252</v>
      </c>
      <c r="K74" s="234">
        <v>450033</v>
      </c>
      <c r="L74" s="230"/>
      <c r="N74" s="234">
        <v>2006</v>
      </c>
      <c r="O74" s="234" t="s">
        <v>251</v>
      </c>
      <c r="P74" s="234" t="s">
        <v>268</v>
      </c>
      <c r="Q74" s="234" t="s">
        <v>269</v>
      </c>
      <c r="R74" s="234" t="s">
        <v>252</v>
      </c>
      <c r="S74" s="234">
        <v>76160</v>
      </c>
      <c r="T74" s="230">
        <f>SUM(S63:S74)</f>
        <v>820775</v>
      </c>
      <c r="V74" s="234">
        <v>1996</v>
      </c>
      <c r="W74" s="234" t="s">
        <v>251</v>
      </c>
      <c r="X74" s="234" t="s">
        <v>275</v>
      </c>
      <c r="Y74" s="234" t="s">
        <v>273</v>
      </c>
      <c r="Z74" s="234" t="s">
        <v>252</v>
      </c>
      <c r="AA74" s="234">
        <v>417989</v>
      </c>
      <c r="AB74" s="230"/>
      <c r="AD74" s="234">
        <v>2011</v>
      </c>
      <c r="AE74" s="234" t="s">
        <v>251</v>
      </c>
      <c r="AF74" s="234" t="s">
        <v>283</v>
      </c>
      <c r="AG74" s="234" t="s">
        <v>270</v>
      </c>
      <c r="AH74" s="234" t="s">
        <v>252</v>
      </c>
      <c r="AI74" s="234">
        <v>103809</v>
      </c>
      <c r="AJ74" s="230"/>
      <c r="AL74" s="234">
        <v>2003</v>
      </c>
      <c r="AM74" s="234" t="s">
        <v>254</v>
      </c>
      <c r="AN74" s="234" t="s">
        <v>248</v>
      </c>
      <c r="AO74" s="234" t="s">
        <v>292</v>
      </c>
      <c r="AP74" s="234" t="s">
        <v>252</v>
      </c>
      <c r="AQ74" s="234">
        <v>15058</v>
      </c>
      <c r="AR74" s="230">
        <f>SUM(AR75:AR77)</f>
        <v>1219027</v>
      </c>
      <c r="AS74" s="230"/>
      <c r="BB74" s="230"/>
      <c r="BC74" s="230"/>
      <c r="BD74" s="230"/>
      <c r="BE74" s="230"/>
      <c r="BF74" s="230"/>
      <c r="BG74" s="230"/>
      <c r="BH74" s="230"/>
      <c r="BI74" s="230"/>
      <c r="BJ74" s="230"/>
      <c r="BK74" s="230"/>
      <c r="BL74" s="230"/>
      <c r="BM74" s="230"/>
      <c r="BN74" s="230"/>
      <c r="BO74" s="230"/>
      <c r="BP74" s="230"/>
      <c r="BQ74" s="230"/>
      <c r="BR74" s="230"/>
      <c r="BS74" s="230"/>
      <c r="BT74" s="230"/>
      <c r="BU74" s="230"/>
      <c r="BV74" s="230"/>
      <c r="BW74" s="230"/>
      <c r="BX74" s="230"/>
      <c r="BY74" s="230"/>
    </row>
    <row r="75" spans="6:77" ht="53.4" thickBot="1" x14ac:dyDescent="0.35">
      <c r="F75" s="233">
        <v>1994</v>
      </c>
      <c r="G75" s="233" t="s">
        <v>254</v>
      </c>
      <c r="H75" s="233" t="s">
        <v>246</v>
      </c>
      <c r="I75" s="233" t="s">
        <v>246</v>
      </c>
      <c r="J75" s="233" t="s">
        <v>252</v>
      </c>
      <c r="K75" s="233">
        <v>616700</v>
      </c>
      <c r="L75" s="230"/>
      <c r="N75" s="233">
        <v>2005</v>
      </c>
      <c r="O75" s="233" t="s">
        <v>254</v>
      </c>
      <c r="P75" s="233" t="s">
        <v>268</v>
      </c>
      <c r="Q75" s="233" t="s">
        <v>271</v>
      </c>
      <c r="R75" s="233" t="s">
        <v>252</v>
      </c>
      <c r="S75" s="233">
        <v>146900</v>
      </c>
      <c r="T75" s="230"/>
      <c r="V75" s="233">
        <v>1996</v>
      </c>
      <c r="W75" s="233" t="s">
        <v>251</v>
      </c>
      <c r="X75" s="233" t="s">
        <v>275</v>
      </c>
      <c r="Y75" s="233" t="s">
        <v>275</v>
      </c>
      <c r="Z75" s="233" t="s">
        <v>252</v>
      </c>
      <c r="AA75" s="233">
        <v>286794</v>
      </c>
      <c r="AB75" s="230"/>
      <c r="AD75" s="233">
        <v>2011</v>
      </c>
      <c r="AE75" s="233" t="s">
        <v>251</v>
      </c>
      <c r="AF75" s="233" t="s">
        <v>283</v>
      </c>
      <c r="AG75" s="233" t="s">
        <v>273</v>
      </c>
      <c r="AH75" s="233" t="s">
        <v>252</v>
      </c>
      <c r="AI75" s="233">
        <v>126169</v>
      </c>
      <c r="AJ75" s="230">
        <f>SUM(AI68:AI75)-AI70</f>
        <v>1977376</v>
      </c>
      <c r="AL75" s="233">
        <v>2003</v>
      </c>
      <c r="AM75" s="233" t="s">
        <v>254</v>
      </c>
      <c r="AN75" s="233" t="s">
        <v>248</v>
      </c>
      <c r="AO75" s="233" t="s">
        <v>248</v>
      </c>
      <c r="AP75" s="233" t="s">
        <v>252</v>
      </c>
      <c r="AQ75" s="233">
        <v>355602</v>
      </c>
      <c r="AR75" s="230"/>
      <c r="AS75" s="230"/>
      <c r="BB75" s="230"/>
      <c r="BC75" s="230"/>
      <c r="BD75" s="230"/>
      <c r="BE75" s="230"/>
      <c r="BF75" s="230"/>
      <c r="BG75" s="230"/>
      <c r="BH75" s="230"/>
      <c r="BI75" s="230"/>
      <c r="BJ75" s="230"/>
      <c r="BK75" s="230"/>
      <c r="BL75" s="230"/>
      <c r="BM75" s="230"/>
      <c r="BN75" s="230"/>
      <c r="BO75" s="230"/>
      <c r="BP75" s="230"/>
      <c r="BQ75" s="230"/>
      <c r="BR75" s="230"/>
      <c r="BS75" s="230"/>
      <c r="BT75" s="230"/>
      <c r="BU75" s="230"/>
      <c r="BV75" s="230"/>
      <c r="BW75" s="230"/>
      <c r="BX75" s="230"/>
      <c r="BY75" s="230"/>
    </row>
    <row r="76" spans="6:77" ht="40.200000000000003" thickBot="1" x14ac:dyDescent="0.35">
      <c r="F76" s="234">
        <v>1994</v>
      </c>
      <c r="G76" s="234" t="s">
        <v>254</v>
      </c>
      <c r="H76" s="234" t="s">
        <v>246</v>
      </c>
      <c r="I76" s="234" t="s">
        <v>246</v>
      </c>
      <c r="J76" s="234" t="s">
        <v>252</v>
      </c>
      <c r="K76" s="234">
        <v>297448</v>
      </c>
      <c r="L76" s="230"/>
      <c r="N76" s="234">
        <v>2005</v>
      </c>
      <c r="O76" s="234" t="s">
        <v>251</v>
      </c>
      <c r="P76" s="234" t="s">
        <v>268</v>
      </c>
      <c r="Q76" s="234" t="s">
        <v>269</v>
      </c>
      <c r="R76" s="234" t="s">
        <v>252</v>
      </c>
      <c r="S76" s="234">
        <v>1050</v>
      </c>
      <c r="T76" s="230">
        <f>SUM(S75:S76)</f>
        <v>147950</v>
      </c>
      <c r="V76" s="234">
        <v>1995</v>
      </c>
      <c r="W76" s="234" t="s">
        <v>251</v>
      </c>
      <c r="X76" s="234" t="s">
        <v>275</v>
      </c>
      <c r="Y76" s="234" t="s">
        <v>273</v>
      </c>
      <c r="Z76" s="234" t="s">
        <v>252</v>
      </c>
      <c r="AA76" s="234">
        <v>777567</v>
      </c>
      <c r="AB76" s="230"/>
      <c r="AD76" s="234">
        <v>2010</v>
      </c>
      <c r="AE76" s="234" t="s">
        <v>254</v>
      </c>
      <c r="AF76" s="234" t="s">
        <v>283</v>
      </c>
      <c r="AG76" s="234" t="s">
        <v>284</v>
      </c>
      <c r="AH76" s="234" t="s">
        <v>252</v>
      </c>
      <c r="AI76" s="234">
        <v>324204</v>
      </c>
      <c r="AJ76" s="230"/>
      <c r="AL76" s="234">
        <v>2003</v>
      </c>
      <c r="AM76" s="234" t="s">
        <v>251</v>
      </c>
      <c r="AN76" s="234" t="s">
        <v>248</v>
      </c>
      <c r="AO76" s="234" t="s">
        <v>248</v>
      </c>
      <c r="AP76" s="234" t="s">
        <v>252</v>
      </c>
      <c r="AQ76" s="234">
        <v>405009</v>
      </c>
      <c r="AR76" s="230"/>
      <c r="AS76" s="230"/>
      <c r="BB76" s="230"/>
      <c r="BC76" s="230"/>
      <c r="BD76" s="230"/>
      <c r="BE76" s="230"/>
      <c r="BF76" s="230"/>
      <c r="BG76" s="230"/>
      <c r="BH76" s="230"/>
      <c r="BI76" s="230"/>
      <c r="BJ76" s="230"/>
      <c r="BK76" s="230"/>
      <c r="BL76" s="230"/>
      <c r="BM76" s="230"/>
      <c r="BN76" s="230"/>
      <c r="BO76" s="230"/>
      <c r="BP76" s="230"/>
      <c r="BQ76" s="230"/>
      <c r="BR76" s="230"/>
      <c r="BS76" s="230"/>
      <c r="BT76" s="230"/>
      <c r="BU76" s="230"/>
      <c r="BV76" s="230"/>
      <c r="BW76" s="230"/>
      <c r="BX76" s="230"/>
      <c r="BY76" s="230"/>
    </row>
    <row r="77" spans="6:77" ht="53.4" thickBot="1" x14ac:dyDescent="0.35">
      <c r="F77" s="233">
        <v>1994</v>
      </c>
      <c r="G77" s="233" t="s">
        <v>251</v>
      </c>
      <c r="H77" s="233" t="s">
        <v>246</v>
      </c>
      <c r="I77" s="233" t="s">
        <v>246</v>
      </c>
      <c r="J77" s="233" t="s">
        <v>252</v>
      </c>
      <c r="K77" s="233">
        <v>373736</v>
      </c>
      <c r="L77" s="230"/>
      <c r="N77" s="233">
        <v>2004</v>
      </c>
      <c r="O77" s="233" t="s">
        <v>254</v>
      </c>
      <c r="P77" s="233" t="s">
        <v>268</v>
      </c>
      <c r="Q77" s="233" t="s">
        <v>271</v>
      </c>
      <c r="R77" s="233" t="s">
        <v>252</v>
      </c>
      <c r="S77" s="233">
        <v>101021</v>
      </c>
      <c r="T77" s="230">
        <f>SUM(S77)</f>
        <v>101021</v>
      </c>
      <c r="V77" s="233">
        <v>1994</v>
      </c>
      <c r="W77" s="233" t="s">
        <v>251</v>
      </c>
      <c r="X77" s="233" t="s">
        <v>275</v>
      </c>
      <c r="Y77" s="233" t="s">
        <v>273</v>
      </c>
      <c r="Z77" s="233" t="s">
        <v>252</v>
      </c>
      <c r="AA77" s="233">
        <v>533935</v>
      </c>
      <c r="AB77" s="230"/>
      <c r="AD77" s="233">
        <v>2010</v>
      </c>
      <c r="AE77" s="233" t="s">
        <v>254</v>
      </c>
      <c r="AF77" s="233" t="s">
        <v>283</v>
      </c>
      <c r="AG77" s="233" t="s">
        <v>284</v>
      </c>
      <c r="AH77" s="233" t="s">
        <v>252</v>
      </c>
      <c r="AI77" s="233">
        <v>2500</v>
      </c>
      <c r="AJ77" s="230"/>
      <c r="AL77" s="233">
        <v>2003</v>
      </c>
      <c r="AM77" s="233" t="s">
        <v>251</v>
      </c>
      <c r="AN77" s="233" t="s">
        <v>248</v>
      </c>
      <c r="AO77" s="233" t="s">
        <v>248</v>
      </c>
      <c r="AP77" s="233" t="s">
        <v>252</v>
      </c>
      <c r="AQ77" s="233">
        <v>443358</v>
      </c>
      <c r="AR77" s="230">
        <f>SUM(AQ74:AQ77)</f>
        <v>1219027</v>
      </c>
      <c r="AS77" s="230"/>
      <c r="BB77" s="230"/>
      <c r="BC77" s="230"/>
      <c r="BD77" s="230"/>
      <c r="BE77" s="230"/>
      <c r="BF77" s="230"/>
      <c r="BG77" s="230"/>
      <c r="BH77" s="230"/>
      <c r="BI77" s="230"/>
      <c r="BJ77" s="230"/>
      <c r="BK77" s="230"/>
      <c r="BL77" s="230"/>
      <c r="BM77" s="230"/>
      <c r="BN77" s="230"/>
      <c r="BO77" s="230"/>
      <c r="BP77" s="230"/>
      <c r="BQ77" s="230"/>
      <c r="BR77" s="230"/>
      <c r="BS77" s="230"/>
      <c r="BT77" s="230"/>
      <c r="BU77" s="230"/>
      <c r="BV77" s="230"/>
      <c r="BW77" s="230"/>
      <c r="BX77" s="230"/>
      <c r="BY77" s="230"/>
    </row>
    <row r="78" spans="6:77" ht="53.4" thickBot="1" x14ac:dyDescent="0.35">
      <c r="F78" s="234">
        <v>1993</v>
      </c>
      <c r="G78" s="234" t="s">
        <v>254</v>
      </c>
      <c r="H78" s="234" t="s">
        <v>246</v>
      </c>
      <c r="I78" s="234" t="s">
        <v>246</v>
      </c>
      <c r="J78" s="234" t="s">
        <v>252</v>
      </c>
      <c r="K78" s="234">
        <v>584171</v>
      </c>
      <c r="L78" s="230"/>
      <c r="N78" s="234">
        <v>2003</v>
      </c>
      <c r="O78" s="234" t="s">
        <v>254</v>
      </c>
      <c r="P78" s="234" t="s">
        <v>268</v>
      </c>
      <c r="Q78" s="234" t="s">
        <v>271</v>
      </c>
      <c r="R78" s="234" t="s">
        <v>252</v>
      </c>
      <c r="S78" s="234">
        <v>99955</v>
      </c>
      <c r="T78" s="230"/>
      <c r="V78" s="234">
        <v>1993</v>
      </c>
      <c r="W78" s="234" t="s">
        <v>251</v>
      </c>
      <c r="X78" s="234" t="s">
        <v>275</v>
      </c>
      <c r="Y78" s="234" t="s">
        <v>275</v>
      </c>
      <c r="Z78" s="234" t="s">
        <v>252</v>
      </c>
      <c r="AA78" s="234">
        <v>441965</v>
      </c>
      <c r="AB78" s="230"/>
      <c r="AD78" s="234">
        <v>2010</v>
      </c>
      <c r="AE78" s="234" t="s">
        <v>254</v>
      </c>
      <c r="AF78" s="234" t="s">
        <v>283</v>
      </c>
      <c r="AG78" s="234" t="s">
        <v>287</v>
      </c>
      <c r="AH78" s="234" t="s">
        <v>252</v>
      </c>
      <c r="AI78" s="234">
        <v>171234</v>
      </c>
      <c r="AJ78" s="230"/>
      <c r="AL78" s="234">
        <v>2002</v>
      </c>
      <c r="AM78" s="234" t="s">
        <v>254</v>
      </c>
      <c r="AN78" s="234" t="s">
        <v>248</v>
      </c>
      <c r="AO78" s="234" t="s">
        <v>286</v>
      </c>
      <c r="AP78" s="234" t="s">
        <v>252</v>
      </c>
      <c r="AQ78" s="234">
        <v>2410</v>
      </c>
      <c r="AR78" s="230"/>
      <c r="AS78" s="230"/>
      <c r="BB78" s="230"/>
      <c r="BC78" s="230"/>
      <c r="BD78" s="230"/>
      <c r="BE78" s="230"/>
      <c r="BF78" s="230"/>
      <c r="BG78" s="230"/>
      <c r="BH78" s="230"/>
      <c r="BI78" s="230"/>
      <c r="BJ78" s="230"/>
      <c r="BK78" s="230"/>
      <c r="BL78" s="230"/>
      <c r="BM78" s="230"/>
      <c r="BN78" s="230"/>
      <c r="BO78" s="230"/>
      <c r="BP78" s="230"/>
      <c r="BQ78" s="230"/>
      <c r="BR78" s="230"/>
      <c r="BS78" s="230"/>
      <c r="BT78" s="230"/>
      <c r="BU78" s="230"/>
      <c r="BV78" s="230"/>
      <c r="BW78" s="230"/>
      <c r="BX78" s="230"/>
      <c r="BY78" s="230"/>
    </row>
    <row r="79" spans="6:77" ht="40.200000000000003" thickBot="1" x14ac:dyDescent="0.35">
      <c r="F79" s="233">
        <v>1993</v>
      </c>
      <c r="G79" s="233" t="s">
        <v>251</v>
      </c>
      <c r="H79" s="233" t="s">
        <v>246</v>
      </c>
      <c r="I79" s="233" t="s">
        <v>246</v>
      </c>
      <c r="J79" s="233" t="s">
        <v>252</v>
      </c>
      <c r="K79" s="233">
        <v>447387</v>
      </c>
      <c r="L79" s="230"/>
      <c r="N79" s="233">
        <v>2003</v>
      </c>
      <c r="O79" s="233" t="s">
        <v>251</v>
      </c>
      <c r="P79" s="233" t="s">
        <v>268</v>
      </c>
      <c r="Q79" s="233" t="s">
        <v>272</v>
      </c>
      <c r="R79" s="233" t="s">
        <v>252</v>
      </c>
      <c r="S79" s="233">
        <v>669616</v>
      </c>
      <c r="T79" s="230">
        <f>SUM(S78:S79)</f>
        <v>769571</v>
      </c>
      <c r="V79" s="233">
        <v>1992</v>
      </c>
      <c r="W79" s="233" t="s">
        <v>251</v>
      </c>
      <c r="X79" s="233" t="s">
        <v>275</v>
      </c>
      <c r="Y79" s="233" t="s">
        <v>273</v>
      </c>
      <c r="Z79" s="233" t="s">
        <v>252</v>
      </c>
      <c r="AA79" s="233">
        <v>291930</v>
      </c>
      <c r="AB79" s="230"/>
      <c r="AD79" s="233">
        <v>2010</v>
      </c>
      <c r="AE79" s="233" t="s">
        <v>254</v>
      </c>
      <c r="AF79" s="233" t="s">
        <v>283</v>
      </c>
      <c r="AG79" s="233" t="s">
        <v>288</v>
      </c>
      <c r="AH79" s="233" t="s">
        <v>252</v>
      </c>
      <c r="AI79" s="233">
        <v>311591</v>
      </c>
      <c r="AJ79" s="230"/>
      <c r="AL79" s="233">
        <v>2002</v>
      </c>
      <c r="AM79" s="233" t="s">
        <v>254</v>
      </c>
      <c r="AN79" s="233" t="s">
        <v>248</v>
      </c>
      <c r="AO79" s="233" t="s">
        <v>289</v>
      </c>
      <c r="AP79" s="233" t="s">
        <v>252</v>
      </c>
      <c r="AQ79" s="233">
        <v>86017</v>
      </c>
      <c r="AR79" s="230"/>
      <c r="AS79" s="230"/>
      <c r="BB79" s="230"/>
      <c r="BC79" s="230"/>
      <c r="BD79" s="230"/>
      <c r="BE79" s="230"/>
      <c r="BF79" s="230"/>
      <c r="BG79" s="230"/>
      <c r="BH79" s="230"/>
      <c r="BI79" s="230"/>
      <c r="BJ79" s="230"/>
      <c r="BK79" s="230"/>
      <c r="BL79" s="230"/>
      <c r="BM79" s="230"/>
      <c r="BN79" s="230"/>
      <c r="BO79" s="230"/>
      <c r="BP79" s="230"/>
      <c r="BQ79" s="230"/>
      <c r="BR79" s="230"/>
      <c r="BS79" s="230"/>
      <c r="BT79" s="230"/>
      <c r="BU79" s="230"/>
      <c r="BV79" s="230"/>
      <c r="BW79" s="230"/>
      <c r="BX79" s="230"/>
      <c r="BY79" s="230"/>
    </row>
    <row r="80" spans="6:77" ht="53.4" thickBot="1" x14ac:dyDescent="0.35">
      <c r="F80" s="234">
        <v>1992</v>
      </c>
      <c r="G80" s="234" t="s">
        <v>254</v>
      </c>
      <c r="H80" s="234" t="s">
        <v>246</v>
      </c>
      <c r="I80" s="234" t="s">
        <v>246</v>
      </c>
      <c r="J80" s="234" t="s">
        <v>252</v>
      </c>
      <c r="K80" s="234">
        <v>308340</v>
      </c>
      <c r="L80" s="230"/>
      <c r="N80" s="234">
        <v>2002</v>
      </c>
      <c r="O80" s="234" t="s">
        <v>254</v>
      </c>
      <c r="P80" s="234" t="s">
        <v>268</v>
      </c>
      <c r="Q80" s="234" t="s">
        <v>271</v>
      </c>
      <c r="R80" s="234" t="s">
        <v>252</v>
      </c>
      <c r="S80" s="234">
        <v>120150</v>
      </c>
      <c r="T80" s="230"/>
      <c r="V80" s="234">
        <v>1991</v>
      </c>
      <c r="W80" s="234" t="s">
        <v>251</v>
      </c>
      <c r="X80" s="234" t="s">
        <v>275</v>
      </c>
      <c r="Y80" s="234" t="s">
        <v>273</v>
      </c>
      <c r="Z80" s="234" t="s">
        <v>252</v>
      </c>
      <c r="AA80" s="234">
        <v>299715</v>
      </c>
      <c r="AB80" s="230"/>
      <c r="AD80" s="234">
        <v>2010</v>
      </c>
      <c r="AE80" s="234" t="s">
        <v>254</v>
      </c>
      <c r="AF80" s="234" t="s">
        <v>283</v>
      </c>
      <c r="AG80" s="234" t="s">
        <v>289</v>
      </c>
      <c r="AH80" s="234" t="s">
        <v>252</v>
      </c>
      <c r="AI80" s="234">
        <v>6250</v>
      </c>
      <c r="AJ80" s="230"/>
      <c r="AL80" s="234">
        <v>2002</v>
      </c>
      <c r="AM80" s="234" t="s">
        <v>254</v>
      </c>
      <c r="AN80" s="234" t="s">
        <v>248</v>
      </c>
      <c r="AO80" s="234" t="s">
        <v>62</v>
      </c>
      <c r="AP80" s="234" t="s">
        <v>252</v>
      </c>
      <c r="AQ80" s="234">
        <v>34674</v>
      </c>
      <c r="AR80" s="230"/>
      <c r="AS80" s="230"/>
      <c r="BB80" s="230"/>
      <c r="BC80" s="230"/>
      <c r="BD80" s="230"/>
      <c r="BE80" s="230"/>
      <c r="BF80" s="230"/>
      <c r="BG80" s="230"/>
      <c r="BH80" s="230"/>
      <c r="BI80" s="230"/>
      <c r="BJ80" s="230"/>
      <c r="BK80" s="230"/>
      <c r="BL80" s="230"/>
      <c r="BM80" s="230"/>
      <c r="BN80" s="230"/>
      <c r="BO80" s="230"/>
      <c r="BP80" s="230"/>
      <c r="BQ80" s="230"/>
      <c r="BR80" s="230"/>
      <c r="BS80" s="230"/>
      <c r="BT80" s="230"/>
      <c r="BU80" s="230"/>
      <c r="BV80" s="230"/>
      <c r="BW80" s="230"/>
      <c r="BX80" s="230"/>
      <c r="BY80" s="230"/>
    </row>
    <row r="81" spans="6:77" ht="40.200000000000003" thickBot="1" x14ac:dyDescent="0.35">
      <c r="F81" s="233">
        <v>1992</v>
      </c>
      <c r="G81" s="233" t="s">
        <v>254</v>
      </c>
      <c r="H81" s="233" t="s">
        <v>246</v>
      </c>
      <c r="I81" s="233" t="s">
        <v>246</v>
      </c>
      <c r="J81" s="233" t="s">
        <v>252</v>
      </c>
      <c r="K81" s="233">
        <v>315000</v>
      </c>
      <c r="L81" s="230"/>
      <c r="N81" s="233">
        <v>2002</v>
      </c>
      <c r="O81" s="233" t="s">
        <v>251</v>
      </c>
      <c r="P81" s="233" t="s">
        <v>268</v>
      </c>
      <c r="Q81" s="233" t="s">
        <v>272</v>
      </c>
      <c r="R81" s="233" t="s">
        <v>252</v>
      </c>
      <c r="S81" s="233">
        <v>663604</v>
      </c>
      <c r="T81" s="230">
        <f>SUM(S80:S81)</f>
        <v>783754</v>
      </c>
      <c r="V81" s="233">
        <v>1990</v>
      </c>
      <c r="W81" s="233" t="s">
        <v>251</v>
      </c>
      <c r="X81" s="233" t="s">
        <v>275</v>
      </c>
      <c r="Y81" s="233" t="s">
        <v>275</v>
      </c>
      <c r="Z81" s="233" t="s">
        <v>252</v>
      </c>
      <c r="AA81" s="233">
        <v>246347</v>
      </c>
      <c r="AB81" s="230"/>
      <c r="AD81" s="233">
        <v>2010</v>
      </c>
      <c r="AE81" s="233" t="s">
        <v>254</v>
      </c>
      <c r="AF81" s="233" t="s">
        <v>283</v>
      </c>
      <c r="AG81" s="233" t="s">
        <v>284</v>
      </c>
      <c r="AH81" s="233" t="s">
        <v>252</v>
      </c>
      <c r="AI81" s="233">
        <v>7696</v>
      </c>
      <c r="AJ81" s="230"/>
      <c r="AL81" s="233">
        <v>2002</v>
      </c>
      <c r="AM81" s="233" t="s">
        <v>254</v>
      </c>
      <c r="AN81" s="233" t="s">
        <v>248</v>
      </c>
      <c r="AO81" s="233" t="s">
        <v>248</v>
      </c>
      <c r="AP81" s="233" t="s">
        <v>252</v>
      </c>
      <c r="AQ81" s="233">
        <v>362339</v>
      </c>
      <c r="AR81" s="230"/>
      <c r="AS81" s="230"/>
      <c r="BB81" s="230"/>
      <c r="BC81" s="230"/>
      <c r="BD81" s="230"/>
      <c r="BE81" s="230"/>
      <c r="BF81" s="230"/>
      <c r="BG81" s="230"/>
      <c r="BH81" s="230"/>
      <c r="BI81" s="230"/>
      <c r="BJ81" s="230"/>
      <c r="BK81" s="230"/>
      <c r="BL81" s="230"/>
      <c r="BM81" s="230"/>
      <c r="BN81" s="230"/>
      <c r="BO81" s="230"/>
      <c r="BP81" s="230"/>
      <c r="BQ81" s="230"/>
      <c r="BR81" s="230"/>
      <c r="BS81" s="230"/>
      <c r="BT81" s="230"/>
      <c r="BU81" s="230"/>
      <c r="BV81" s="230"/>
      <c r="BW81" s="230"/>
      <c r="BX81" s="230"/>
      <c r="BY81" s="230"/>
    </row>
    <row r="82" spans="6:77" ht="53.4" thickBot="1" x14ac:dyDescent="0.35">
      <c r="F82" s="234">
        <v>1992</v>
      </c>
      <c r="G82" s="234" t="s">
        <v>254</v>
      </c>
      <c r="H82" s="234" t="s">
        <v>261</v>
      </c>
      <c r="I82" s="234" t="s">
        <v>253</v>
      </c>
      <c r="J82" s="234" t="s">
        <v>262</v>
      </c>
      <c r="K82" s="234">
        <v>556814</v>
      </c>
      <c r="L82" s="230"/>
      <c r="N82" s="234">
        <v>2001</v>
      </c>
      <c r="O82" s="234" t="s">
        <v>254</v>
      </c>
      <c r="P82" s="234" t="s">
        <v>268</v>
      </c>
      <c r="Q82" s="234" t="s">
        <v>271</v>
      </c>
      <c r="R82" s="234" t="s">
        <v>252</v>
      </c>
      <c r="S82" s="234">
        <v>120135</v>
      </c>
      <c r="T82" s="230"/>
      <c r="V82" s="234">
        <v>1990</v>
      </c>
      <c r="W82" s="234" t="s">
        <v>251</v>
      </c>
      <c r="X82" s="234" t="s">
        <v>275</v>
      </c>
      <c r="Y82" s="234" t="s">
        <v>275</v>
      </c>
      <c r="Z82" s="234" t="s">
        <v>252</v>
      </c>
      <c r="AA82" s="234">
        <v>132000</v>
      </c>
      <c r="AB82" s="230"/>
      <c r="AD82" s="234">
        <v>2010</v>
      </c>
      <c r="AE82" s="234" t="s">
        <v>251</v>
      </c>
      <c r="AF82" s="234" t="s">
        <v>283</v>
      </c>
      <c r="AG82" s="234" t="s">
        <v>284</v>
      </c>
      <c r="AH82" s="234" t="s">
        <v>252</v>
      </c>
      <c r="AI82" s="234">
        <v>684014</v>
      </c>
      <c r="AJ82" s="230"/>
      <c r="AL82" s="234">
        <v>2002</v>
      </c>
      <c r="AM82" s="234" t="s">
        <v>254</v>
      </c>
      <c r="AN82" s="234" t="s">
        <v>248</v>
      </c>
      <c r="AO82" s="234" t="s">
        <v>292</v>
      </c>
      <c r="AP82" s="234" t="s">
        <v>252</v>
      </c>
      <c r="AQ82" s="234">
        <v>17732</v>
      </c>
      <c r="AR82" s="230"/>
      <c r="AS82" s="230"/>
      <c r="BB82" s="230"/>
      <c r="BC82" s="230"/>
      <c r="BD82" s="230"/>
      <c r="BE82" s="230"/>
      <c r="BF82" s="230"/>
      <c r="BG82" s="230"/>
      <c r="BH82" s="230"/>
      <c r="BI82" s="230"/>
      <c r="BJ82" s="230"/>
      <c r="BK82" s="230"/>
      <c r="BL82" s="230"/>
      <c r="BM82" s="230"/>
      <c r="BN82" s="230"/>
      <c r="BO82" s="230"/>
      <c r="BP82" s="230"/>
      <c r="BQ82" s="230"/>
      <c r="BR82" s="230"/>
      <c r="BS82" s="230"/>
      <c r="BT82" s="230"/>
      <c r="BU82" s="230"/>
      <c r="BV82" s="230"/>
      <c r="BW82" s="230"/>
      <c r="BX82" s="230"/>
      <c r="BY82" s="230"/>
    </row>
    <row r="83" spans="6:77" ht="40.200000000000003" thickBot="1" x14ac:dyDescent="0.35">
      <c r="F83" s="233">
        <v>1992</v>
      </c>
      <c r="G83" s="233" t="s">
        <v>251</v>
      </c>
      <c r="H83" s="233" t="s">
        <v>246</v>
      </c>
      <c r="I83" s="233" t="s">
        <v>246</v>
      </c>
      <c r="J83" s="233" t="s">
        <v>252</v>
      </c>
      <c r="K83" s="233">
        <v>412274</v>
      </c>
      <c r="L83" s="230"/>
      <c r="N83" s="233">
        <v>2001</v>
      </c>
      <c r="O83" s="233" t="s">
        <v>251</v>
      </c>
      <c r="P83" s="233" t="s">
        <v>268</v>
      </c>
      <c r="Q83" s="233" t="s">
        <v>272</v>
      </c>
      <c r="R83" s="233" t="s">
        <v>252</v>
      </c>
      <c r="S83" s="233">
        <v>664200</v>
      </c>
      <c r="T83" s="230">
        <f>SUM(S82:S83)</f>
        <v>784335</v>
      </c>
      <c r="V83" s="233">
        <v>1989</v>
      </c>
      <c r="W83" s="233" t="s">
        <v>254</v>
      </c>
      <c r="X83" s="233" t="s">
        <v>275</v>
      </c>
      <c r="Y83" s="233" t="s">
        <v>276</v>
      </c>
      <c r="Z83" s="233" t="s">
        <v>252</v>
      </c>
      <c r="AA83" s="233">
        <v>132000</v>
      </c>
      <c r="AB83" s="230"/>
      <c r="AD83" s="233">
        <v>2010</v>
      </c>
      <c r="AE83" s="233" t="s">
        <v>251</v>
      </c>
      <c r="AF83" s="233" t="s">
        <v>283</v>
      </c>
      <c r="AG83" s="233" t="s">
        <v>284</v>
      </c>
      <c r="AH83" s="233" t="s">
        <v>252</v>
      </c>
      <c r="AI83" s="233">
        <v>378389</v>
      </c>
      <c r="AJ83" s="230"/>
      <c r="AL83" s="233">
        <v>2002</v>
      </c>
      <c r="AM83" s="233" t="s">
        <v>251</v>
      </c>
      <c r="AN83" s="233" t="s">
        <v>248</v>
      </c>
      <c r="AO83" s="233" t="s">
        <v>248</v>
      </c>
      <c r="AP83" s="233" t="s">
        <v>252</v>
      </c>
      <c r="AQ83" s="233">
        <v>388271</v>
      </c>
      <c r="AR83" s="230"/>
      <c r="AS83" s="230"/>
      <c r="BB83" s="230"/>
      <c r="BC83" s="230"/>
      <c r="BD83" s="230"/>
      <c r="BE83" s="230"/>
      <c r="BF83" s="230"/>
      <c r="BG83" s="230"/>
      <c r="BH83" s="230"/>
      <c r="BI83" s="230"/>
      <c r="BJ83" s="230"/>
      <c r="BK83" s="230"/>
      <c r="BL83" s="230"/>
      <c r="BM83" s="230"/>
      <c r="BN83" s="230"/>
      <c r="BO83" s="230"/>
      <c r="BP83" s="230"/>
      <c r="BQ83" s="230"/>
      <c r="BR83" s="230"/>
      <c r="BS83" s="230"/>
      <c r="BT83" s="230"/>
      <c r="BU83" s="230"/>
      <c r="BV83" s="230"/>
      <c r="BW83" s="230"/>
      <c r="BX83" s="230"/>
      <c r="BY83" s="230"/>
    </row>
    <row r="84" spans="6:77" ht="40.200000000000003" thickBot="1" x14ac:dyDescent="0.35">
      <c r="F84" s="234">
        <v>1991</v>
      </c>
      <c r="G84" s="234" t="s">
        <v>254</v>
      </c>
      <c r="H84" s="234" t="s">
        <v>246</v>
      </c>
      <c r="I84" s="234" t="s">
        <v>246</v>
      </c>
      <c r="J84" s="234" t="s">
        <v>252</v>
      </c>
      <c r="K84" s="234">
        <v>318174</v>
      </c>
      <c r="L84" s="230"/>
      <c r="N84" s="234">
        <v>2000</v>
      </c>
      <c r="O84" s="234" t="s">
        <v>251</v>
      </c>
      <c r="P84" s="234" t="s">
        <v>268</v>
      </c>
      <c r="Q84" s="234" t="s">
        <v>269</v>
      </c>
      <c r="R84" s="234" t="s">
        <v>252</v>
      </c>
      <c r="S84" s="234">
        <v>240979</v>
      </c>
      <c r="T84" s="230"/>
      <c r="V84" s="234">
        <v>1989</v>
      </c>
      <c r="W84" s="234" t="s">
        <v>251</v>
      </c>
      <c r="X84" s="234" t="s">
        <v>275</v>
      </c>
      <c r="Y84" s="234" t="s">
        <v>275</v>
      </c>
      <c r="Z84" s="234" t="s">
        <v>252</v>
      </c>
      <c r="AA84" s="234">
        <v>236352</v>
      </c>
      <c r="AB84" s="230"/>
      <c r="AD84" s="234">
        <v>2010</v>
      </c>
      <c r="AE84" s="234" t="s">
        <v>251</v>
      </c>
      <c r="AF84" s="234" t="s">
        <v>283</v>
      </c>
      <c r="AG84" s="234" t="s">
        <v>284</v>
      </c>
      <c r="AH84" s="234" t="s">
        <v>252</v>
      </c>
      <c r="AI84" s="234">
        <v>240200</v>
      </c>
      <c r="AJ84" s="230"/>
      <c r="AL84" s="234">
        <v>2002</v>
      </c>
      <c r="AM84" s="234" t="s">
        <v>251</v>
      </c>
      <c r="AN84" s="234" t="s">
        <v>248</v>
      </c>
      <c r="AO84" s="234" t="s">
        <v>248</v>
      </c>
      <c r="AP84" s="234" t="s">
        <v>252</v>
      </c>
      <c r="AQ84" s="234">
        <v>437821</v>
      </c>
      <c r="AR84" s="230">
        <f>SUM(AQ78:AQ84)</f>
        <v>1329264</v>
      </c>
      <c r="AS84" s="230"/>
      <c r="BB84" s="230"/>
      <c r="BC84" s="230"/>
      <c r="BD84" s="230"/>
      <c r="BE84" s="230"/>
      <c r="BF84" s="230"/>
      <c r="BG84" s="230"/>
      <c r="BH84" s="230"/>
      <c r="BI84" s="230"/>
      <c r="BJ84" s="230"/>
      <c r="BK84" s="230"/>
      <c r="BL84" s="230"/>
      <c r="BM84" s="230"/>
      <c r="BN84" s="230"/>
      <c r="BO84" s="230"/>
      <c r="BP84" s="230"/>
      <c r="BQ84" s="230"/>
      <c r="BR84" s="230"/>
      <c r="BS84" s="230"/>
      <c r="BT84" s="230"/>
      <c r="BU84" s="230"/>
      <c r="BV84" s="230"/>
      <c r="BW84" s="230"/>
      <c r="BX84" s="230"/>
      <c r="BY84" s="230"/>
    </row>
    <row r="85" spans="6:77" ht="40.200000000000003" thickBot="1" x14ac:dyDescent="0.35">
      <c r="F85" s="233">
        <v>1991</v>
      </c>
      <c r="G85" s="233" t="s">
        <v>254</v>
      </c>
      <c r="H85" s="233" t="s">
        <v>261</v>
      </c>
      <c r="I85" s="233" t="s">
        <v>253</v>
      </c>
      <c r="J85" s="233" t="s">
        <v>262</v>
      </c>
      <c r="K85" s="233">
        <v>352238</v>
      </c>
      <c r="L85" s="230"/>
      <c r="N85" s="233">
        <v>2000</v>
      </c>
      <c r="O85" s="233" t="s">
        <v>251</v>
      </c>
      <c r="P85" s="233" t="s">
        <v>268</v>
      </c>
      <c r="Q85" s="233" t="s">
        <v>269</v>
      </c>
      <c r="R85" s="233" t="s">
        <v>252</v>
      </c>
      <c r="S85" s="233">
        <v>425261</v>
      </c>
      <c r="T85" s="230"/>
      <c r="V85" s="233">
        <v>1988</v>
      </c>
      <c r="W85" s="233" t="s">
        <v>254</v>
      </c>
      <c r="X85" s="233" t="s">
        <v>275</v>
      </c>
      <c r="Y85" s="233" t="s">
        <v>279</v>
      </c>
      <c r="Z85" s="233" t="s">
        <v>252</v>
      </c>
      <c r="AA85" s="233">
        <v>130000</v>
      </c>
      <c r="AB85" s="230"/>
      <c r="AD85" s="233">
        <v>2010</v>
      </c>
      <c r="AE85" s="233" t="s">
        <v>251</v>
      </c>
      <c r="AF85" s="233" t="s">
        <v>283</v>
      </c>
      <c r="AG85" s="233" t="s">
        <v>284</v>
      </c>
      <c r="AH85" s="233" t="s">
        <v>252</v>
      </c>
      <c r="AI85" s="233">
        <v>243053</v>
      </c>
      <c r="AJ85" s="230"/>
      <c r="AL85" s="233">
        <v>2001</v>
      </c>
      <c r="AM85" s="233" t="s">
        <v>254</v>
      </c>
      <c r="AN85" s="233" t="s">
        <v>248</v>
      </c>
      <c r="AO85" s="233" t="s">
        <v>53</v>
      </c>
      <c r="AP85" s="233" t="s">
        <v>252</v>
      </c>
      <c r="AQ85" s="233">
        <v>162691</v>
      </c>
      <c r="AR85" s="230"/>
      <c r="AS85" s="230"/>
      <c r="BB85" s="230"/>
      <c r="BC85" s="230"/>
      <c r="BD85" s="230"/>
      <c r="BE85" s="230"/>
      <c r="BF85" s="230"/>
      <c r="BG85" s="230"/>
      <c r="BH85" s="230"/>
      <c r="BI85" s="230"/>
      <c r="BJ85" s="230"/>
      <c r="BK85" s="230"/>
      <c r="BL85" s="230"/>
      <c r="BM85" s="230"/>
      <c r="BN85" s="230"/>
      <c r="BO85" s="230"/>
      <c r="BP85" s="230"/>
      <c r="BQ85" s="230"/>
      <c r="BR85" s="230"/>
      <c r="BS85" s="230"/>
      <c r="BT85" s="230"/>
      <c r="BU85" s="230"/>
      <c r="BV85" s="230"/>
      <c r="BW85" s="230"/>
      <c r="BX85" s="230"/>
      <c r="BY85" s="230"/>
    </row>
    <row r="86" spans="6:77" ht="40.200000000000003" thickBot="1" x14ac:dyDescent="0.35">
      <c r="F86" s="234">
        <v>1991</v>
      </c>
      <c r="G86" s="234" t="s">
        <v>254</v>
      </c>
      <c r="H86" s="234" t="s">
        <v>246</v>
      </c>
      <c r="I86" s="234" t="s">
        <v>246</v>
      </c>
      <c r="J86" s="234" t="s">
        <v>252</v>
      </c>
      <c r="K86" s="234">
        <v>314984</v>
      </c>
      <c r="L86" s="230"/>
      <c r="N86" s="234">
        <v>2000</v>
      </c>
      <c r="O86" s="234" t="s">
        <v>251</v>
      </c>
      <c r="P86" s="234" t="s">
        <v>268</v>
      </c>
      <c r="Q86" s="234" t="s">
        <v>269</v>
      </c>
      <c r="R86" s="234" t="s">
        <v>252</v>
      </c>
      <c r="S86" s="234">
        <v>240979</v>
      </c>
      <c r="T86" s="230"/>
      <c r="V86" s="234">
        <v>1988</v>
      </c>
      <c r="W86" s="234" t="s">
        <v>254</v>
      </c>
      <c r="X86" s="234" t="s">
        <v>275</v>
      </c>
      <c r="Y86" s="234" t="s">
        <v>280</v>
      </c>
      <c r="Z86" s="234" t="s">
        <v>252</v>
      </c>
      <c r="AA86" s="234">
        <v>3500</v>
      </c>
      <c r="AB86" s="230"/>
      <c r="AD86" s="234">
        <v>2010</v>
      </c>
      <c r="AE86" s="234" t="s">
        <v>251</v>
      </c>
      <c r="AF86" s="234" t="s">
        <v>283</v>
      </c>
      <c r="AG86" s="234" t="s">
        <v>270</v>
      </c>
      <c r="AH86" s="234" t="s">
        <v>252</v>
      </c>
      <c r="AI86" s="234">
        <v>105167</v>
      </c>
      <c r="AJ86" s="230"/>
      <c r="AL86" s="234">
        <v>2001</v>
      </c>
      <c r="AM86" s="234" t="s">
        <v>254</v>
      </c>
      <c r="AN86" s="234" t="s">
        <v>248</v>
      </c>
      <c r="AO86" s="234" t="s">
        <v>289</v>
      </c>
      <c r="AP86" s="234" t="s">
        <v>252</v>
      </c>
      <c r="AQ86" s="234">
        <v>154000</v>
      </c>
      <c r="AR86" s="230"/>
      <c r="AS86" s="230"/>
      <c r="BB86" s="230"/>
      <c r="BC86" s="230"/>
      <c r="BD86" s="230"/>
      <c r="BE86" s="230"/>
      <c r="BF86" s="230"/>
      <c r="BG86" s="230"/>
      <c r="BH86" s="230"/>
      <c r="BI86" s="230"/>
      <c r="BJ86" s="230"/>
      <c r="BK86" s="230"/>
      <c r="BL86" s="230"/>
      <c r="BM86" s="230"/>
      <c r="BN86" s="230"/>
      <c r="BO86" s="230"/>
      <c r="BP86" s="230"/>
      <c r="BQ86" s="230"/>
      <c r="BR86" s="230"/>
      <c r="BS86" s="230"/>
      <c r="BT86" s="230"/>
      <c r="BU86" s="230"/>
      <c r="BV86" s="230"/>
      <c r="BW86" s="230"/>
      <c r="BX86" s="230"/>
      <c r="BY86" s="230"/>
    </row>
    <row r="87" spans="6:77" ht="53.4" thickBot="1" x14ac:dyDescent="0.35">
      <c r="F87" s="233">
        <v>1991</v>
      </c>
      <c r="G87" s="233" t="s">
        <v>251</v>
      </c>
      <c r="H87" s="233" t="s">
        <v>246</v>
      </c>
      <c r="I87" s="233" t="s">
        <v>246</v>
      </c>
      <c r="J87" s="233" t="s">
        <v>252</v>
      </c>
      <c r="K87" s="233">
        <v>496528</v>
      </c>
      <c r="L87" s="230"/>
      <c r="N87" s="233">
        <v>2000</v>
      </c>
      <c r="O87" s="233" t="s">
        <v>254</v>
      </c>
      <c r="P87" s="233" t="s">
        <v>268</v>
      </c>
      <c r="Q87" s="233" t="s">
        <v>271</v>
      </c>
      <c r="R87" s="233" t="s">
        <v>252</v>
      </c>
      <c r="S87" s="233">
        <v>112200</v>
      </c>
      <c r="T87" s="230"/>
      <c r="V87" s="233">
        <v>1988</v>
      </c>
      <c r="W87" s="233" t="s">
        <v>251</v>
      </c>
      <c r="X87" s="233" t="s">
        <v>275</v>
      </c>
      <c r="Y87" s="233" t="s">
        <v>276</v>
      </c>
      <c r="Z87" s="233" t="s">
        <v>252</v>
      </c>
      <c r="AA87" s="233">
        <v>166000</v>
      </c>
      <c r="AB87" s="230"/>
      <c r="AD87" s="233">
        <v>2010</v>
      </c>
      <c r="AE87" s="233" t="s">
        <v>251</v>
      </c>
      <c r="AF87" s="233" t="s">
        <v>283</v>
      </c>
      <c r="AG87" s="233" t="s">
        <v>289</v>
      </c>
      <c r="AH87" s="233" t="s">
        <v>252</v>
      </c>
      <c r="AI87" s="233">
        <v>3500</v>
      </c>
      <c r="AJ87" s="230"/>
      <c r="AL87" s="233">
        <v>2001</v>
      </c>
      <c r="AM87" s="233" t="s">
        <v>254</v>
      </c>
      <c r="AN87" s="233" t="s">
        <v>248</v>
      </c>
      <c r="AO87" s="233" t="s">
        <v>292</v>
      </c>
      <c r="AP87" s="233" t="s">
        <v>252</v>
      </c>
      <c r="AQ87" s="233">
        <v>33143</v>
      </c>
      <c r="AR87" s="230"/>
      <c r="AS87" s="230"/>
      <c r="BB87" s="230"/>
      <c r="BC87" s="230"/>
      <c r="BD87" s="230"/>
      <c r="BE87" s="230"/>
      <c r="BF87" s="230"/>
      <c r="BG87" s="230"/>
      <c r="BH87" s="230"/>
      <c r="BI87" s="230"/>
      <c r="BJ87" s="230"/>
      <c r="BK87" s="230"/>
      <c r="BL87" s="230"/>
      <c r="BM87" s="230"/>
      <c r="BN87" s="230"/>
      <c r="BO87" s="230"/>
      <c r="BP87" s="230"/>
      <c r="BQ87" s="230"/>
      <c r="BR87" s="230"/>
      <c r="BS87" s="230"/>
      <c r="BT87" s="230"/>
      <c r="BU87" s="230"/>
      <c r="BV87" s="230"/>
      <c r="BW87" s="230"/>
      <c r="BX87" s="230"/>
      <c r="BY87" s="230"/>
    </row>
    <row r="88" spans="6:77" ht="53.4" thickBot="1" x14ac:dyDescent="0.35">
      <c r="F88" s="234">
        <v>1990</v>
      </c>
      <c r="G88" s="234" t="s">
        <v>254</v>
      </c>
      <c r="H88" s="234" t="s">
        <v>261</v>
      </c>
      <c r="I88" s="234" t="s">
        <v>253</v>
      </c>
      <c r="J88" s="234" t="s">
        <v>262</v>
      </c>
      <c r="K88" s="234">
        <v>187128</v>
      </c>
      <c r="L88" s="230"/>
      <c r="N88" s="234">
        <v>2000</v>
      </c>
      <c r="O88" s="234" t="s">
        <v>254</v>
      </c>
      <c r="P88" s="234" t="s">
        <v>268</v>
      </c>
      <c r="Q88" s="234" t="s">
        <v>271</v>
      </c>
      <c r="R88" s="234" t="s">
        <v>252</v>
      </c>
      <c r="S88" s="234">
        <v>71154</v>
      </c>
      <c r="T88" s="230"/>
      <c r="V88" s="234">
        <v>1987</v>
      </c>
      <c r="W88" s="234" t="s">
        <v>251</v>
      </c>
      <c r="X88" s="234" t="s">
        <v>275</v>
      </c>
      <c r="Y88" s="234" t="s">
        <v>275</v>
      </c>
      <c r="Z88" s="234" t="s">
        <v>252</v>
      </c>
      <c r="AA88" s="234">
        <v>75000</v>
      </c>
      <c r="AB88" s="230"/>
      <c r="AD88" s="234">
        <v>2010</v>
      </c>
      <c r="AE88" s="234" t="s">
        <v>251</v>
      </c>
      <c r="AF88" s="234" t="s">
        <v>283</v>
      </c>
      <c r="AG88" s="234" t="s">
        <v>284</v>
      </c>
      <c r="AH88" s="234" t="s">
        <v>252</v>
      </c>
      <c r="AI88" s="234">
        <v>7500</v>
      </c>
      <c r="AJ88" s="230"/>
      <c r="AL88" s="234">
        <v>2001</v>
      </c>
      <c r="AM88" s="234" t="s">
        <v>254</v>
      </c>
      <c r="AN88" s="234" t="s">
        <v>248</v>
      </c>
      <c r="AO88" s="234" t="s">
        <v>248</v>
      </c>
      <c r="AP88" s="234" t="s">
        <v>252</v>
      </c>
      <c r="AQ88" s="234">
        <v>242363</v>
      </c>
      <c r="AR88" s="230"/>
      <c r="AS88" s="230"/>
      <c r="BB88" s="230"/>
      <c r="BC88" s="230"/>
      <c r="BD88" s="230"/>
      <c r="BE88" s="230"/>
      <c r="BF88" s="230"/>
      <c r="BG88" s="230"/>
      <c r="BH88" s="230"/>
      <c r="BI88" s="230"/>
      <c r="BJ88" s="230"/>
      <c r="BK88" s="230"/>
      <c r="BL88" s="230"/>
      <c r="BM88" s="230"/>
      <c r="BN88" s="230"/>
      <c r="BO88" s="230"/>
      <c r="BP88" s="230"/>
      <c r="BQ88" s="230"/>
      <c r="BR88" s="230"/>
      <c r="BS88" s="230"/>
      <c r="BT88" s="230"/>
      <c r="BU88" s="230"/>
      <c r="BV88" s="230"/>
      <c r="BW88" s="230"/>
      <c r="BX88" s="230"/>
      <c r="BY88" s="230"/>
    </row>
    <row r="89" spans="6:77" ht="53.4" thickBot="1" x14ac:dyDescent="0.35">
      <c r="F89" s="233">
        <v>1990</v>
      </c>
      <c r="G89" s="233" t="s">
        <v>254</v>
      </c>
      <c r="H89" s="233" t="s">
        <v>246</v>
      </c>
      <c r="I89" s="233" t="s">
        <v>53</v>
      </c>
      <c r="J89" s="233" t="s">
        <v>252</v>
      </c>
      <c r="K89" s="233">
        <v>323283</v>
      </c>
      <c r="L89" s="230"/>
      <c r="N89" s="233">
        <v>2000</v>
      </c>
      <c r="O89" s="233" t="s">
        <v>254</v>
      </c>
      <c r="P89" s="233" t="s">
        <v>268</v>
      </c>
      <c r="Q89" s="233" t="s">
        <v>271</v>
      </c>
      <c r="R89" s="233" t="s">
        <v>252</v>
      </c>
      <c r="S89" s="233">
        <v>71154</v>
      </c>
      <c r="T89" s="230">
        <f>SUM(S84:S89)</f>
        <v>1161727</v>
      </c>
      <c r="AD89" s="233">
        <v>2010</v>
      </c>
      <c r="AE89" s="233" t="s">
        <v>251</v>
      </c>
      <c r="AF89" s="233" t="s">
        <v>283</v>
      </c>
      <c r="AG89" s="233" t="s">
        <v>287</v>
      </c>
      <c r="AH89" s="233" t="s">
        <v>252</v>
      </c>
      <c r="AI89" s="233">
        <v>81347</v>
      </c>
      <c r="AJ89" s="230">
        <f>SUM(AI76:AI89)-AI78-AI79-AI80-AI87-AI89</f>
        <v>1992723</v>
      </c>
      <c r="AL89" s="233">
        <v>2001</v>
      </c>
      <c r="AM89" s="233" t="s">
        <v>254</v>
      </c>
      <c r="AN89" s="233" t="s">
        <v>248</v>
      </c>
      <c r="AO89" s="233" t="s">
        <v>279</v>
      </c>
      <c r="AP89" s="233" t="s">
        <v>252</v>
      </c>
      <c r="AQ89" s="233">
        <v>62307</v>
      </c>
      <c r="AR89" s="230"/>
      <c r="AS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row>
    <row r="90" spans="6:77" ht="40.200000000000003" thickBot="1" x14ac:dyDescent="0.35">
      <c r="F90" s="234">
        <v>1990</v>
      </c>
      <c r="G90" s="234" t="s">
        <v>254</v>
      </c>
      <c r="H90" s="234" t="s">
        <v>246</v>
      </c>
      <c r="I90" s="234" t="s">
        <v>246</v>
      </c>
      <c r="J90" s="234" t="s">
        <v>252</v>
      </c>
      <c r="K90" s="234">
        <v>397502</v>
      </c>
      <c r="L90" s="230"/>
      <c r="N90" s="234">
        <v>1999</v>
      </c>
      <c r="O90" s="234" t="s">
        <v>251</v>
      </c>
      <c r="P90" s="234" t="s">
        <v>268</v>
      </c>
      <c r="Q90" s="234" t="s">
        <v>269</v>
      </c>
      <c r="R90" s="234" t="s">
        <v>252</v>
      </c>
      <c r="S90" s="234">
        <v>488706</v>
      </c>
      <c r="T90" s="230"/>
      <c r="AD90" s="234">
        <v>2009</v>
      </c>
      <c r="AE90" s="234" t="s">
        <v>254</v>
      </c>
      <c r="AF90" s="234" t="s">
        <v>283</v>
      </c>
      <c r="AG90" s="234" t="s">
        <v>284</v>
      </c>
      <c r="AH90" s="234" t="s">
        <v>252</v>
      </c>
      <c r="AI90" s="234">
        <v>155738</v>
      </c>
      <c r="AJ90" s="230"/>
      <c r="AL90" s="234">
        <v>2001</v>
      </c>
      <c r="AM90" s="234" t="s">
        <v>251</v>
      </c>
      <c r="AN90" s="234" t="s">
        <v>248</v>
      </c>
      <c r="AO90" s="234" t="s">
        <v>248</v>
      </c>
      <c r="AP90" s="234" t="s">
        <v>252</v>
      </c>
      <c r="AQ90" s="234">
        <v>757118</v>
      </c>
      <c r="AR90" s="230"/>
      <c r="AS90" s="230"/>
      <c r="BB90" s="230"/>
      <c r="BC90" s="230"/>
      <c r="BD90" s="230"/>
      <c r="BE90" s="230"/>
      <c r="BF90" s="230"/>
      <c r="BG90" s="230"/>
      <c r="BH90" s="230"/>
      <c r="BI90" s="230"/>
      <c r="BJ90" s="230"/>
      <c r="BK90" s="230"/>
      <c r="BL90" s="230"/>
      <c r="BM90" s="230"/>
      <c r="BN90" s="230"/>
      <c r="BO90" s="230"/>
      <c r="BP90" s="230"/>
      <c r="BQ90" s="230"/>
      <c r="BR90" s="230"/>
      <c r="BS90" s="230"/>
      <c r="BT90" s="230"/>
      <c r="BU90" s="230"/>
      <c r="BV90" s="230"/>
      <c r="BW90" s="230"/>
      <c r="BX90" s="230"/>
      <c r="BY90" s="230"/>
    </row>
    <row r="91" spans="6:77" ht="40.200000000000003" thickBot="1" x14ac:dyDescent="0.35">
      <c r="F91" s="233">
        <v>1990</v>
      </c>
      <c r="G91" s="233" t="s">
        <v>251</v>
      </c>
      <c r="H91" s="233" t="s">
        <v>246</v>
      </c>
      <c r="I91" s="233" t="s">
        <v>246</v>
      </c>
      <c r="J91" s="233" t="s">
        <v>252</v>
      </c>
      <c r="K91" s="233">
        <v>563468</v>
      </c>
      <c r="L91" s="230"/>
      <c r="N91" s="233">
        <v>1998</v>
      </c>
      <c r="O91" s="233" t="s">
        <v>251</v>
      </c>
      <c r="P91" s="233" t="s">
        <v>268</v>
      </c>
      <c r="Q91" s="233" t="s">
        <v>269</v>
      </c>
      <c r="R91" s="233" t="s">
        <v>252</v>
      </c>
      <c r="S91" s="233">
        <v>725438</v>
      </c>
      <c r="T91" s="230"/>
      <c r="AD91" s="233">
        <v>2009</v>
      </c>
      <c r="AE91" s="233" t="s">
        <v>254</v>
      </c>
      <c r="AF91" s="233" t="s">
        <v>283</v>
      </c>
      <c r="AG91" s="233" t="s">
        <v>284</v>
      </c>
      <c r="AH91" s="233" t="s">
        <v>252</v>
      </c>
      <c r="AI91" s="233">
        <v>127337</v>
      </c>
      <c r="AJ91" s="230"/>
      <c r="AL91" s="233">
        <v>2001</v>
      </c>
      <c r="AM91" s="233" t="s">
        <v>251</v>
      </c>
      <c r="AN91" s="233" t="s">
        <v>248</v>
      </c>
      <c r="AO91" s="233" t="s">
        <v>53</v>
      </c>
      <c r="AP91" s="233" t="s">
        <v>252</v>
      </c>
      <c r="AQ91" s="233">
        <v>159344</v>
      </c>
      <c r="AR91" s="230"/>
      <c r="AS91" s="230"/>
      <c r="BB91" s="230"/>
      <c r="BC91" s="230"/>
      <c r="BD91" s="230"/>
      <c r="BE91" s="230"/>
      <c r="BF91" s="230"/>
      <c r="BG91" s="230"/>
      <c r="BH91" s="230"/>
      <c r="BI91" s="230"/>
      <c r="BJ91" s="230"/>
      <c r="BK91" s="230"/>
      <c r="BL91" s="230"/>
      <c r="BM91" s="230"/>
      <c r="BN91" s="230"/>
      <c r="BO91" s="230"/>
      <c r="BP91" s="230"/>
      <c r="BQ91" s="230"/>
      <c r="BR91" s="230"/>
      <c r="BS91" s="230"/>
      <c r="BT91" s="230"/>
      <c r="BU91" s="230"/>
      <c r="BV91" s="230"/>
      <c r="BW91" s="230"/>
      <c r="BX91" s="230"/>
      <c r="BY91" s="230"/>
    </row>
    <row r="92" spans="6:77" ht="53.4" thickBot="1" x14ac:dyDescent="0.35">
      <c r="F92" s="234">
        <v>1989</v>
      </c>
      <c r="G92" s="234" t="s">
        <v>254</v>
      </c>
      <c r="H92" s="234" t="s">
        <v>246</v>
      </c>
      <c r="I92" s="234" t="s">
        <v>53</v>
      </c>
      <c r="J92" s="234" t="s">
        <v>252</v>
      </c>
      <c r="K92" s="234">
        <v>503500</v>
      </c>
      <c r="L92" s="230"/>
      <c r="N92" s="234">
        <v>1997</v>
      </c>
      <c r="O92" s="234" t="s">
        <v>254</v>
      </c>
      <c r="P92" s="234" t="s">
        <v>268</v>
      </c>
      <c r="Q92" s="234" t="s">
        <v>271</v>
      </c>
      <c r="R92" s="234" t="s">
        <v>252</v>
      </c>
      <c r="S92" s="234">
        <v>114398</v>
      </c>
      <c r="T92" s="230"/>
      <c r="AD92" s="234">
        <v>2009</v>
      </c>
      <c r="AE92" s="234" t="s">
        <v>254</v>
      </c>
      <c r="AF92" s="234" t="s">
        <v>283</v>
      </c>
      <c r="AG92" s="234" t="s">
        <v>287</v>
      </c>
      <c r="AH92" s="234" t="s">
        <v>252</v>
      </c>
      <c r="AI92" s="234">
        <v>30086</v>
      </c>
      <c r="AJ92" s="230"/>
      <c r="AL92" s="234">
        <v>2001</v>
      </c>
      <c r="AM92" s="234" t="s">
        <v>251</v>
      </c>
      <c r="AN92" s="234" t="s">
        <v>248</v>
      </c>
      <c r="AO92" s="234" t="s">
        <v>279</v>
      </c>
      <c r="AP92" s="234" t="s">
        <v>252</v>
      </c>
      <c r="AQ92" s="234">
        <v>79837</v>
      </c>
      <c r="AR92" s="230">
        <f>SUM(AQ85:AQ92)</f>
        <v>1650803</v>
      </c>
      <c r="AS92" s="230"/>
      <c r="BB92" s="230"/>
      <c r="BC92" s="230"/>
      <c r="BD92" s="230"/>
      <c r="BE92" s="230"/>
      <c r="BF92" s="230"/>
      <c r="BG92" s="230"/>
      <c r="BH92" s="230"/>
      <c r="BI92" s="230"/>
      <c r="BJ92" s="230"/>
      <c r="BK92" s="230"/>
      <c r="BL92" s="230"/>
      <c r="BM92" s="230"/>
      <c r="BN92" s="230"/>
      <c r="BO92" s="230"/>
      <c r="BP92" s="230"/>
      <c r="BQ92" s="230"/>
      <c r="BR92" s="230"/>
      <c r="BS92" s="230"/>
      <c r="BT92" s="230"/>
      <c r="BU92" s="230"/>
      <c r="BV92" s="230"/>
      <c r="BW92" s="230"/>
      <c r="BX92" s="230"/>
      <c r="BY92" s="230"/>
    </row>
    <row r="93" spans="6:77" ht="40.200000000000003" thickBot="1" x14ac:dyDescent="0.35">
      <c r="F93" s="233">
        <v>1989</v>
      </c>
      <c r="G93" s="233" t="s">
        <v>251</v>
      </c>
      <c r="H93" s="233" t="s">
        <v>246</v>
      </c>
      <c r="I93" s="233" t="s">
        <v>246</v>
      </c>
      <c r="J93" s="233" t="s">
        <v>252</v>
      </c>
      <c r="K93" s="233">
        <v>364547</v>
      </c>
      <c r="L93" s="230"/>
      <c r="N93" s="233">
        <v>1997</v>
      </c>
      <c r="O93" s="233" t="s">
        <v>251</v>
      </c>
      <c r="P93" s="233" t="s">
        <v>268</v>
      </c>
      <c r="Q93" s="233" t="s">
        <v>269</v>
      </c>
      <c r="R93" s="233" t="s">
        <v>252</v>
      </c>
      <c r="S93" s="233">
        <v>696365</v>
      </c>
      <c r="T93" s="230"/>
      <c r="AD93" s="233">
        <v>2009</v>
      </c>
      <c r="AE93" s="233" t="s">
        <v>251</v>
      </c>
      <c r="AF93" s="233" t="s">
        <v>283</v>
      </c>
      <c r="AG93" s="233" t="s">
        <v>284</v>
      </c>
      <c r="AH93" s="233" t="s">
        <v>252</v>
      </c>
      <c r="AI93" s="233">
        <v>648414</v>
      </c>
      <c r="AJ93" s="230"/>
      <c r="AL93" s="233">
        <v>2000</v>
      </c>
      <c r="AM93" s="233" t="s">
        <v>251</v>
      </c>
      <c r="AN93" s="233" t="s">
        <v>248</v>
      </c>
      <c r="AO93" s="233" t="s">
        <v>62</v>
      </c>
      <c r="AP93" s="233" t="s">
        <v>252</v>
      </c>
      <c r="AQ93" s="233">
        <v>361819</v>
      </c>
      <c r="AR93" s="230"/>
      <c r="AS93" s="230"/>
      <c r="BB93" s="230"/>
      <c r="BC93" s="230"/>
      <c r="BD93" s="230"/>
      <c r="BE93" s="230"/>
      <c r="BF93" s="230"/>
      <c r="BG93" s="230"/>
      <c r="BH93" s="230"/>
      <c r="BI93" s="230"/>
      <c r="BJ93" s="230"/>
      <c r="BK93" s="230"/>
      <c r="BL93" s="230"/>
      <c r="BM93" s="230"/>
      <c r="BN93" s="230"/>
      <c r="BO93" s="230"/>
      <c r="BP93" s="230"/>
      <c r="BQ93" s="230"/>
      <c r="BR93" s="230"/>
      <c r="BS93" s="230"/>
      <c r="BT93" s="230"/>
      <c r="BU93" s="230"/>
      <c r="BV93" s="230"/>
      <c r="BW93" s="230"/>
      <c r="BX93" s="230"/>
      <c r="BY93" s="230"/>
    </row>
    <row r="94" spans="6:77" ht="53.4" thickBot="1" x14ac:dyDescent="0.35">
      <c r="F94" s="234">
        <v>1989</v>
      </c>
      <c r="G94" s="234" t="s">
        <v>251</v>
      </c>
      <c r="H94" s="234" t="s">
        <v>246</v>
      </c>
      <c r="I94" s="234" t="s">
        <v>246</v>
      </c>
      <c r="J94" s="234" t="s">
        <v>252</v>
      </c>
      <c r="K94" s="234">
        <v>303953</v>
      </c>
      <c r="L94" s="230"/>
      <c r="N94" s="234">
        <v>1996</v>
      </c>
      <c r="O94" s="234" t="s">
        <v>254</v>
      </c>
      <c r="P94" s="234" t="s">
        <v>268</v>
      </c>
      <c r="Q94" s="234" t="s">
        <v>271</v>
      </c>
      <c r="R94" s="234" t="s">
        <v>252</v>
      </c>
      <c r="S94" s="234">
        <v>45472</v>
      </c>
      <c r="T94" s="230"/>
      <c r="AD94" s="234">
        <v>2009</v>
      </c>
      <c r="AE94" s="234" t="s">
        <v>251</v>
      </c>
      <c r="AF94" s="234" t="s">
        <v>283</v>
      </c>
      <c r="AG94" s="234" t="s">
        <v>284</v>
      </c>
      <c r="AH94" s="234" t="s">
        <v>252</v>
      </c>
      <c r="AI94" s="234">
        <v>717590</v>
      </c>
      <c r="AJ94" s="230"/>
      <c r="AL94" s="234">
        <v>2000</v>
      </c>
      <c r="AM94" s="234" t="s">
        <v>251</v>
      </c>
      <c r="AN94" s="234" t="s">
        <v>248</v>
      </c>
      <c r="AO94" s="234" t="s">
        <v>279</v>
      </c>
      <c r="AP94" s="234" t="s">
        <v>252</v>
      </c>
      <c r="AQ94" s="234">
        <v>81271</v>
      </c>
      <c r="AR94" s="230"/>
      <c r="AS94" s="230"/>
      <c r="BB94" s="230"/>
      <c r="BC94" s="230"/>
      <c r="BD94" s="230"/>
      <c r="BE94" s="230"/>
      <c r="BF94" s="230"/>
      <c r="BG94" s="230"/>
      <c r="BH94" s="230"/>
      <c r="BI94" s="230"/>
      <c r="BJ94" s="230"/>
      <c r="BK94" s="230"/>
      <c r="BL94" s="230"/>
      <c r="BM94" s="230"/>
      <c r="BN94" s="230"/>
      <c r="BO94" s="230"/>
      <c r="BP94" s="230"/>
      <c r="BQ94" s="230"/>
      <c r="BR94" s="230"/>
      <c r="BS94" s="230"/>
      <c r="BT94" s="230"/>
      <c r="BU94" s="230"/>
      <c r="BV94" s="230"/>
      <c r="BW94" s="230"/>
      <c r="BX94" s="230"/>
      <c r="BY94" s="230"/>
    </row>
    <row r="95" spans="6:77" ht="40.200000000000003" thickBot="1" x14ac:dyDescent="0.35">
      <c r="F95" s="233">
        <v>1988</v>
      </c>
      <c r="G95" s="233" t="s">
        <v>254</v>
      </c>
      <c r="H95" s="233" t="s">
        <v>246</v>
      </c>
      <c r="I95" s="233" t="s">
        <v>246</v>
      </c>
      <c r="J95" s="233" t="s">
        <v>252</v>
      </c>
      <c r="K95" s="233">
        <v>672500</v>
      </c>
      <c r="L95" s="230"/>
      <c r="N95" s="233">
        <v>1996</v>
      </c>
      <c r="O95" s="233" t="s">
        <v>251</v>
      </c>
      <c r="P95" s="233" t="s">
        <v>268</v>
      </c>
      <c r="Q95" s="233" t="s">
        <v>269</v>
      </c>
      <c r="R95" s="233" t="s">
        <v>252</v>
      </c>
      <c r="S95" s="233">
        <v>699402</v>
      </c>
      <c r="T95" s="230"/>
      <c r="AD95" s="233">
        <v>2009</v>
      </c>
      <c r="AE95" s="233" t="s">
        <v>251</v>
      </c>
      <c r="AF95" s="233" t="s">
        <v>283</v>
      </c>
      <c r="AG95" s="233" t="s">
        <v>270</v>
      </c>
      <c r="AH95" s="233" t="s">
        <v>252</v>
      </c>
      <c r="AI95" s="233">
        <v>112370</v>
      </c>
      <c r="AJ95" s="230">
        <f>SUM(AI90:AI95)-AI92</f>
        <v>1761449</v>
      </c>
      <c r="AL95" s="233">
        <v>2000</v>
      </c>
      <c r="AM95" s="233" t="s">
        <v>251</v>
      </c>
      <c r="AN95" s="233" t="s">
        <v>248</v>
      </c>
      <c r="AO95" s="233" t="s">
        <v>62</v>
      </c>
      <c r="AP95" s="233" t="s">
        <v>252</v>
      </c>
      <c r="AQ95" s="233">
        <v>390573</v>
      </c>
      <c r="AR95" s="230"/>
      <c r="AS95" s="230"/>
      <c r="BB95" s="230"/>
      <c r="BC95" s="230"/>
      <c r="BD95" s="230"/>
      <c r="BE95" s="230"/>
      <c r="BF95" s="230"/>
      <c r="BG95" s="230"/>
      <c r="BH95" s="230"/>
      <c r="BI95" s="230"/>
      <c r="BJ95" s="230"/>
      <c r="BK95" s="230"/>
      <c r="BL95" s="230"/>
      <c r="BM95" s="230"/>
      <c r="BN95" s="230"/>
      <c r="BO95" s="230"/>
      <c r="BP95" s="230"/>
      <c r="BQ95" s="230"/>
      <c r="BR95" s="230"/>
      <c r="BS95" s="230"/>
      <c r="BT95" s="230"/>
      <c r="BU95" s="230"/>
      <c r="BV95" s="230"/>
      <c r="BW95" s="230"/>
      <c r="BX95" s="230"/>
      <c r="BY95" s="230"/>
    </row>
    <row r="96" spans="6:77" ht="53.4" thickBot="1" x14ac:dyDescent="0.35">
      <c r="F96" s="234">
        <v>1988</v>
      </c>
      <c r="G96" s="234" t="s">
        <v>251</v>
      </c>
      <c r="H96" s="234" t="s">
        <v>246</v>
      </c>
      <c r="I96" s="234" t="s">
        <v>53</v>
      </c>
      <c r="J96" s="234" t="s">
        <v>252</v>
      </c>
      <c r="K96" s="234">
        <v>347000</v>
      </c>
      <c r="L96" s="230"/>
      <c r="N96" s="234">
        <v>1995</v>
      </c>
      <c r="O96" s="234" t="s">
        <v>254</v>
      </c>
      <c r="P96" s="234" t="s">
        <v>268</v>
      </c>
      <c r="Q96" s="234" t="s">
        <v>271</v>
      </c>
      <c r="R96" s="234" t="s">
        <v>252</v>
      </c>
      <c r="S96" s="234">
        <v>106920</v>
      </c>
      <c r="T96" s="230"/>
      <c r="AD96" s="234">
        <v>2008</v>
      </c>
      <c r="AE96" s="234" t="s">
        <v>254</v>
      </c>
      <c r="AF96" s="234" t="s">
        <v>283</v>
      </c>
      <c r="AG96" s="234" t="s">
        <v>284</v>
      </c>
      <c r="AH96" s="234" t="s">
        <v>252</v>
      </c>
      <c r="AI96" s="234">
        <v>317029</v>
      </c>
      <c r="AJ96" s="230"/>
      <c r="AL96" s="234">
        <v>2000</v>
      </c>
      <c r="AM96" s="234" t="s">
        <v>254</v>
      </c>
      <c r="AN96" s="234" t="s">
        <v>248</v>
      </c>
      <c r="AO96" s="234" t="s">
        <v>289</v>
      </c>
      <c r="AP96" s="234" t="s">
        <v>252</v>
      </c>
      <c r="AQ96" s="234">
        <v>200542</v>
      </c>
      <c r="AR96" s="230"/>
      <c r="AS96" s="230"/>
      <c r="BB96" s="230"/>
      <c r="BC96" s="230"/>
      <c r="BD96" s="230"/>
      <c r="BE96" s="230"/>
      <c r="BF96" s="230"/>
      <c r="BG96" s="230"/>
      <c r="BH96" s="230"/>
      <c r="BI96" s="230"/>
      <c r="BJ96" s="230"/>
      <c r="BK96" s="230"/>
      <c r="BL96" s="230"/>
      <c r="BM96" s="230"/>
      <c r="BN96" s="230"/>
      <c r="BO96" s="230"/>
      <c r="BP96" s="230"/>
      <c r="BQ96" s="230"/>
      <c r="BR96" s="230"/>
      <c r="BS96" s="230"/>
      <c r="BT96" s="230"/>
      <c r="BU96" s="230"/>
      <c r="BV96" s="230"/>
      <c r="BW96" s="230"/>
      <c r="BX96" s="230"/>
      <c r="BY96" s="230"/>
    </row>
    <row r="97" spans="6:77" ht="40.200000000000003" thickBot="1" x14ac:dyDescent="0.35">
      <c r="F97" s="233">
        <v>1988</v>
      </c>
      <c r="G97" s="233" t="s">
        <v>251</v>
      </c>
      <c r="H97" s="233" t="s">
        <v>246</v>
      </c>
      <c r="I97" s="233" t="s">
        <v>246</v>
      </c>
      <c r="J97" s="233" t="s">
        <v>252</v>
      </c>
      <c r="K97" s="233">
        <v>396000</v>
      </c>
      <c r="L97" s="230"/>
      <c r="N97" s="233">
        <v>1995</v>
      </c>
      <c r="O97" s="233" t="s">
        <v>251</v>
      </c>
      <c r="P97" s="233" t="s">
        <v>268</v>
      </c>
      <c r="Q97" s="233" t="s">
        <v>274</v>
      </c>
      <c r="R97" s="233" t="s">
        <v>252</v>
      </c>
      <c r="S97" s="233">
        <v>112216</v>
      </c>
      <c r="T97" s="230"/>
      <c r="AD97" s="233">
        <v>2008</v>
      </c>
      <c r="AE97" s="233" t="s">
        <v>254</v>
      </c>
      <c r="AF97" s="233" t="s">
        <v>283</v>
      </c>
      <c r="AG97" s="233" t="s">
        <v>287</v>
      </c>
      <c r="AH97" s="233" t="s">
        <v>252</v>
      </c>
      <c r="AI97" s="233">
        <v>99990</v>
      </c>
      <c r="AJ97" s="230"/>
      <c r="AL97" s="233">
        <v>2000</v>
      </c>
      <c r="AM97" s="233" t="s">
        <v>254</v>
      </c>
      <c r="AN97" s="233" t="s">
        <v>248</v>
      </c>
      <c r="AO97" s="233" t="s">
        <v>289</v>
      </c>
      <c r="AP97" s="233" t="s">
        <v>252</v>
      </c>
      <c r="AQ97" s="233">
        <v>46010</v>
      </c>
      <c r="AR97" s="230"/>
      <c r="AS97" s="230"/>
      <c r="BB97" s="230"/>
      <c r="BC97" s="230"/>
      <c r="BD97" s="230"/>
      <c r="BE97" s="230"/>
      <c r="BF97" s="230"/>
      <c r="BG97" s="230"/>
      <c r="BH97" s="230"/>
      <c r="BI97" s="230"/>
      <c r="BJ97" s="230"/>
      <c r="BK97" s="230"/>
      <c r="BL97" s="230"/>
      <c r="BM97" s="230"/>
      <c r="BN97" s="230"/>
      <c r="BO97" s="230"/>
      <c r="BP97" s="230"/>
      <c r="BQ97" s="230"/>
      <c r="BR97" s="230"/>
      <c r="BS97" s="230"/>
      <c r="BT97" s="230"/>
      <c r="BU97" s="230"/>
      <c r="BV97" s="230"/>
      <c r="BW97" s="230"/>
      <c r="BX97" s="230"/>
      <c r="BY97" s="230"/>
    </row>
    <row r="98" spans="6:77" ht="40.200000000000003" thickBot="1" x14ac:dyDescent="0.35">
      <c r="F98" s="234">
        <v>1987</v>
      </c>
      <c r="G98" s="234" t="s">
        <v>251</v>
      </c>
      <c r="H98" s="234" t="s">
        <v>261</v>
      </c>
      <c r="I98" s="234" t="s">
        <v>253</v>
      </c>
      <c r="J98" s="234" t="s">
        <v>262</v>
      </c>
      <c r="K98" s="234">
        <v>517000</v>
      </c>
      <c r="L98" s="230"/>
      <c r="N98" s="234">
        <v>1995</v>
      </c>
      <c r="O98" s="234" t="s">
        <v>251</v>
      </c>
      <c r="P98" s="234" t="s">
        <v>268</v>
      </c>
      <c r="Q98" s="234" t="s">
        <v>269</v>
      </c>
      <c r="R98" s="234" t="s">
        <v>252</v>
      </c>
      <c r="S98" s="234">
        <v>664050</v>
      </c>
      <c r="T98" s="230"/>
      <c r="AD98" s="234">
        <v>2008</v>
      </c>
      <c r="AE98" s="234" t="s">
        <v>251</v>
      </c>
      <c r="AF98" s="234" t="s">
        <v>283</v>
      </c>
      <c r="AG98" s="234" t="s">
        <v>284</v>
      </c>
      <c r="AH98" s="234" t="s">
        <v>252</v>
      </c>
      <c r="AI98" s="234">
        <v>542487</v>
      </c>
      <c r="AJ98" s="230"/>
      <c r="AL98" s="234">
        <v>2000</v>
      </c>
      <c r="AM98" s="234" t="s">
        <v>254</v>
      </c>
      <c r="AN98" s="234" t="s">
        <v>248</v>
      </c>
      <c r="AO98" s="234" t="s">
        <v>289</v>
      </c>
      <c r="AP98" s="234" t="s">
        <v>252</v>
      </c>
      <c r="AQ98" s="234">
        <v>33105</v>
      </c>
      <c r="AR98" s="230">
        <f>SUM(AQ93:AQ98)</f>
        <v>1113320</v>
      </c>
      <c r="AS98" s="230"/>
      <c r="BB98" s="230"/>
      <c r="BC98" s="230"/>
      <c r="BD98" s="230"/>
      <c r="BE98" s="230"/>
      <c r="BF98" s="230"/>
      <c r="BG98" s="230"/>
      <c r="BH98" s="230"/>
      <c r="BI98" s="230"/>
      <c r="BJ98" s="230"/>
      <c r="BK98" s="230"/>
      <c r="BL98" s="230"/>
      <c r="BM98" s="230"/>
      <c r="BN98" s="230"/>
      <c r="BO98" s="230"/>
      <c r="BP98" s="230"/>
      <c r="BQ98" s="230"/>
      <c r="BR98" s="230"/>
      <c r="BS98" s="230"/>
      <c r="BT98" s="230"/>
      <c r="BU98" s="230"/>
      <c r="BV98" s="230"/>
      <c r="BW98" s="230"/>
      <c r="BX98" s="230"/>
      <c r="BY98" s="230"/>
    </row>
    <row r="99" spans="6:77" ht="53.4" thickBot="1" x14ac:dyDescent="0.35">
      <c r="F99" s="233">
        <v>1987</v>
      </c>
      <c r="G99" s="233" t="s">
        <v>251</v>
      </c>
      <c r="H99" s="233" t="s">
        <v>246</v>
      </c>
      <c r="I99" s="233" t="s">
        <v>246</v>
      </c>
      <c r="J99" s="233" t="s">
        <v>252</v>
      </c>
      <c r="K99" s="233">
        <v>65500</v>
      </c>
      <c r="L99" s="230"/>
      <c r="N99" s="233">
        <v>1994</v>
      </c>
      <c r="O99" s="233" t="s">
        <v>254</v>
      </c>
      <c r="P99" s="233" t="s">
        <v>268</v>
      </c>
      <c r="Q99" s="233" t="s">
        <v>271</v>
      </c>
      <c r="R99" s="233" t="s">
        <v>252</v>
      </c>
      <c r="S99" s="233">
        <v>49725</v>
      </c>
      <c r="T99" s="230"/>
      <c r="AD99" s="233">
        <v>2008</v>
      </c>
      <c r="AE99" s="233" t="s">
        <v>251</v>
      </c>
      <c r="AF99" s="233" t="s">
        <v>283</v>
      </c>
      <c r="AG99" s="233" t="s">
        <v>284</v>
      </c>
      <c r="AH99" s="233" t="s">
        <v>252</v>
      </c>
      <c r="AI99" s="233">
        <v>764476</v>
      </c>
      <c r="AJ99" s="230"/>
      <c r="AL99" s="233">
        <v>1999</v>
      </c>
      <c r="AM99" s="233" t="s">
        <v>254</v>
      </c>
      <c r="AN99" s="233" t="s">
        <v>248</v>
      </c>
      <c r="AO99" s="233" t="s">
        <v>289</v>
      </c>
      <c r="AP99" s="233" t="s">
        <v>252</v>
      </c>
      <c r="AQ99" s="233">
        <v>487935</v>
      </c>
      <c r="AR99" s="230"/>
      <c r="AS99" s="230"/>
      <c r="BB99" s="230"/>
      <c r="BC99" s="230"/>
      <c r="BD99" s="230"/>
      <c r="BE99" s="230"/>
      <c r="BF99" s="230"/>
      <c r="BG99" s="230"/>
      <c r="BH99" s="230"/>
      <c r="BI99" s="230"/>
      <c r="BJ99" s="230"/>
      <c r="BK99" s="230"/>
      <c r="BL99" s="230"/>
      <c r="BM99" s="230"/>
      <c r="BN99" s="230"/>
      <c r="BO99" s="230"/>
      <c r="BP99" s="230"/>
      <c r="BQ99" s="230"/>
      <c r="BR99" s="230"/>
      <c r="BS99" s="230"/>
      <c r="BT99" s="230"/>
      <c r="BU99" s="230"/>
      <c r="BV99" s="230"/>
      <c r="BW99" s="230"/>
      <c r="BX99" s="230"/>
      <c r="BY99" s="230"/>
    </row>
    <row r="100" spans="6:77" ht="40.200000000000003" thickBot="1" x14ac:dyDescent="0.35">
      <c r="N100" s="234">
        <v>1994</v>
      </c>
      <c r="O100" s="234" t="s">
        <v>251</v>
      </c>
      <c r="P100" s="234" t="s">
        <v>268</v>
      </c>
      <c r="Q100" s="234" t="s">
        <v>269</v>
      </c>
      <c r="R100" s="234" t="s">
        <v>252</v>
      </c>
      <c r="S100" s="234">
        <v>248596</v>
      </c>
      <c r="T100" s="230"/>
      <c r="AD100" s="234">
        <v>2008</v>
      </c>
      <c r="AE100" s="234" t="s">
        <v>251</v>
      </c>
      <c r="AF100" s="234" t="s">
        <v>283</v>
      </c>
      <c r="AG100" s="234" t="s">
        <v>273</v>
      </c>
      <c r="AH100" s="234" t="s">
        <v>252</v>
      </c>
      <c r="AI100" s="234">
        <v>296684</v>
      </c>
      <c r="AJ100" s="230"/>
      <c r="AL100" s="234">
        <v>1999</v>
      </c>
      <c r="AM100" s="234" t="s">
        <v>254</v>
      </c>
      <c r="AN100" s="234" t="s">
        <v>248</v>
      </c>
      <c r="AO100" s="234" t="s">
        <v>248</v>
      </c>
      <c r="AP100" s="234" t="s">
        <v>252</v>
      </c>
      <c r="AQ100" s="234">
        <v>251640</v>
      </c>
      <c r="AR100" s="230"/>
      <c r="AS100" s="230"/>
      <c r="BB100" s="230"/>
      <c r="BC100" s="230"/>
      <c r="BD100" s="230"/>
      <c r="BE100" s="230"/>
      <c r="BF100" s="230"/>
      <c r="BG100" s="230"/>
      <c r="BH100" s="230"/>
      <c r="BI100" s="230"/>
      <c r="BJ100" s="230"/>
      <c r="BK100" s="230"/>
      <c r="BL100" s="230"/>
      <c r="BM100" s="230"/>
      <c r="BN100" s="230"/>
      <c r="BO100" s="230"/>
      <c r="BP100" s="230"/>
      <c r="BQ100" s="230"/>
      <c r="BR100" s="230"/>
      <c r="BS100" s="230"/>
      <c r="BT100" s="230"/>
      <c r="BU100" s="230"/>
      <c r="BV100" s="230"/>
      <c r="BW100" s="230"/>
      <c r="BX100" s="230"/>
      <c r="BY100" s="230"/>
    </row>
    <row r="101" spans="6:77" ht="53.4" thickBot="1" x14ac:dyDescent="0.35">
      <c r="N101" s="233">
        <v>1993</v>
      </c>
      <c r="O101" s="233" t="s">
        <v>254</v>
      </c>
      <c r="P101" s="233" t="s">
        <v>268</v>
      </c>
      <c r="Q101" s="233" t="s">
        <v>271</v>
      </c>
      <c r="R101" s="233" t="s">
        <v>252</v>
      </c>
      <c r="S101" s="233">
        <v>101436</v>
      </c>
      <c r="T101" s="230"/>
      <c r="AD101" s="233">
        <v>2008</v>
      </c>
      <c r="AE101" s="233" t="s">
        <v>251</v>
      </c>
      <c r="AF101" s="233" t="s">
        <v>283</v>
      </c>
      <c r="AG101" s="233" t="s">
        <v>270</v>
      </c>
      <c r="AH101" s="233" t="s">
        <v>252</v>
      </c>
      <c r="AI101" s="233">
        <v>110684</v>
      </c>
      <c r="AJ101" s="230">
        <f>-AI97</f>
        <v>-99990</v>
      </c>
      <c r="AL101" s="233">
        <v>1999</v>
      </c>
      <c r="AM101" s="233" t="s">
        <v>254</v>
      </c>
      <c r="AN101" s="233" t="s">
        <v>248</v>
      </c>
      <c r="AO101" s="233" t="s">
        <v>279</v>
      </c>
      <c r="AP101" s="233" t="s">
        <v>252</v>
      </c>
      <c r="AQ101" s="233">
        <v>60270</v>
      </c>
      <c r="AR101" s="230"/>
      <c r="AS101" s="230"/>
      <c r="BB101" s="230"/>
      <c r="BC101" s="230"/>
      <c r="BD101" s="230"/>
      <c r="BE101" s="230"/>
      <c r="BF101" s="230"/>
      <c r="BG101" s="230"/>
      <c r="BH101" s="230"/>
      <c r="BI101" s="230"/>
      <c r="BJ101" s="230"/>
      <c r="BK101" s="230"/>
      <c r="BL101" s="230"/>
      <c r="BM101" s="230"/>
      <c r="BN101" s="230"/>
      <c r="BO101" s="230"/>
      <c r="BP101" s="230"/>
      <c r="BQ101" s="230"/>
      <c r="BR101" s="230"/>
      <c r="BS101" s="230"/>
      <c r="BT101" s="230"/>
      <c r="BU101" s="230"/>
      <c r="BV101" s="230"/>
      <c r="BW101" s="230"/>
      <c r="BX101" s="230"/>
      <c r="BY101" s="230"/>
    </row>
    <row r="102" spans="6:77" ht="40.200000000000003" thickBot="1" x14ac:dyDescent="0.35">
      <c r="N102" s="234">
        <v>1993</v>
      </c>
      <c r="O102" s="234" t="s">
        <v>251</v>
      </c>
      <c r="P102" s="234" t="s">
        <v>268</v>
      </c>
      <c r="Q102" s="234" t="s">
        <v>275</v>
      </c>
      <c r="R102" s="234" t="s">
        <v>252</v>
      </c>
      <c r="S102" s="234">
        <v>444912</v>
      </c>
      <c r="T102" s="230"/>
      <c r="AD102" s="234">
        <v>2007</v>
      </c>
      <c r="AE102" s="234" t="s">
        <v>254</v>
      </c>
      <c r="AF102" s="234" t="s">
        <v>283</v>
      </c>
      <c r="AG102" s="234" t="s">
        <v>284</v>
      </c>
      <c r="AH102" s="234" t="s">
        <v>252</v>
      </c>
      <c r="AI102" s="234">
        <v>323675</v>
      </c>
      <c r="AJ102" s="230"/>
      <c r="AL102" s="234">
        <v>1999</v>
      </c>
      <c r="AM102" s="234" t="s">
        <v>251</v>
      </c>
      <c r="AN102" s="234" t="s">
        <v>248</v>
      </c>
      <c r="AO102" s="234" t="s">
        <v>248</v>
      </c>
      <c r="AP102" s="234" t="s">
        <v>252</v>
      </c>
      <c r="AQ102" s="234">
        <v>364450</v>
      </c>
      <c r="AR102" s="230"/>
      <c r="AS102" s="230"/>
      <c r="BB102" s="230"/>
      <c r="BC102" s="230"/>
      <c r="BD102" s="230"/>
      <c r="BE102" s="230"/>
      <c r="BF102" s="230"/>
      <c r="BG102" s="230"/>
      <c r="BH102" s="230"/>
      <c r="BI102" s="230"/>
      <c r="BJ102" s="230"/>
      <c r="BK102" s="230"/>
      <c r="BL102" s="230"/>
      <c r="BM102" s="230"/>
      <c r="BN102" s="230"/>
      <c r="BO102" s="230"/>
      <c r="BP102" s="230"/>
      <c r="BQ102" s="230"/>
      <c r="BR102" s="230"/>
      <c r="BS102" s="230"/>
      <c r="BT102" s="230"/>
      <c r="BU102" s="230"/>
      <c r="BV102" s="230"/>
      <c r="BW102" s="230"/>
      <c r="BX102" s="230"/>
      <c r="BY102" s="230"/>
    </row>
    <row r="103" spans="6:77" ht="53.4" thickBot="1" x14ac:dyDescent="0.35">
      <c r="N103" s="233">
        <v>1992</v>
      </c>
      <c r="O103" s="233" t="s">
        <v>254</v>
      </c>
      <c r="P103" s="233" t="s">
        <v>268</v>
      </c>
      <c r="Q103" s="233" t="s">
        <v>271</v>
      </c>
      <c r="R103" s="233" t="s">
        <v>252</v>
      </c>
      <c r="S103" s="233">
        <v>90366</v>
      </c>
      <c r="T103" s="230"/>
      <c r="AD103" s="233">
        <v>2007</v>
      </c>
      <c r="AE103" s="233" t="s">
        <v>251</v>
      </c>
      <c r="AF103" s="233" t="s">
        <v>283</v>
      </c>
      <c r="AG103" s="233" t="s">
        <v>290</v>
      </c>
      <c r="AH103" s="233" t="s">
        <v>252</v>
      </c>
      <c r="AI103" s="233">
        <v>95021</v>
      </c>
      <c r="AJ103" s="230"/>
      <c r="AL103" s="233">
        <v>1999</v>
      </c>
      <c r="AM103" s="233" t="s">
        <v>251</v>
      </c>
      <c r="AN103" s="233" t="s">
        <v>248</v>
      </c>
      <c r="AO103" s="233" t="s">
        <v>248</v>
      </c>
      <c r="AP103" s="233" t="s">
        <v>252</v>
      </c>
      <c r="AQ103" s="233">
        <v>421905</v>
      </c>
      <c r="AR103" s="230"/>
      <c r="AS103" s="230"/>
      <c r="BB103" s="230"/>
      <c r="BC103" s="230"/>
      <c r="BD103" s="230"/>
      <c r="BE103" s="230"/>
      <c r="BF103" s="230"/>
      <c r="BG103" s="230"/>
      <c r="BH103" s="230"/>
      <c r="BI103" s="230"/>
      <c r="BJ103" s="230"/>
      <c r="BK103" s="230"/>
      <c r="BL103" s="230"/>
      <c r="BM103" s="230"/>
      <c r="BN103" s="230"/>
      <c r="BO103" s="230"/>
      <c r="BP103" s="230"/>
      <c r="BQ103" s="230"/>
      <c r="BR103" s="230"/>
      <c r="BS103" s="230"/>
      <c r="BT103" s="230"/>
      <c r="BU103" s="230"/>
      <c r="BV103" s="230"/>
      <c r="BW103" s="230"/>
      <c r="BX103" s="230"/>
      <c r="BY103" s="230"/>
    </row>
    <row r="104" spans="6:77" ht="40.200000000000003" thickBot="1" x14ac:dyDescent="0.35">
      <c r="N104" s="234">
        <v>1992</v>
      </c>
      <c r="O104" s="234" t="s">
        <v>251</v>
      </c>
      <c r="P104" s="234" t="s">
        <v>268</v>
      </c>
      <c r="Q104" s="234" t="s">
        <v>269</v>
      </c>
      <c r="R104" s="234" t="s">
        <v>252</v>
      </c>
      <c r="S104" s="234">
        <v>553829</v>
      </c>
      <c r="T104" s="230"/>
      <c r="AD104" s="234">
        <v>2007</v>
      </c>
      <c r="AE104" s="234" t="s">
        <v>251</v>
      </c>
      <c r="AF104" s="234" t="s">
        <v>283</v>
      </c>
      <c r="AG104" s="234" t="s">
        <v>284</v>
      </c>
      <c r="AH104" s="234" t="s">
        <v>252</v>
      </c>
      <c r="AI104" s="234">
        <v>541562</v>
      </c>
      <c r="AJ104" s="230"/>
      <c r="AL104" s="234">
        <v>1999</v>
      </c>
      <c r="AM104" s="234" t="s">
        <v>251</v>
      </c>
      <c r="AN104" s="234" t="s">
        <v>248</v>
      </c>
      <c r="AO104" s="234" t="s">
        <v>279</v>
      </c>
      <c r="AP104" s="234" t="s">
        <v>252</v>
      </c>
      <c r="AQ104" s="234">
        <v>36635</v>
      </c>
      <c r="AR104" s="230"/>
      <c r="AS104" s="230"/>
      <c r="BB104" s="230"/>
      <c r="BC104" s="230"/>
      <c r="BD104" s="230"/>
      <c r="BE104" s="230"/>
      <c r="BF104" s="230"/>
      <c r="BG104" s="230"/>
      <c r="BH104" s="230"/>
      <c r="BI104" s="230"/>
      <c r="BJ104" s="230"/>
      <c r="BK104" s="230"/>
      <c r="BL104" s="230"/>
      <c r="BM104" s="230"/>
      <c r="BN104" s="230"/>
      <c r="BO104" s="230"/>
      <c r="BP104" s="230"/>
      <c r="BQ104" s="230"/>
      <c r="BR104" s="230"/>
      <c r="BS104" s="230"/>
      <c r="BT104" s="230"/>
      <c r="BU104" s="230"/>
      <c r="BV104" s="230"/>
      <c r="BW104" s="230"/>
      <c r="BX104" s="230"/>
      <c r="BY104" s="230"/>
    </row>
    <row r="105" spans="6:77" ht="40.200000000000003" thickBot="1" x14ac:dyDescent="0.35">
      <c r="N105" s="233">
        <v>1991</v>
      </c>
      <c r="O105" s="233" t="s">
        <v>251</v>
      </c>
      <c r="P105" s="233" t="s">
        <v>268</v>
      </c>
      <c r="Q105" s="233" t="s">
        <v>269</v>
      </c>
      <c r="R105" s="233" t="s">
        <v>252</v>
      </c>
      <c r="S105" s="233">
        <v>524341</v>
      </c>
      <c r="T105" s="230"/>
      <c r="AD105" s="233">
        <v>2007</v>
      </c>
      <c r="AE105" s="233" t="s">
        <v>251</v>
      </c>
      <c r="AF105" s="233" t="s">
        <v>283</v>
      </c>
      <c r="AG105" s="233" t="s">
        <v>284</v>
      </c>
      <c r="AH105" s="233" t="s">
        <v>252</v>
      </c>
      <c r="AI105" s="233">
        <v>622017</v>
      </c>
      <c r="AJ105" s="230"/>
      <c r="AL105" s="233">
        <v>1999</v>
      </c>
      <c r="AM105" s="233" t="s">
        <v>251</v>
      </c>
      <c r="AN105" s="233" t="s">
        <v>248</v>
      </c>
      <c r="AO105" s="233" t="s">
        <v>53</v>
      </c>
      <c r="AP105" s="233" t="s">
        <v>252</v>
      </c>
      <c r="AQ105" s="233">
        <v>185596</v>
      </c>
      <c r="AR105" s="230">
        <f>SUM(AQ99:AQ105)</f>
        <v>1808431</v>
      </c>
      <c r="AS105" s="230"/>
      <c r="BB105" s="230"/>
      <c r="BC105" s="230"/>
      <c r="BD105" s="230"/>
      <c r="BE105" s="230"/>
      <c r="BF105" s="230"/>
      <c r="BG105" s="230"/>
      <c r="BH105" s="230"/>
      <c r="BI105" s="230"/>
      <c r="BJ105" s="230"/>
      <c r="BK105" s="230"/>
      <c r="BL105" s="230"/>
      <c r="BM105" s="230"/>
      <c r="BN105" s="230"/>
      <c r="BO105" s="230"/>
      <c r="BP105" s="230"/>
      <c r="BQ105" s="230"/>
      <c r="BR105" s="230"/>
      <c r="BS105" s="230"/>
      <c r="BT105" s="230"/>
      <c r="BU105" s="230"/>
      <c r="BV105" s="230"/>
      <c r="BW105" s="230"/>
      <c r="BX105" s="230"/>
      <c r="BY105" s="230"/>
    </row>
    <row r="106" spans="6:77" ht="53.4" thickBot="1" x14ac:dyDescent="0.35">
      <c r="N106" s="234">
        <v>1990</v>
      </c>
      <c r="O106" s="234" t="s">
        <v>254</v>
      </c>
      <c r="P106" s="234" t="s">
        <v>268</v>
      </c>
      <c r="Q106" s="234" t="s">
        <v>269</v>
      </c>
      <c r="R106" s="234" t="s">
        <v>252</v>
      </c>
      <c r="S106" s="234">
        <v>1114</v>
      </c>
      <c r="T106" s="230"/>
      <c r="AD106" s="234">
        <v>2007</v>
      </c>
      <c r="AE106" s="234" t="s">
        <v>251</v>
      </c>
      <c r="AF106" s="234" t="s">
        <v>283</v>
      </c>
      <c r="AG106" s="234" t="s">
        <v>273</v>
      </c>
      <c r="AH106" s="234" t="s">
        <v>252</v>
      </c>
      <c r="AI106" s="234">
        <v>276664</v>
      </c>
      <c r="AJ106" s="230"/>
      <c r="AL106" s="234">
        <v>1998</v>
      </c>
      <c r="AM106" s="234" t="s">
        <v>254</v>
      </c>
      <c r="AN106" s="234" t="s">
        <v>248</v>
      </c>
      <c r="AO106" s="234" t="s">
        <v>286</v>
      </c>
      <c r="AP106" s="234" t="s">
        <v>252</v>
      </c>
      <c r="AQ106" s="234">
        <v>56660</v>
      </c>
      <c r="AR106" s="230"/>
      <c r="AS106" s="230"/>
      <c r="BB106" s="230"/>
      <c r="BC106" s="230"/>
      <c r="BD106" s="230"/>
      <c r="BE106" s="230"/>
      <c r="BF106" s="230"/>
      <c r="BG106" s="230"/>
      <c r="BH106" s="230"/>
      <c r="BI106" s="230"/>
      <c r="BJ106" s="230"/>
      <c r="BK106" s="230"/>
      <c r="BL106" s="230"/>
      <c r="BM106" s="230"/>
      <c r="BN106" s="230"/>
      <c r="BO106" s="230"/>
      <c r="BP106" s="230"/>
      <c r="BQ106" s="230"/>
      <c r="BR106" s="230"/>
      <c r="BS106" s="230"/>
      <c r="BT106" s="230"/>
      <c r="BU106" s="230"/>
      <c r="BV106" s="230"/>
      <c r="BW106" s="230"/>
      <c r="BX106" s="230"/>
      <c r="BY106" s="230"/>
    </row>
    <row r="107" spans="6:77" ht="53.4" thickBot="1" x14ac:dyDescent="0.35">
      <c r="N107" s="233">
        <v>1990</v>
      </c>
      <c r="O107" s="233" t="s">
        <v>254</v>
      </c>
      <c r="P107" s="233" t="s">
        <v>268</v>
      </c>
      <c r="Q107" s="233" t="s">
        <v>269</v>
      </c>
      <c r="R107" s="233" t="s">
        <v>252</v>
      </c>
      <c r="S107" s="233">
        <v>1114</v>
      </c>
      <c r="T107" s="230"/>
      <c r="AD107" s="233">
        <v>2007</v>
      </c>
      <c r="AE107" s="233" t="s">
        <v>251</v>
      </c>
      <c r="AF107" s="233" t="s">
        <v>283</v>
      </c>
      <c r="AG107" s="233" t="s">
        <v>270</v>
      </c>
      <c r="AH107" s="233" t="s">
        <v>252</v>
      </c>
      <c r="AI107" s="233">
        <v>111240</v>
      </c>
      <c r="AJ107" s="230">
        <f>SUM(AI102:AI107)</f>
        <v>1970179</v>
      </c>
      <c r="AL107" s="233">
        <v>1998</v>
      </c>
      <c r="AM107" s="233" t="s">
        <v>254</v>
      </c>
      <c r="AN107" s="233" t="s">
        <v>248</v>
      </c>
      <c r="AO107" s="233" t="s">
        <v>61</v>
      </c>
      <c r="AP107" s="233" t="s">
        <v>252</v>
      </c>
      <c r="AQ107" s="233">
        <v>505660</v>
      </c>
      <c r="AR107" s="230"/>
      <c r="AS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row>
    <row r="108" spans="6:77" ht="40.200000000000003" thickBot="1" x14ac:dyDescent="0.35">
      <c r="N108" s="234">
        <v>1990</v>
      </c>
      <c r="O108" s="234" t="s">
        <v>251</v>
      </c>
      <c r="P108" s="234" t="s">
        <v>268</v>
      </c>
      <c r="Q108" s="234" t="s">
        <v>269</v>
      </c>
      <c r="R108" s="234" t="s">
        <v>252</v>
      </c>
      <c r="S108" s="234">
        <v>450352</v>
      </c>
      <c r="T108" s="230"/>
      <c r="AD108" s="234">
        <v>2006</v>
      </c>
      <c r="AE108" s="234" t="s">
        <v>254</v>
      </c>
      <c r="AF108" s="234" t="s">
        <v>283</v>
      </c>
      <c r="AG108" s="234" t="s">
        <v>291</v>
      </c>
      <c r="AH108" s="234" t="s">
        <v>252</v>
      </c>
      <c r="AI108" s="234">
        <v>100300</v>
      </c>
      <c r="AJ108" s="230"/>
      <c r="AL108" s="234">
        <v>1998</v>
      </c>
      <c r="AM108" s="234" t="s">
        <v>254</v>
      </c>
      <c r="AN108" s="234" t="s">
        <v>248</v>
      </c>
      <c r="AO108" s="234" t="s">
        <v>273</v>
      </c>
      <c r="AP108" s="234" t="s">
        <v>252</v>
      </c>
      <c r="AQ108" s="234">
        <v>242040</v>
      </c>
      <c r="AR108" s="230"/>
      <c r="AS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row>
    <row r="109" spans="6:77" ht="40.200000000000003" thickBot="1" x14ac:dyDescent="0.35">
      <c r="N109" s="233">
        <v>1989</v>
      </c>
      <c r="O109" s="233" t="s">
        <v>251</v>
      </c>
      <c r="P109" s="233" t="s">
        <v>268</v>
      </c>
      <c r="Q109" s="233" t="s">
        <v>269</v>
      </c>
      <c r="R109" s="233" t="s">
        <v>252</v>
      </c>
      <c r="S109" s="233">
        <v>496474</v>
      </c>
      <c r="T109" s="230"/>
      <c r="AD109" s="233">
        <v>2006</v>
      </c>
      <c r="AE109" s="233" t="s">
        <v>254</v>
      </c>
      <c r="AF109" s="233" t="s">
        <v>283</v>
      </c>
      <c r="AG109" s="233" t="s">
        <v>287</v>
      </c>
      <c r="AH109" s="233" t="s">
        <v>252</v>
      </c>
      <c r="AI109" s="233">
        <v>45885</v>
      </c>
      <c r="AJ109" s="230"/>
      <c r="AL109" s="233">
        <v>1998</v>
      </c>
      <c r="AM109" s="233" t="s">
        <v>254</v>
      </c>
      <c r="AN109" s="233" t="s">
        <v>248</v>
      </c>
      <c r="AO109" s="233" t="s">
        <v>62</v>
      </c>
      <c r="AP109" s="233" t="s">
        <v>252</v>
      </c>
      <c r="AQ109" s="233">
        <v>330318</v>
      </c>
      <c r="AR109" s="230"/>
      <c r="AS109" s="230"/>
      <c r="BB109" s="230"/>
      <c r="BC109" s="230"/>
      <c r="BD109" s="230"/>
      <c r="BE109" s="230"/>
      <c r="BF109" s="230"/>
      <c r="BG109" s="230"/>
      <c r="BH109" s="230"/>
      <c r="BI109" s="230"/>
      <c r="BJ109" s="230"/>
      <c r="BK109" s="230"/>
      <c r="BL109" s="230"/>
      <c r="BM109" s="230"/>
      <c r="BN109" s="230"/>
      <c r="BO109" s="230"/>
      <c r="BP109" s="230"/>
      <c r="BQ109" s="230"/>
      <c r="BR109" s="230"/>
      <c r="BS109" s="230"/>
      <c r="BT109" s="230"/>
      <c r="BU109" s="230"/>
      <c r="BV109" s="230"/>
      <c r="BW109" s="230"/>
      <c r="BX109" s="230"/>
      <c r="BY109" s="230"/>
    </row>
    <row r="110" spans="6:77" ht="40.200000000000003" thickBot="1" x14ac:dyDescent="0.35">
      <c r="N110" s="234">
        <v>1989</v>
      </c>
      <c r="O110" s="234" t="s">
        <v>251</v>
      </c>
      <c r="P110" s="234" t="s">
        <v>268</v>
      </c>
      <c r="Q110" s="234" t="s">
        <v>273</v>
      </c>
      <c r="R110" s="234" t="s">
        <v>252</v>
      </c>
      <c r="S110" s="234">
        <v>15576</v>
      </c>
      <c r="T110" s="230"/>
      <c r="AD110" s="234">
        <v>2006</v>
      </c>
      <c r="AE110" s="234" t="s">
        <v>254</v>
      </c>
      <c r="AF110" s="234" t="s">
        <v>283</v>
      </c>
      <c r="AG110" s="234" t="s">
        <v>284</v>
      </c>
      <c r="AH110" s="234" t="s">
        <v>252</v>
      </c>
      <c r="AI110" s="234">
        <v>322847</v>
      </c>
      <c r="AJ110" s="230"/>
      <c r="AL110" s="234">
        <v>1998</v>
      </c>
      <c r="AM110" s="234" t="s">
        <v>251</v>
      </c>
      <c r="AN110" s="234" t="s">
        <v>248</v>
      </c>
      <c r="AO110" s="234" t="s">
        <v>248</v>
      </c>
      <c r="AP110" s="234" t="s">
        <v>252</v>
      </c>
      <c r="AQ110" s="234">
        <v>325874</v>
      </c>
      <c r="AR110" s="230"/>
      <c r="AS110" s="230"/>
      <c r="BB110" s="230"/>
      <c r="BC110" s="230"/>
      <c r="BD110" s="230"/>
      <c r="BE110" s="230"/>
      <c r="BF110" s="230"/>
      <c r="BG110" s="230"/>
      <c r="BH110" s="230"/>
      <c r="BI110" s="230"/>
      <c r="BJ110" s="230"/>
      <c r="BK110" s="230"/>
      <c r="BL110" s="230"/>
      <c r="BM110" s="230"/>
      <c r="BN110" s="230"/>
      <c r="BO110" s="230"/>
      <c r="BP110" s="230"/>
      <c r="BQ110" s="230"/>
      <c r="BR110" s="230"/>
      <c r="BS110" s="230"/>
      <c r="BT110" s="230"/>
      <c r="BU110" s="230"/>
      <c r="BV110" s="230"/>
      <c r="BW110" s="230"/>
      <c r="BX110" s="230"/>
      <c r="BY110" s="230"/>
    </row>
    <row r="111" spans="6:77" ht="40.200000000000003" thickBot="1" x14ac:dyDescent="0.35">
      <c r="N111" s="233">
        <v>1988</v>
      </c>
      <c r="O111" s="233" t="s">
        <v>251</v>
      </c>
      <c r="P111" s="233" t="s">
        <v>268</v>
      </c>
      <c r="Q111" s="233" t="s">
        <v>269</v>
      </c>
      <c r="R111" s="233" t="s">
        <v>252</v>
      </c>
      <c r="S111" s="233">
        <v>557500</v>
      </c>
      <c r="T111" s="230"/>
      <c r="AD111" s="233">
        <v>2006</v>
      </c>
      <c r="AE111" s="233" t="s">
        <v>251</v>
      </c>
      <c r="AF111" s="233" t="s">
        <v>283</v>
      </c>
      <c r="AG111" s="233" t="s">
        <v>273</v>
      </c>
      <c r="AH111" s="233" t="s">
        <v>252</v>
      </c>
      <c r="AI111" s="233">
        <v>36514</v>
      </c>
      <c r="AJ111" s="230"/>
      <c r="AL111" s="233">
        <v>1998</v>
      </c>
      <c r="AM111" s="233" t="s">
        <v>251</v>
      </c>
      <c r="AN111" s="233" t="s">
        <v>248</v>
      </c>
      <c r="AO111" s="233" t="s">
        <v>248</v>
      </c>
      <c r="AP111" s="233" t="s">
        <v>252</v>
      </c>
      <c r="AQ111" s="233">
        <v>364654</v>
      </c>
      <c r="AR111" s="230"/>
      <c r="AS111" s="230"/>
      <c r="BB111" s="230"/>
      <c r="BC111" s="230"/>
      <c r="BD111" s="230"/>
      <c r="BE111" s="230"/>
      <c r="BF111" s="230"/>
      <c r="BG111" s="230"/>
      <c r="BH111" s="230"/>
      <c r="BI111" s="230"/>
      <c r="BJ111" s="230"/>
      <c r="BK111" s="230"/>
      <c r="BL111" s="230"/>
      <c r="BM111" s="230"/>
      <c r="BN111" s="230"/>
      <c r="BO111" s="230"/>
      <c r="BP111" s="230"/>
      <c r="BQ111" s="230"/>
      <c r="BR111" s="230"/>
      <c r="BS111" s="230"/>
      <c r="BT111" s="230"/>
      <c r="BU111" s="230"/>
      <c r="BV111" s="230"/>
      <c r="BW111" s="230"/>
      <c r="BX111" s="230"/>
      <c r="BY111" s="230"/>
    </row>
    <row r="112" spans="6:77" ht="40.200000000000003" thickBot="1" x14ac:dyDescent="0.35">
      <c r="N112" s="234">
        <v>1987</v>
      </c>
      <c r="O112" s="234" t="s">
        <v>251</v>
      </c>
      <c r="P112" s="234" t="s">
        <v>268</v>
      </c>
      <c r="Q112" s="234" t="s">
        <v>276</v>
      </c>
      <c r="R112" s="234" t="s">
        <v>252</v>
      </c>
      <c r="S112" s="234">
        <v>497500</v>
      </c>
      <c r="T112" s="230"/>
      <c r="AD112" s="234">
        <v>2006</v>
      </c>
      <c r="AE112" s="234" t="s">
        <v>251</v>
      </c>
      <c r="AF112" s="234" t="s">
        <v>283</v>
      </c>
      <c r="AG112" s="234" t="s">
        <v>284</v>
      </c>
      <c r="AH112" s="234" t="s">
        <v>252</v>
      </c>
      <c r="AI112" s="234">
        <v>546076</v>
      </c>
      <c r="AJ112" s="230"/>
      <c r="AL112" s="234">
        <v>1998</v>
      </c>
      <c r="AM112" s="234" t="s">
        <v>251</v>
      </c>
      <c r="AN112" s="234" t="s">
        <v>248</v>
      </c>
      <c r="AO112" s="234" t="s">
        <v>292</v>
      </c>
      <c r="AP112" s="234" t="s">
        <v>252</v>
      </c>
      <c r="AQ112" s="234">
        <v>42301</v>
      </c>
      <c r="AR112" s="230"/>
      <c r="AS112" s="230"/>
      <c r="BB112" s="230"/>
      <c r="BC112" s="230"/>
      <c r="BD112" s="230"/>
      <c r="BE112" s="230"/>
      <c r="BF112" s="230"/>
      <c r="BG112" s="230"/>
      <c r="BH112" s="230"/>
      <c r="BI112" s="230"/>
      <c r="BJ112" s="230"/>
      <c r="BK112" s="230"/>
      <c r="BL112" s="230"/>
      <c r="BM112" s="230"/>
      <c r="BN112" s="230"/>
      <c r="BO112" s="230"/>
      <c r="BP112" s="230"/>
      <c r="BQ112" s="230"/>
      <c r="BR112" s="230"/>
      <c r="BS112" s="230"/>
      <c r="BT112" s="230"/>
      <c r="BU112" s="230"/>
      <c r="BV112" s="230"/>
      <c r="BW112" s="230"/>
      <c r="BX112" s="230"/>
      <c r="BY112" s="230"/>
    </row>
    <row r="113" spans="30:77" ht="40.200000000000003" thickBot="1" x14ac:dyDescent="0.35">
      <c r="AD113" s="233">
        <v>2006</v>
      </c>
      <c r="AE113" s="233" t="s">
        <v>251</v>
      </c>
      <c r="AF113" s="233" t="s">
        <v>283</v>
      </c>
      <c r="AG113" s="233" t="s">
        <v>270</v>
      </c>
      <c r="AH113" s="233" t="s">
        <v>252</v>
      </c>
      <c r="AI113" s="233">
        <v>21090</v>
      </c>
      <c r="AJ113" s="230"/>
      <c r="AL113" s="233">
        <v>1998</v>
      </c>
      <c r="AM113" s="233" t="s">
        <v>251</v>
      </c>
      <c r="AN113" s="233" t="s">
        <v>248</v>
      </c>
      <c r="AO113" s="233" t="s">
        <v>53</v>
      </c>
      <c r="AP113" s="233" t="s">
        <v>252</v>
      </c>
      <c r="AQ113" s="233">
        <v>177865</v>
      </c>
      <c r="AR113" s="230"/>
      <c r="AS113" s="230"/>
      <c r="BB113" s="230"/>
      <c r="BC113" s="230"/>
      <c r="BD113" s="230"/>
      <c r="BE113" s="230"/>
      <c r="BF113" s="230"/>
      <c r="BG113" s="230"/>
      <c r="BH113" s="230"/>
      <c r="BI113" s="230"/>
      <c r="BJ113" s="230"/>
      <c r="BK113" s="230"/>
      <c r="BL113" s="230"/>
      <c r="BM113" s="230"/>
      <c r="BN113" s="230"/>
      <c r="BO113" s="230"/>
      <c r="BP113" s="230"/>
      <c r="BQ113" s="230"/>
      <c r="BR113" s="230"/>
      <c r="BS113" s="230"/>
      <c r="BT113" s="230"/>
      <c r="BU113" s="230"/>
      <c r="BV113" s="230"/>
      <c r="BW113" s="230"/>
      <c r="BX113" s="230"/>
      <c r="BY113" s="230"/>
    </row>
    <row r="114" spans="30:77" ht="40.200000000000003" thickBot="1" x14ac:dyDescent="0.35">
      <c r="AD114" s="234">
        <v>2006</v>
      </c>
      <c r="AE114" s="234" t="s">
        <v>251</v>
      </c>
      <c r="AF114" s="234" t="s">
        <v>283</v>
      </c>
      <c r="AG114" s="234" t="s">
        <v>270</v>
      </c>
      <c r="AH114" s="234" t="s">
        <v>252</v>
      </c>
      <c r="AI114" s="234">
        <v>15641</v>
      </c>
      <c r="AJ114" s="230"/>
      <c r="AL114" s="234">
        <v>1998</v>
      </c>
      <c r="AM114" s="234" t="s">
        <v>251</v>
      </c>
      <c r="AN114" s="234" t="s">
        <v>248</v>
      </c>
      <c r="AO114" s="234" t="s">
        <v>279</v>
      </c>
      <c r="AP114" s="234" t="s">
        <v>252</v>
      </c>
      <c r="AQ114" s="234">
        <v>60048</v>
      </c>
      <c r="AR114" s="230"/>
      <c r="AS114" s="230"/>
      <c r="BB114" s="230"/>
      <c r="BC114" s="230"/>
      <c r="BD114" s="230"/>
      <c r="BE114" s="230"/>
      <c r="BF114" s="230"/>
      <c r="BG114" s="230"/>
      <c r="BH114" s="230"/>
      <c r="BI114" s="230"/>
      <c r="BJ114" s="230"/>
      <c r="BK114" s="230"/>
      <c r="BL114" s="230"/>
      <c r="BM114" s="230"/>
      <c r="BN114" s="230"/>
      <c r="BO114" s="230"/>
      <c r="BP114" s="230"/>
      <c r="BQ114" s="230"/>
      <c r="BR114" s="230"/>
      <c r="BS114" s="230"/>
      <c r="BT114" s="230"/>
      <c r="BU114" s="230"/>
      <c r="BV114" s="230"/>
      <c r="BW114" s="230"/>
      <c r="BX114" s="230"/>
      <c r="BY114" s="230"/>
    </row>
    <row r="115" spans="30:77" ht="40.200000000000003" thickBot="1" x14ac:dyDescent="0.35">
      <c r="AD115" s="233">
        <v>2006</v>
      </c>
      <c r="AE115" s="233" t="s">
        <v>251</v>
      </c>
      <c r="AF115" s="233" t="s">
        <v>283</v>
      </c>
      <c r="AG115" s="233" t="s">
        <v>270</v>
      </c>
      <c r="AH115" s="233" t="s">
        <v>252</v>
      </c>
      <c r="AI115" s="233">
        <v>2790</v>
      </c>
      <c r="AJ115" s="230"/>
      <c r="AL115" s="233">
        <v>1997</v>
      </c>
      <c r="AM115" s="233" t="s">
        <v>254</v>
      </c>
      <c r="AN115" s="233" t="s">
        <v>248</v>
      </c>
      <c r="AO115" s="233" t="s">
        <v>53</v>
      </c>
      <c r="AP115" s="233" t="s">
        <v>252</v>
      </c>
      <c r="AQ115" s="233">
        <v>124890</v>
      </c>
      <c r="AR115" s="230"/>
      <c r="AS115" s="230"/>
      <c r="BB115" s="230"/>
      <c r="BC115" s="230"/>
      <c r="BD115" s="230"/>
      <c r="BE115" s="230"/>
      <c r="BF115" s="230"/>
      <c r="BG115" s="230"/>
      <c r="BH115" s="230"/>
      <c r="BI115" s="230"/>
      <c r="BJ115" s="230"/>
      <c r="BK115" s="230"/>
      <c r="BL115" s="230"/>
      <c r="BM115" s="230"/>
      <c r="BN115" s="230"/>
      <c r="BO115" s="230"/>
      <c r="BP115" s="230"/>
      <c r="BQ115" s="230"/>
      <c r="BR115" s="230"/>
      <c r="BS115" s="230"/>
      <c r="BT115" s="230"/>
      <c r="BU115" s="230"/>
      <c r="BV115" s="230"/>
      <c r="BW115" s="230"/>
      <c r="BX115" s="230"/>
      <c r="BY115" s="230"/>
    </row>
    <row r="116" spans="30:77" ht="40.200000000000003" thickBot="1" x14ac:dyDescent="0.35">
      <c r="AD116" s="234">
        <v>2006</v>
      </c>
      <c r="AE116" s="234" t="s">
        <v>251</v>
      </c>
      <c r="AF116" s="234" t="s">
        <v>283</v>
      </c>
      <c r="AG116" s="234" t="s">
        <v>270</v>
      </c>
      <c r="AH116" s="234" t="s">
        <v>252</v>
      </c>
      <c r="AI116" s="234">
        <v>21500</v>
      </c>
      <c r="AJ116" s="230"/>
      <c r="AL116" s="234">
        <v>1997</v>
      </c>
      <c r="AM116" s="234" t="s">
        <v>254</v>
      </c>
      <c r="AN116" s="234" t="s">
        <v>248</v>
      </c>
      <c r="AO116" s="234" t="s">
        <v>270</v>
      </c>
      <c r="AP116" s="234" t="s">
        <v>252</v>
      </c>
      <c r="AQ116" s="234">
        <v>32097</v>
      </c>
      <c r="AR116" s="230"/>
      <c r="AS116" s="230"/>
      <c r="BB116" s="230"/>
      <c r="BC116" s="230"/>
      <c r="BD116" s="230"/>
      <c r="BE116" s="230"/>
      <c r="BF116" s="230"/>
      <c r="BG116" s="230"/>
      <c r="BH116" s="230"/>
      <c r="BI116" s="230"/>
      <c r="BJ116" s="230"/>
      <c r="BK116" s="230"/>
      <c r="BL116" s="230"/>
      <c r="BM116" s="230"/>
      <c r="BN116" s="230"/>
      <c r="BO116" s="230"/>
      <c r="BP116" s="230"/>
      <c r="BQ116" s="230"/>
      <c r="BR116" s="230"/>
      <c r="BS116" s="230"/>
      <c r="BT116" s="230"/>
      <c r="BU116" s="230"/>
      <c r="BV116" s="230"/>
      <c r="BW116" s="230"/>
      <c r="BX116" s="230"/>
      <c r="BY116" s="230"/>
    </row>
    <row r="117" spans="30:77" ht="40.200000000000003" thickBot="1" x14ac:dyDescent="0.35">
      <c r="AD117" s="233">
        <v>2006</v>
      </c>
      <c r="AE117" s="233" t="s">
        <v>251</v>
      </c>
      <c r="AF117" s="233" t="s">
        <v>283</v>
      </c>
      <c r="AG117" s="233" t="s">
        <v>270</v>
      </c>
      <c r="AH117" s="233" t="s">
        <v>252</v>
      </c>
      <c r="AI117" s="233">
        <v>10260</v>
      </c>
      <c r="AJ117" s="230"/>
      <c r="AL117" s="233">
        <v>1997</v>
      </c>
      <c r="AM117" s="233" t="s">
        <v>254</v>
      </c>
      <c r="AN117" s="233" t="s">
        <v>248</v>
      </c>
      <c r="AO117" s="233" t="s">
        <v>299</v>
      </c>
      <c r="AP117" s="233" t="s">
        <v>252</v>
      </c>
      <c r="AQ117" s="233">
        <v>175480</v>
      </c>
      <c r="AR117" s="230"/>
      <c r="AS117" s="230"/>
      <c r="BB117" s="230"/>
      <c r="BC117" s="230"/>
      <c r="BD117" s="230"/>
      <c r="BE117" s="230"/>
      <c r="BF117" s="230"/>
      <c r="BG117" s="230"/>
      <c r="BH117" s="230"/>
      <c r="BI117" s="230"/>
      <c r="BJ117" s="230"/>
      <c r="BK117" s="230"/>
      <c r="BL117" s="230"/>
      <c r="BM117" s="230"/>
      <c r="BN117" s="230"/>
      <c r="BO117" s="230"/>
      <c r="BP117" s="230"/>
      <c r="BQ117" s="230"/>
      <c r="BR117" s="230"/>
      <c r="BS117" s="230"/>
      <c r="BT117" s="230"/>
      <c r="BU117" s="230"/>
      <c r="BV117" s="230"/>
      <c r="BW117" s="230"/>
      <c r="BX117" s="230"/>
      <c r="BY117" s="230"/>
    </row>
    <row r="118" spans="30:77" ht="40.200000000000003" thickBot="1" x14ac:dyDescent="0.35">
      <c r="AD118" s="234">
        <v>2006</v>
      </c>
      <c r="AE118" s="234" t="s">
        <v>251</v>
      </c>
      <c r="AF118" s="234" t="s">
        <v>283</v>
      </c>
      <c r="AG118" s="234" t="s">
        <v>270</v>
      </c>
      <c r="AH118" s="234" t="s">
        <v>252</v>
      </c>
      <c r="AI118" s="234">
        <v>15385</v>
      </c>
      <c r="AJ118" s="230"/>
      <c r="AL118" s="234">
        <v>1997</v>
      </c>
      <c r="AM118" s="234" t="s">
        <v>251</v>
      </c>
      <c r="AN118" s="234" t="s">
        <v>248</v>
      </c>
      <c r="AO118" s="234" t="s">
        <v>248</v>
      </c>
      <c r="AP118" s="234" t="s">
        <v>252</v>
      </c>
      <c r="AQ118" s="234">
        <v>445538</v>
      </c>
      <c r="AR118" s="230"/>
      <c r="AS118" s="230"/>
      <c r="BB118" s="230"/>
      <c r="BC118" s="230"/>
      <c r="BD118" s="230"/>
      <c r="BE118" s="230"/>
      <c r="BF118" s="230"/>
      <c r="BG118" s="230"/>
      <c r="BH118" s="230"/>
      <c r="BI118" s="230"/>
      <c r="BJ118" s="230"/>
      <c r="BK118" s="230"/>
      <c r="BL118" s="230"/>
      <c r="BM118" s="230"/>
      <c r="BN118" s="230"/>
      <c r="BO118" s="230"/>
      <c r="BP118" s="230"/>
      <c r="BQ118" s="230"/>
      <c r="BR118" s="230"/>
      <c r="BS118" s="230"/>
      <c r="BT118" s="230"/>
      <c r="BU118" s="230"/>
      <c r="BV118" s="230"/>
      <c r="BW118" s="230"/>
      <c r="BX118" s="230"/>
      <c r="BY118" s="230"/>
    </row>
    <row r="119" spans="30:77" ht="40.200000000000003" thickBot="1" x14ac:dyDescent="0.35">
      <c r="AD119" s="233">
        <v>2006</v>
      </c>
      <c r="AE119" s="233" t="s">
        <v>251</v>
      </c>
      <c r="AF119" s="233" t="s">
        <v>283</v>
      </c>
      <c r="AG119" s="233" t="s">
        <v>273</v>
      </c>
      <c r="AH119" s="233" t="s">
        <v>252</v>
      </c>
      <c r="AI119" s="233">
        <v>10950</v>
      </c>
      <c r="AJ119" s="230"/>
      <c r="AL119" s="233">
        <v>1997</v>
      </c>
      <c r="AM119" s="233" t="s">
        <v>251</v>
      </c>
      <c r="AN119" s="233" t="s">
        <v>248</v>
      </c>
      <c r="AO119" s="233" t="s">
        <v>292</v>
      </c>
      <c r="AP119" s="233" t="s">
        <v>252</v>
      </c>
      <c r="AQ119" s="233">
        <v>41760</v>
      </c>
      <c r="AR119" s="230"/>
      <c r="AS119" s="230"/>
      <c r="BB119" s="230"/>
      <c r="BC119" s="230"/>
      <c r="BD119" s="230"/>
      <c r="BE119" s="230"/>
      <c r="BF119" s="230"/>
      <c r="BG119" s="230"/>
      <c r="BH119" s="230"/>
      <c r="BI119" s="230"/>
      <c r="BJ119" s="230"/>
      <c r="BK119" s="230"/>
      <c r="BL119" s="230"/>
      <c r="BM119" s="230"/>
      <c r="BN119" s="230"/>
      <c r="BO119" s="230"/>
      <c r="BP119" s="230"/>
      <c r="BQ119" s="230"/>
      <c r="BR119" s="230"/>
      <c r="BS119" s="230"/>
      <c r="BT119" s="230"/>
      <c r="BU119" s="230"/>
      <c r="BV119" s="230"/>
      <c r="BW119" s="230"/>
      <c r="BX119" s="230"/>
      <c r="BY119" s="230"/>
    </row>
    <row r="120" spans="30:77" ht="40.200000000000003" thickBot="1" x14ac:dyDescent="0.35">
      <c r="AD120" s="234">
        <v>2006</v>
      </c>
      <c r="AE120" s="234" t="s">
        <v>251</v>
      </c>
      <c r="AF120" s="234" t="s">
        <v>283</v>
      </c>
      <c r="AG120" s="234" t="s">
        <v>273</v>
      </c>
      <c r="AH120" s="234" t="s">
        <v>252</v>
      </c>
      <c r="AI120" s="234">
        <v>10138</v>
      </c>
      <c r="AJ120" s="230"/>
      <c r="AL120" s="234">
        <v>1997</v>
      </c>
      <c r="AM120" s="234" t="s">
        <v>251</v>
      </c>
      <c r="AN120" s="234" t="s">
        <v>248</v>
      </c>
      <c r="AO120" s="234" t="s">
        <v>62</v>
      </c>
      <c r="AP120" s="234" t="s">
        <v>252</v>
      </c>
      <c r="AQ120" s="234">
        <v>466587</v>
      </c>
      <c r="AR120" s="230"/>
      <c r="AS120" s="230"/>
      <c r="BB120" s="230"/>
      <c r="BC120" s="230"/>
      <c r="BD120" s="230"/>
      <c r="BE120" s="230"/>
      <c r="BF120" s="230"/>
      <c r="BG120" s="230"/>
      <c r="BH120" s="230"/>
      <c r="BI120" s="230"/>
      <c r="BJ120" s="230"/>
      <c r="BK120" s="230"/>
      <c r="BL120" s="230"/>
      <c r="BM120" s="230"/>
      <c r="BN120" s="230"/>
      <c r="BO120" s="230"/>
      <c r="BP120" s="230"/>
      <c r="BQ120" s="230"/>
      <c r="BR120" s="230"/>
      <c r="BS120" s="230"/>
      <c r="BT120" s="230"/>
      <c r="BU120" s="230"/>
      <c r="BV120" s="230"/>
      <c r="BW120" s="230"/>
      <c r="BX120" s="230"/>
      <c r="BY120" s="230"/>
    </row>
    <row r="121" spans="30:77" ht="40.200000000000003" thickBot="1" x14ac:dyDescent="0.35">
      <c r="AD121" s="233">
        <v>2006</v>
      </c>
      <c r="AE121" s="233" t="s">
        <v>251</v>
      </c>
      <c r="AF121" s="233" t="s">
        <v>283</v>
      </c>
      <c r="AG121" s="233" t="s">
        <v>273</v>
      </c>
      <c r="AH121" s="233" t="s">
        <v>252</v>
      </c>
      <c r="AI121" s="233">
        <v>21115</v>
      </c>
      <c r="AJ121" s="230"/>
      <c r="AL121" s="233">
        <v>1997</v>
      </c>
      <c r="AM121" s="233" t="s">
        <v>251</v>
      </c>
      <c r="AN121" s="233" t="s">
        <v>248</v>
      </c>
      <c r="AO121" s="233" t="s">
        <v>53</v>
      </c>
      <c r="AP121" s="233" t="s">
        <v>252</v>
      </c>
      <c r="AQ121" s="233">
        <v>71372</v>
      </c>
      <c r="AR121" s="230"/>
      <c r="AS121" s="230"/>
      <c r="BB121" s="230"/>
      <c r="BC121" s="230"/>
      <c r="BD121" s="230"/>
      <c r="BE121" s="230"/>
      <c r="BF121" s="230"/>
      <c r="BG121" s="230"/>
      <c r="BH121" s="230"/>
      <c r="BI121" s="230"/>
      <c r="BJ121" s="230"/>
      <c r="BK121" s="230"/>
      <c r="BL121" s="230"/>
      <c r="BM121" s="230"/>
      <c r="BN121" s="230"/>
      <c r="BO121" s="230"/>
      <c r="BP121" s="230"/>
      <c r="BQ121" s="230"/>
      <c r="BR121" s="230"/>
      <c r="BS121" s="230"/>
      <c r="BT121" s="230"/>
      <c r="BU121" s="230"/>
      <c r="BV121" s="230"/>
      <c r="BW121" s="230"/>
      <c r="BX121" s="230"/>
      <c r="BY121" s="230"/>
    </row>
    <row r="122" spans="30:77" ht="40.200000000000003" thickBot="1" x14ac:dyDescent="0.35">
      <c r="AD122" s="234">
        <v>2006</v>
      </c>
      <c r="AE122" s="234" t="s">
        <v>251</v>
      </c>
      <c r="AF122" s="234" t="s">
        <v>283</v>
      </c>
      <c r="AG122" s="234" t="s">
        <v>273</v>
      </c>
      <c r="AH122" s="234" t="s">
        <v>252</v>
      </c>
      <c r="AI122" s="234">
        <v>13528</v>
      </c>
      <c r="AJ122" s="230"/>
      <c r="AL122" s="234">
        <v>1997</v>
      </c>
      <c r="AM122" s="234" t="s">
        <v>251</v>
      </c>
      <c r="AN122" s="234" t="s">
        <v>248</v>
      </c>
      <c r="AO122" s="234" t="s">
        <v>279</v>
      </c>
      <c r="AP122" s="234" t="s">
        <v>252</v>
      </c>
      <c r="AQ122" s="234">
        <v>83577</v>
      </c>
      <c r="AR122" s="230"/>
      <c r="AS122" s="230"/>
      <c r="BB122" s="230"/>
      <c r="BC122" s="230"/>
      <c r="BD122" s="230"/>
      <c r="BE122" s="230"/>
      <c r="BF122" s="230"/>
      <c r="BG122" s="230"/>
      <c r="BH122" s="230"/>
      <c r="BI122" s="230"/>
      <c r="BJ122" s="230"/>
      <c r="BK122" s="230"/>
      <c r="BL122" s="230"/>
      <c r="BM122" s="230"/>
      <c r="BN122" s="230"/>
      <c r="BO122" s="230"/>
      <c r="BP122" s="230"/>
      <c r="BQ122" s="230"/>
      <c r="BR122" s="230"/>
      <c r="BS122" s="230"/>
      <c r="BT122" s="230"/>
      <c r="BU122" s="230"/>
      <c r="BV122" s="230"/>
      <c r="BW122" s="230"/>
      <c r="BX122" s="230"/>
      <c r="BY122" s="230"/>
    </row>
    <row r="123" spans="30:77" ht="40.200000000000003" thickBot="1" x14ac:dyDescent="0.35">
      <c r="AD123" s="233">
        <v>2006</v>
      </c>
      <c r="AE123" s="233" t="s">
        <v>251</v>
      </c>
      <c r="AF123" s="233" t="s">
        <v>283</v>
      </c>
      <c r="AG123" s="233" t="s">
        <v>273</v>
      </c>
      <c r="AH123" s="233" t="s">
        <v>252</v>
      </c>
      <c r="AI123" s="233">
        <v>15183</v>
      </c>
      <c r="AJ123" s="230"/>
      <c r="AL123" s="233">
        <v>1997</v>
      </c>
      <c r="AM123" s="233" t="s">
        <v>251</v>
      </c>
      <c r="AN123" s="233" t="s">
        <v>248</v>
      </c>
      <c r="AO123" s="233" t="s">
        <v>270</v>
      </c>
      <c r="AP123" s="233" t="s">
        <v>252</v>
      </c>
      <c r="AQ123" s="233">
        <v>63867</v>
      </c>
      <c r="AR123" s="230"/>
      <c r="AS123" s="230"/>
      <c r="BB123" s="230"/>
      <c r="BC123" s="230"/>
      <c r="BD123" s="230"/>
      <c r="BE123" s="230"/>
      <c r="BF123" s="230"/>
      <c r="BG123" s="230"/>
      <c r="BH123" s="230"/>
      <c r="BI123" s="230"/>
      <c r="BJ123" s="230"/>
      <c r="BK123" s="230"/>
      <c r="BL123" s="230"/>
      <c r="BM123" s="230"/>
      <c r="BN123" s="230"/>
      <c r="BO123" s="230"/>
      <c r="BP123" s="230"/>
      <c r="BQ123" s="230"/>
      <c r="BR123" s="230"/>
      <c r="BS123" s="230"/>
      <c r="BT123" s="230"/>
      <c r="BU123" s="230"/>
      <c r="BV123" s="230"/>
      <c r="BW123" s="230"/>
      <c r="BX123" s="230"/>
      <c r="BY123" s="230"/>
    </row>
    <row r="124" spans="30:77" ht="40.200000000000003" thickBot="1" x14ac:dyDescent="0.35">
      <c r="AD124" s="234">
        <v>2006</v>
      </c>
      <c r="AE124" s="234" t="s">
        <v>251</v>
      </c>
      <c r="AF124" s="234" t="s">
        <v>283</v>
      </c>
      <c r="AG124" s="234" t="s">
        <v>273</v>
      </c>
      <c r="AH124" s="234" t="s">
        <v>252</v>
      </c>
      <c r="AI124" s="234">
        <v>19255</v>
      </c>
      <c r="AJ124" s="230"/>
      <c r="AL124" s="234">
        <v>1996</v>
      </c>
      <c r="AM124" s="234" t="s">
        <v>254</v>
      </c>
      <c r="AN124" s="234" t="s">
        <v>248</v>
      </c>
      <c r="AO124" s="234" t="s">
        <v>279</v>
      </c>
      <c r="AP124" s="234" t="s">
        <v>252</v>
      </c>
      <c r="AQ124" s="234">
        <v>62064</v>
      </c>
      <c r="AR124" s="230"/>
      <c r="AS124" s="230"/>
      <c r="BB124" s="230"/>
      <c r="BC124" s="230"/>
      <c r="BD124" s="230"/>
      <c r="BE124" s="230"/>
      <c r="BF124" s="230"/>
      <c r="BG124" s="230"/>
      <c r="BH124" s="230"/>
      <c r="BI124" s="230"/>
      <c r="BJ124" s="230"/>
      <c r="BK124" s="230"/>
      <c r="BL124" s="230"/>
      <c r="BM124" s="230"/>
      <c r="BN124" s="230"/>
      <c r="BO124" s="230"/>
      <c r="BP124" s="230"/>
      <c r="BQ124" s="230"/>
      <c r="BR124" s="230"/>
      <c r="BS124" s="230"/>
      <c r="BT124" s="230"/>
      <c r="BU124" s="230"/>
      <c r="BV124" s="230"/>
      <c r="BW124" s="230"/>
      <c r="BX124" s="230"/>
      <c r="BY124" s="230"/>
    </row>
    <row r="125" spans="30:77" ht="40.200000000000003" thickBot="1" x14ac:dyDescent="0.35">
      <c r="AD125" s="233">
        <v>2006</v>
      </c>
      <c r="AE125" s="233" t="s">
        <v>251</v>
      </c>
      <c r="AF125" s="233" t="s">
        <v>283</v>
      </c>
      <c r="AG125" s="233" t="s">
        <v>273</v>
      </c>
      <c r="AH125" s="233" t="s">
        <v>252</v>
      </c>
      <c r="AI125" s="233">
        <v>14355</v>
      </c>
      <c r="AJ125" s="230"/>
      <c r="AL125" s="233">
        <v>1996</v>
      </c>
      <c r="AM125" s="233" t="s">
        <v>254</v>
      </c>
      <c r="AN125" s="233" t="s">
        <v>248</v>
      </c>
      <c r="AO125" s="233" t="s">
        <v>270</v>
      </c>
      <c r="AP125" s="233" t="s">
        <v>252</v>
      </c>
      <c r="AQ125" s="233">
        <v>36992</v>
      </c>
      <c r="AR125" s="230"/>
      <c r="AS125" s="230"/>
      <c r="BB125" s="230"/>
      <c r="BC125" s="230"/>
      <c r="BD125" s="230"/>
      <c r="BE125" s="230"/>
      <c r="BF125" s="230"/>
      <c r="BG125" s="230"/>
      <c r="BH125" s="230"/>
      <c r="BI125" s="230"/>
      <c r="BJ125" s="230"/>
      <c r="BK125" s="230"/>
      <c r="BL125" s="230"/>
      <c r="BM125" s="230"/>
      <c r="BN125" s="230"/>
      <c r="BO125" s="230"/>
      <c r="BP125" s="230"/>
      <c r="BQ125" s="230"/>
      <c r="BR125" s="230"/>
      <c r="BS125" s="230"/>
      <c r="BT125" s="230"/>
      <c r="BU125" s="230"/>
      <c r="BV125" s="230"/>
      <c r="BW125" s="230"/>
      <c r="BX125" s="230"/>
      <c r="BY125" s="230"/>
    </row>
    <row r="126" spans="30:77" ht="40.200000000000003" thickBot="1" x14ac:dyDescent="0.35">
      <c r="AD126" s="234">
        <v>2006</v>
      </c>
      <c r="AE126" s="234" t="s">
        <v>251</v>
      </c>
      <c r="AF126" s="234" t="s">
        <v>283</v>
      </c>
      <c r="AG126" s="234" t="s">
        <v>273</v>
      </c>
      <c r="AH126" s="234" t="s">
        <v>252</v>
      </c>
      <c r="AI126" s="234">
        <v>3500</v>
      </c>
      <c r="AJ126" s="230"/>
      <c r="AL126" s="234">
        <v>1996</v>
      </c>
      <c r="AM126" s="234" t="s">
        <v>254</v>
      </c>
      <c r="AN126" s="234" t="s">
        <v>248</v>
      </c>
      <c r="AO126" s="234" t="s">
        <v>289</v>
      </c>
      <c r="AP126" s="234" t="s">
        <v>252</v>
      </c>
      <c r="AQ126" s="234">
        <v>329951</v>
      </c>
      <c r="AR126" s="230"/>
      <c r="AS126" s="230"/>
      <c r="BB126" s="230"/>
      <c r="BC126" s="230"/>
      <c r="BD126" s="230"/>
      <c r="BE126" s="230"/>
      <c r="BF126" s="230"/>
      <c r="BG126" s="230"/>
      <c r="BH126" s="230"/>
      <c r="BI126" s="230"/>
      <c r="BJ126" s="230"/>
      <c r="BK126" s="230"/>
      <c r="BL126" s="230"/>
      <c r="BM126" s="230"/>
      <c r="BN126" s="230"/>
      <c r="BO126" s="230"/>
      <c r="BP126" s="230"/>
      <c r="BQ126" s="230"/>
      <c r="BR126" s="230"/>
      <c r="BS126" s="230"/>
      <c r="BT126" s="230"/>
      <c r="BU126" s="230"/>
      <c r="BV126" s="230"/>
      <c r="BW126" s="230"/>
      <c r="BX126" s="230"/>
      <c r="BY126" s="230"/>
    </row>
    <row r="127" spans="30:77" ht="40.200000000000003" thickBot="1" x14ac:dyDescent="0.35">
      <c r="AD127" s="233">
        <v>2006</v>
      </c>
      <c r="AE127" s="233" t="s">
        <v>251</v>
      </c>
      <c r="AF127" s="233" t="s">
        <v>283</v>
      </c>
      <c r="AG127" s="233" t="s">
        <v>273</v>
      </c>
      <c r="AH127" s="233" t="s">
        <v>252</v>
      </c>
      <c r="AI127" s="233">
        <v>20087</v>
      </c>
      <c r="AJ127" s="230"/>
      <c r="AL127" s="233">
        <v>1996</v>
      </c>
      <c r="AM127" s="233" t="s">
        <v>254</v>
      </c>
      <c r="AN127" s="233" t="s">
        <v>248</v>
      </c>
      <c r="AO127" s="233" t="s">
        <v>61</v>
      </c>
      <c r="AP127" s="233" t="s">
        <v>252</v>
      </c>
      <c r="AQ127" s="233">
        <v>585870</v>
      </c>
      <c r="AR127" s="230"/>
      <c r="AS127" s="230"/>
      <c r="BB127" s="230"/>
      <c r="BC127" s="230"/>
      <c r="BD127" s="230"/>
      <c r="BE127" s="230"/>
      <c r="BF127" s="230"/>
      <c r="BG127" s="230"/>
      <c r="BH127" s="230"/>
      <c r="BI127" s="230"/>
      <c r="BJ127" s="230"/>
      <c r="BK127" s="230"/>
      <c r="BL127" s="230"/>
      <c r="BM127" s="230"/>
      <c r="BN127" s="230"/>
      <c r="BO127" s="230"/>
      <c r="BP127" s="230"/>
      <c r="BQ127" s="230"/>
      <c r="BR127" s="230"/>
      <c r="BS127" s="230"/>
      <c r="BT127" s="230"/>
      <c r="BU127" s="230"/>
      <c r="BV127" s="230"/>
      <c r="BW127" s="230"/>
      <c r="BX127" s="230"/>
      <c r="BY127" s="230"/>
    </row>
    <row r="128" spans="30:77" ht="40.200000000000003" thickBot="1" x14ac:dyDescent="0.35">
      <c r="AD128" s="234">
        <v>2006</v>
      </c>
      <c r="AE128" s="234" t="s">
        <v>251</v>
      </c>
      <c r="AF128" s="234" t="s">
        <v>283</v>
      </c>
      <c r="AG128" s="234" t="s">
        <v>273</v>
      </c>
      <c r="AH128" s="234" t="s">
        <v>252</v>
      </c>
      <c r="AI128" s="234">
        <v>5885</v>
      </c>
      <c r="AJ128" s="230"/>
      <c r="AL128" s="234">
        <v>1996</v>
      </c>
      <c r="AM128" s="234" t="s">
        <v>251</v>
      </c>
      <c r="AN128" s="234" t="s">
        <v>248</v>
      </c>
      <c r="AO128" s="234" t="s">
        <v>248</v>
      </c>
      <c r="AP128" s="234" t="s">
        <v>252</v>
      </c>
      <c r="AQ128" s="234">
        <v>203991</v>
      </c>
      <c r="AR128" s="230"/>
      <c r="AS128" s="230"/>
      <c r="BB128" s="230"/>
      <c r="BC128" s="230"/>
      <c r="BD128" s="230"/>
      <c r="BE128" s="230"/>
      <c r="BF128" s="230"/>
      <c r="BG128" s="230"/>
      <c r="BH128" s="230"/>
      <c r="BI128" s="230"/>
      <c r="BJ128" s="230"/>
      <c r="BK128" s="230"/>
      <c r="BL128" s="230"/>
      <c r="BM128" s="230"/>
      <c r="BN128" s="230"/>
      <c r="BO128" s="230"/>
      <c r="BP128" s="230"/>
      <c r="BQ128" s="230"/>
      <c r="BR128" s="230"/>
      <c r="BS128" s="230"/>
      <c r="BT128" s="230"/>
      <c r="BU128" s="230"/>
      <c r="BV128" s="230"/>
      <c r="BW128" s="230"/>
      <c r="BX128" s="230"/>
      <c r="BY128" s="230"/>
    </row>
    <row r="129" spans="30:77" ht="40.200000000000003" thickBot="1" x14ac:dyDescent="0.35">
      <c r="AD129" s="233">
        <v>2006</v>
      </c>
      <c r="AE129" s="233" t="s">
        <v>251</v>
      </c>
      <c r="AF129" s="233" t="s">
        <v>283</v>
      </c>
      <c r="AG129" s="233" t="s">
        <v>273</v>
      </c>
      <c r="AH129" s="233" t="s">
        <v>252</v>
      </c>
      <c r="AI129" s="233">
        <v>19467</v>
      </c>
      <c r="AJ129" s="230"/>
      <c r="AL129" s="233">
        <v>1996</v>
      </c>
      <c r="AM129" s="233" t="s">
        <v>251</v>
      </c>
      <c r="AN129" s="233" t="s">
        <v>248</v>
      </c>
      <c r="AO129" s="233" t="s">
        <v>53</v>
      </c>
      <c r="AP129" s="233" t="s">
        <v>252</v>
      </c>
      <c r="AQ129" s="233">
        <v>77669</v>
      </c>
      <c r="AR129" s="230"/>
      <c r="AS129" s="230"/>
      <c r="BB129" s="230"/>
      <c r="BC129" s="230"/>
      <c r="BD129" s="230"/>
      <c r="BE129" s="230"/>
      <c r="BF129" s="230"/>
      <c r="BG129" s="230"/>
      <c r="BH129" s="230"/>
      <c r="BI129" s="230"/>
      <c r="BJ129" s="230"/>
      <c r="BK129" s="230"/>
      <c r="BL129" s="230"/>
      <c r="BM129" s="230"/>
      <c r="BN129" s="230"/>
      <c r="BO129" s="230"/>
      <c r="BP129" s="230"/>
      <c r="BQ129" s="230"/>
      <c r="BR129" s="230"/>
      <c r="BS129" s="230"/>
      <c r="BT129" s="230"/>
      <c r="BU129" s="230"/>
      <c r="BV129" s="230"/>
      <c r="BW129" s="230"/>
      <c r="BX129" s="230"/>
      <c r="BY129" s="230"/>
    </row>
    <row r="130" spans="30:77" ht="40.200000000000003" thickBot="1" x14ac:dyDescent="0.35">
      <c r="AD130" s="234">
        <v>2006</v>
      </c>
      <c r="AE130" s="234" t="s">
        <v>251</v>
      </c>
      <c r="AF130" s="234" t="s">
        <v>283</v>
      </c>
      <c r="AG130" s="234" t="s">
        <v>273</v>
      </c>
      <c r="AH130" s="234" t="s">
        <v>252</v>
      </c>
      <c r="AI130" s="234">
        <v>18490</v>
      </c>
      <c r="AJ130" s="230"/>
      <c r="AL130" s="234">
        <v>1996</v>
      </c>
      <c r="AM130" s="234" t="s">
        <v>251</v>
      </c>
      <c r="AN130" s="234" t="s">
        <v>248</v>
      </c>
      <c r="AO130" s="234" t="s">
        <v>62</v>
      </c>
      <c r="AP130" s="234" t="s">
        <v>252</v>
      </c>
      <c r="AQ130" s="234">
        <v>388246</v>
      </c>
      <c r="AR130" s="230"/>
      <c r="AS130" s="230"/>
      <c r="BB130" s="230"/>
      <c r="BC130" s="230"/>
      <c r="BD130" s="230"/>
      <c r="BE130" s="230"/>
      <c r="BF130" s="230"/>
      <c r="BG130" s="230"/>
      <c r="BH130" s="230"/>
      <c r="BI130" s="230"/>
      <c r="BJ130" s="230"/>
      <c r="BK130" s="230"/>
      <c r="BL130" s="230"/>
      <c r="BM130" s="230"/>
      <c r="BN130" s="230"/>
      <c r="BO130" s="230"/>
      <c r="BP130" s="230"/>
      <c r="BQ130" s="230"/>
      <c r="BR130" s="230"/>
      <c r="BS130" s="230"/>
      <c r="BT130" s="230"/>
      <c r="BU130" s="230"/>
      <c r="BV130" s="230"/>
      <c r="BW130" s="230"/>
      <c r="BX130" s="230"/>
      <c r="BY130" s="230"/>
    </row>
    <row r="131" spans="30:77" ht="40.200000000000003" thickBot="1" x14ac:dyDescent="0.35">
      <c r="AD131" s="233">
        <v>2006</v>
      </c>
      <c r="AE131" s="233" t="s">
        <v>251</v>
      </c>
      <c r="AF131" s="233" t="s">
        <v>283</v>
      </c>
      <c r="AG131" s="233" t="s">
        <v>273</v>
      </c>
      <c r="AH131" s="233" t="s">
        <v>252</v>
      </c>
      <c r="AI131" s="233">
        <v>18025</v>
      </c>
      <c r="AJ131" s="230"/>
      <c r="AL131" s="233">
        <v>1996</v>
      </c>
      <c r="AM131" s="233" t="s">
        <v>251</v>
      </c>
      <c r="AN131" s="233" t="s">
        <v>248</v>
      </c>
      <c r="AO131" s="233" t="s">
        <v>270</v>
      </c>
      <c r="AP131" s="233" t="s">
        <v>252</v>
      </c>
      <c r="AQ131" s="233">
        <v>69324</v>
      </c>
      <c r="AR131" s="230"/>
      <c r="AS131" s="230"/>
      <c r="BB131" s="230"/>
      <c r="BC131" s="230"/>
      <c r="BD131" s="230"/>
      <c r="BE131" s="230"/>
      <c r="BF131" s="230"/>
      <c r="BG131" s="230"/>
      <c r="BH131" s="230"/>
      <c r="BI131" s="230"/>
      <c r="BJ131" s="230"/>
      <c r="BK131" s="230"/>
      <c r="BL131" s="230"/>
      <c r="BM131" s="230"/>
      <c r="BN131" s="230"/>
      <c r="BO131" s="230"/>
      <c r="BP131" s="230"/>
      <c r="BQ131" s="230"/>
      <c r="BR131" s="230"/>
      <c r="BS131" s="230"/>
      <c r="BT131" s="230"/>
      <c r="BU131" s="230"/>
      <c r="BV131" s="230"/>
      <c r="BW131" s="230"/>
      <c r="BX131" s="230"/>
      <c r="BY131" s="230"/>
    </row>
    <row r="132" spans="30:77" ht="40.200000000000003" thickBot="1" x14ac:dyDescent="0.35">
      <c r="AD132" s="234">
        <v>2006</v>
      </c>
      <c r="AE132" s="234" t="s">
        <v>251</v>
      </c>
      <c r="AF132" s="234" t="s">
        <v>283</v>
      </c>
      <c r="AG132" s="234" t="s">
        <v>284</v>
      </c>
      <c r="AH132" s="234" t="s">
        <v>252</v>
      </c>
      <c r="AI132" s="234">
        <v>242316</v>
      </c>
      <c r="AJ132" s="230"/>
      <c r="AL132" s="234">
        <v>1995</v>
      </c>
      <c r="AM132" s="234" t="s">
        <v>254</v>
      </c>
      <c r="AN132" s="234" t="s">
        <v>248</v>
      </c>
      <c r="AO132" s="234" t="s">
        <v>300</v>
      </c>
      <c r="AP132" s="234" t="s">
        <v>252</v>
      </c>
      <c r="AQ132" s="234">
        <v>209125</v>
      </c>
      <c r="AR132" s="230"/>
      <c r="AS132" s="230"/>
      <c r="BB132" s="230"/>
      <c r="BC132" s="230"/>
      <c r="BD132" s="230"/>
      <c r="BE132" s="230"/>
      <c r="BF132" s="230"/>
      <c r="BG132" s="230"/>
      <c r="BH132" s="230"/>
      <c r="BI132" s="230"/>
      <c r="BJ132" s="230"/>
      <c r="BK132" s="230"/>
      <c r="BL132" s="230"/>
      <c r="BM132" s="230"/>
      <c r="BN132" s="230"/>
      <c r="BO132" s="230"/>
      <c r="BP132" s="230"/>
      <c r="BQ132" s="230"/>
      <c r="BR132" s="230"/>
      <c r="BS132" s="230"/>
      <c r="BT132" s="230"/>
      <c r="BU132" s="230"/>
      <c r="BV132" s="230"/>
      <c r="BW132" s="230"/>
      <c r="BX132" s="230"/>
      <c r="BY132" s="230"/>
    </row>
    <row r="133" spans="30:77" ht="40.200000000000003" thickBot="1" x14ac:dyDescent="0.35">
      <c r="AD133" s="233">
        <v>2006</v>
      </c>
      <c r="AE133" s="233" t="s">
        <v>251</v>
      </c>
      <c r="AF133" s="233" t="s">
        <v>283</v>
      </c>
      <c r="AG133" s="233" t="s">
        <v>284</v>
      </c>
      <c r="AH133" s="233" t="s">
        <v>252</v>
      </c>
      <c r="AI133" s="233">
        <v>244555</v>
      </c>
      <c r="AJ133" s="230"/>
      <c r="AL133" s="233">
        <v>1995</v>
      </c>
      <c r="AM133" s="233" t="s">
        <v>254</v>
      </c>
      <c r="AN133" s="233" t="s">
        <v>248</v>
      </c>
      <c r="AO133" s="233" t="s">
        <v>61</v>
      </c>
      <c r="AP133" s="233" t="s">
        <v>252</v>
      </c>
      <c r="AQ133" s="233">
        <v>728850</v>
      </c>
      <c r="AR133" s="230"/>
      <c r="AS133" s="230"/>
      <c r="BB133" s="230"/>
      <c r="BC133" s="230"/>
      <c r="BD133" s="230"/>
      <c r="BE133" s="230"/>
      <c r="BF133" s="230"/>
      <c r="BG133" s="230"/>
      <c r="BH133" s="230"/>
      <c r="BI133" s="230"/>
      <c r="BJ133" s="230"/>
      <c r="BK133" s="230"/>
      <c r="BL133" s="230"/>
      <c r="BM133" s="230"/>
      <c r="BN133" s="230"/>
      <c r="BO133" s="230"/>
      <c r="BP133" s="230"/>
      <c r="BQ133" s="230"/>
      <c r="BR133" s="230"/>
      <c r="BS133" s="230"/>
      <c r="BT133" s="230"/>
      <c r="BU133" s="230"/>
      <c r="BV133" s="230"/>
      <c r="BW133" s="230"/>
      <c r="BX133" s="230"/>
      <c r="BY133" s="230"/>
    </row>
    <row r="134" spans="30:77" ht="40.200000000000003" thickBot="1" x14ac:dyDescent="0.35">
      <c r="AD134" s="234">
        <v>2006</v>
      </c>
      <c r="AE134" s="234" t="s">
        <v>251</v>
      </c>
      <c r="AF134" s="234" t="s">
        <v>283</v>
      </c>
      <c r="AG134" s="234" t="s">
        <v>284</v>
      </c>
      <c r="AH134" s="234" t="s">
        <v>252</v>
      </c>
      <c r="AI134" s="234">
        <v>244367</v>
      </c>
      <c r="AJ134" s="230"/>
      <c r="AL134" s="234">
        <v>1995</v>
      </c>
      <c r="AM134" s="234" t="s">
        <v>254</v>
      </c>
      <c r="AN134" s="234" t="s">
        <v>248</v>
      </c>
      <c r="AO134" s="234" t="s">
        <v>274</v>
      </c>
      <c r="AP134" s="234" t="s">
        <v>252</v>
      </c>
      <c r="AQ134" s="234">
        <v>497621</v>
      </c>
      <c r="AR134" s="230"/>
      <c r="AS134" s="230"/>
      <c r="BB134" s="230"/>
      <c r="BC134" s="230"/>
      <c r="BD134" s="230"/>
      <c r="BE134" s="230"/>
      <c r="BF134" s="230"/>
      <c r="BG134" s="230"/>
      <c r="BH134" s="230"/>
      <c r="BI134" s="230"/>
      <c r="BJ134" s="230"/>
      <c r="BK134" s="230"/>
      <c r="BL134" s="230"/>
      <c r="BM134" s="230"/>
      <c r="BN134" s="230"/>
      <c r="BO134" s="230"/>
      <c r="BP134" s="230"/>
      <c r="BQ134" s="230"/>
      <c r="BR134" s="230"/>
      <c r="BS134" s="230"/>
      <c r="BT134" s="230"/>
      <c r="BU134" s="230"/>
      <c r="BV134" s="230"/>
      <c r="BW134" s="230"/>
      <c r="BX134" s="230"/>
      <c r="BY134" s="230"/>
    </row>
    <row r="135" spans="30:77" ht="40.200000000000003" thickBot="1" x14ac:dyDescent="0.35">
      <c r="AD135" s="233">
        <v>2006</v>
      </c>
      <c r="AE135" s="233" t="s">
        <v>251</v>
      </c>
      <c r="AF135" s="233" t="s">
        <v>283</v>
      </c>
      <c r="AG135" s="233" t="s">
        <v>290</v>
      </c>
      <c r="AH135" s="233" t="s">
        <v>252</v>
      </c>
      <c r="AI135" s="233">
        <v>7168</v>
      </c>
      <c r="AJ135" s="230"/>
      <c r="AL135" s="233">
        <v>1995</v>
      </c>
      <c r="AM135" s="233" t="s">
        <v>254</v>
      </c>
      <c r="AN135" s="233" t="s">
        <v>248</v>
      </c>
      <c r="AO135" s="233" t="s">
        <v>279</v>
      </c>
      <c r="AP135" s="233" t="s">
        <v>252</v>
      </c>
      <c r="AQ135" s="233">
        <v>93870</v>
      </c>
      <c r="AR135" s="230"/>
      <c r="AS135" s="230"/>
      <c r="BB135" s="230"/>
      <c r="BC135" s="230"/>
      <c r="BD135" s="230"/>
      <c r="BE135" s="230"/>
      <c r="BF135" s="230"/>
      <c r="BG135" s="230"/>
      <c r="BH135" s="230"/>
      <c r="BI135" s="230"/>
      <c r="BJ135" s="230"/>
      <c r="BK135" s="230"/>
      <c r="BL135" s="230"/>
      <c r="BM135" s="230"/>
      <c r="BN135" s="230"/>
      <c r="BO135" s="230"/>
      <c r="BP135" s="230"/>
      <c r="BQ135" s="230"/>
      <c r="BR135" s="230"/>
      <c r="BS135" s="230"/>
      <c r="BT135" s="230"/>
      <c r="BU135" s="230"/>
      <c r="BV135" s="230"/>
      <c r="BW135" s="230"/>
      <c r="BX135" s="230"/>
      <c r="BY135" s="230"/>
    </row>
    <row r="136" spans="30:77" ht="40.200000000000003" thickBot="1" x14ac:dyDescent="0.35">
      <c r="AD136" s="234">
        <v>2006</v>
      </c>
      <c r="AE136" s="234" t="s">
        <v>251</v>
      </c>
      <c r="AF136" s="234" t="s">
        <v>283</v>
      </c>
      <c r="AG136" s="234" t="s">
        <v>290</v>
      </c>
      <c r="AH136" s="234" t="s">
        <v>252</v>
      </c>
      <c r="AI136" s="234">
        <v>12353</v>
      </c>
      <c r="AJ136" s="230"/>
      <c r="AL136" s="234">
        <v>1995</v>
      </c>
      <c r="AM136" s="234" t="s">
        <v>254</v>
      </c>
      <c r="AN136" s="234" t="s">
        <v>248</v>
      </c>
      <c r="AO136" s="234" t="s">
        <v>270</v>
      </c>
      <c r="AP136" s="234" t="s">
        <v>252</v>
      </c>
      <c r="AQ136" s="234">
        <v>35262</v>
      </c>
      <c r="AR136" s="230"/>
      <c r="AS136" s="230"/>
      <c r="BB136" s="230"/>
      <c r="BC136" s="230"/>
      <c r="BD136" s="230"/>
      <c r="BE136" s="230"/>
      <c r="BF136" s="230"/>
      <c r="BG136" s="230"/>
      <c r="BH136" s="230"/>
      <c r="BI136" s="230"/>
      <c r="BJ136" s="230"/>
      <c r="BK136" s="230"/>
      <c r="BL136" s="230"/>
      <c r="BM136" s="230"/>
      <c r="BN136" s="230"/>
      <c r="BO136" s="230"/>
      <c r="BP136" s="230"/>
      <c r="BQ136" s="230"/>
      <c r="BR136" s="230"/>
      <c r="BS136" s="230"/>
      <c r="BT136" s="230"/>
      <c r="BU136" s="230"/>
      <c r="BV136" s="230"/>
      <c r="BW136" s="230"/>
      <c r="BX136" s="230"/>
      <c r="BY136" s="230"/>
    </row>
    <row r="137" spans="30:77" ht="40.200000000000003" thickBot="1" x14ac:dyDescent="0.35">
      <c r="AD137" s="233">
        <v>2006</v>
      </c>
      <c r="AE137" s="233" t="s">
        <v>251</v>
      </c>
      <c r="AF137" s="233" t="s">
        <v>283</v>
      </c>
      <c r="AG137" s="233" t="s">
        <v>290</v>
      </c>
      <c r="AH137" s="233" t="s">
        <v>252</v>
      </c>
      <c r="AI137" s="233">
        <v>20467</v>
      </c>
      <c r="AJ137" s="230"/>
      <c r="AL137" s="233">
        <v>1995</v>
      </c>
      <c r="AM137" s="233" t="s">
        <v>251</v>
      </c>
      <c r="AN137" s="233" t="s">
        <v>248</v>
      </c>
      <c r="AO137" s="233" t="s">
        <v>279</v>
      </c>
      <c r="AP137" s="233" t="s">
        <v>252</v>
      </c>
      <c r="AQ137" s="233">
        <v>124065</v>
      </c>
      <c r="AR137" s="230"/>
      <c r="AS137" s="230"/>
      <c r="BB137" s="230"/>
      <c r="BC137" s="230"/>
      <c r="BD137" s="230"/>
      <c r="BE137" s="230"/>
      <c r="BF137" s="230"/>
      <c r="BG137" s="230"/>
      <c r="BH137" s="230"/>
      <c r="BI137" s="230"/>
      <c r="BJ137" s="230"/>
      <c r="BK137" s="230"/>
      <c r="BL137" s="230"/>
      <c r="BM137" s="230"/>
      <c r="BN137" s="230"/>
      <c r="BO137" s="230"/>
      <c r="BP137" s="230"/>
      <c r="BQ137" s="230"/>
      <c r="BR137" s="230"/>
      <c r="BS137" s="230"/>
      <c r="BT137" s="230"/>
      <c r="BU137" s="230"/>
      <c r="BV137" s="230"/>
      <c r="BW137" s="230"/>
      <c r="BX137" s="230"/>
      <c r="BY137" s="230"/>
    </row>
    <row r="138" spans="30:77" ht="40.200000000000003" thickBot="1" x14ac:dyDescent="0.35">
      <c r="AD138" s="234">
        <v>2006</v>
      </c>
      <c r="AE138" s="234" t="s">
        <v>251</v>
      </c>
      <c r="AF138" s="234" t="s">
        <v>283</v>
      </c>
      <c r="AG138" s="234" t="s">
        <v>290</v>
      </c>
      <c r="AH138" s="234" t="s">
        <v>252</v>
      </c>
      <c r="AI138" s="234">
        <v>15520</v>
      </c>
      <c r="AJ138" s="230"/>
      <c r="AL138" s="234">
        <v>1995</v>
      </c>
      <c r="AM138" s="234" t="s">
        <v>251</v>
      </c>
      <c r="AN138" s="234" t="s">
        <v>248</v>
      </c>
      <c r="AO138" s="234" t="s">
        <v>248</v>
      </c>
      <c r="AP138" s="234" t="s">
        <v>252</v>
      </c>
      <c r="AQ138" s="234">
        <v>480183</v>
      </c>
      <c r="AR138" s="230"/>
      <c r="AS138" s="230"/>
      <c r="BB138" s="230"/>
      <c r="BC138" s="230"/>
      <c r="BD138" s="230"/>
      <c r="BE138" s="230"/>
      <c r="BF138" s="230"/>
      <c r="BG138" s="230"/>
      <c r="BH138" s="230"/>
      <c r="BI138" s="230"/>
      <c r="BJ138" s="230"/>
      <c r="BK138" s="230"/>
      <c r="BL138" s="230"/>
      <c r="BM138" s="230"/>
      <c r="BN138" s="230"/>
      <c r="BO138" s="230"/>
      <c r="BP138" s="230"/>
      <c r="BQ138" s="230"/>
      <c r="BR138" s="230"/>
      <c r="BS138" s="230"/>
      <c r="BT138" s="230"/>
      <c r="BU138" s="230"/>
      <c r="BV138" s="230"/>
      <c r="BW138" s="230"/>
      <c r="BX138" s="230"/>
      <c r="BY138" s="230"/>
    </row>
    <row r="139" spans="30:77" ht="40.200000000000003" thickBot="1" x14ac:dyDescent="0.35">
      <c r="AD139" s="233">
        <v>2006</v>
      </c>
      <c r="AE139" s="233" t="s">
        <v>251</v>
      </c>
      <c r="AF139" s="233" t="s">
        <v>283</v>
      </c>
      <c r="AG139" s="233" t="s">
        <v>290</v>
      </c>
      <c r="AH139" s="233" t="s">
        <v>252</v>
      </c>
      <c r="AI139" s="233">
        <v>11727</v>
      </c>
      <c r="AJ139" s="230"/>
      <c r="AL139" s="233">
        <v>1995</v>
      </c>
      <c r="AM139" s="233" t="s">
        <v>251</v>
      </c>
      <c r="AN139" s="233" t="s">
        <v>248</v>
      </c>
      <c r="AO139" s="233" t="s">
        <v>248</v>
      </c>
      <c r="AP139" s="233" t="s">
        <v>252</v>
      </c>
      <c r="AQ139" s="233">
        <v>521052</v>
      </c>
      <c r="AR139" s="230"/>
      <c r="AS139" s="230"/>
      <c r="BB139" s="230"/>
      <c r="BC139" s="230"/>
      <c r="BD139" s="230"/>
      <c r="BE139" s="230"/>
      <c r="BF139" s="230"/>
      <c r="BG139" s="230"/>
      <c r="BH139" s="230"/>
      <c r="BI139" s="230"/>
      <c r="BJ139" s="230"/>
      <c r="BK139" s="230"/>
      <c r="BL139" s="230"/>
      <c r="BM139" s="230"/>
      <c r="BN139" s="230"/>
      <c r="BO139" s="230"/>
      <c r="BP139" s="230"/>
      <c r="BQ139" s="230"/>
      <c r="BR139" s="230"/>
      <c r="BS139" s="230"/>
      <c r="BT139" s="230"/>
      <c r="BU139" s="230"/>
      <c r="BV139" s="230"/>
      <c r="BW139" s="230"/>
      <c r="BX139" s="230"/>
      <c r="BY139" s="230"/>
    </row>
    <row r="140" spans="30:77" ht="40.200000000000003" thickBot="1" x14ac:dyDescent="0.35">
      <c r="AD140" s="234">
        <v>2006</v>
      </c>
      <c r="AE140" s="234" t="s">
        <v>251</v>
      </c>
      <c r="AF140" s="234" t="s">
        <v>283</v>
      </c>
      <c r="AG140" s="234" t="s">
        <v>290</v>
      </c>
      <c r="AH140" s="234" t="s">
        <v>252</v>
      </c>
      <c r="AI140" s="234">
        <v>25096</v>
      </c>
      <c r="AJ140" s="230">
        <f>SUM(AI108:AI140)-AI109</f>
        <v>2105950</v>
      </c>
      <c r="AL140" s="234">
        <v>1995</v>
      </c>
      <c r="AM140" s="234" t="s">
        <v>251</v>
      </c>
      <c r="AN140" s="234" t="s">
        <v>248</v>
      </c>
      <c r="AO140" s="234" t="s">
        <v>279</v>
      </c>
      <c r="AP140" s="234" t="s">
        <v>252</v>
      </c>
      <c r="AQ140" s="234">
        <v>124065</v>
      </c>
      <c r="AR140" s="230"/>
      <c r="AS140" s="230"/>
      <c r="BB140" s="230"/>
      <c r="BC140" s="230"/>
      <c r="BD140" s="230"/>
      <c r="BE140" s="230"/>
      <c r="BF140" s="230"/>
      <c r="BG140" s="230"/>
      <c r="BH140" s="230"/>
      <c r="BI140" s="230"/>
      <c r="BJ140" s="230"/>
      <c r="BK140" s="230"/>
      <c r="BL140" s="230"/>
      <c r="BM140" s="230"/>
      <c r="BN140" s="230"/>
      <c r="BO140" s="230"/>
      <c r="BP140" s="230"/>
      <c r="BQ140" s="230"/>
      <c r="BR140" s="230"/>
      <c r="BS140" s="230"/>
      <c r="BT140" s="230"/>
      <c r="BU140" s="230"/>
      <c r="BV140" s="230"/>
      <c r="BW140" s="230"/>
      <c r="BX140" s="230"/>
      <c r="BY140" s="230"/>
    </row>
    <row r="141" spans="30:77" ht="40.200000000000003" thickBot="1" x14ac:dyDescent="0.35">
      <c r="AD141" s="233">
        <v>2005</v>
      </c>
      <c r="AE141" s="233" t="s">
        <v>254</v>
      </c>
      <c r="AF141" s="233" t="s">
        <v>283</v>
      </c>
      <c r="AG141" s="233" t="s">
        <v>291</v>
      </c>
      <c r="AH141" s="233" t="s">
        <v>252</v>
      </c>
      <c r="AI141" s="233">
        <v>99950</v>
      </c>
      <c r="AJ141" s="230"/>
      <c r="AL141" s="233">
        <v>1995</v>
      </c>
      <c r="AM141" s="233" t="s">
        <v>251</v>
      </c>
      <c r="AN141" s="233" t="s">
        <v>248</v>
      </c>
      <c r="AO141" s="233" t="s">
        <v>270</v>
      </c>
      <c r="AP141" s="233" t="s">
        <v>252</v>
      </c>
      <c r="AQ141" s="233">
        <v>68343</v>
      </c>
      <c r="AR141" s="230"/>
      <c r="AS141" s="230"/>
      <c r="BB141" s="230"/>
      <c r="BC141" s="230"/>
      <c r="BD141" s="230"/>
      <c r="BE141" s="230"/>
      <c r="BF141" s="230"/>
      <c r="BG141" s="230"/>
      <c r="BH141" s="230"/>
      <c r="BI141" s="230"/>
      <c r="BJ141" s="230"/>
      <c r="BK141" s="230"/>
      <c r="BL141" s="230"/>
      <c r="BM141" s="230"/>
      <c r="BN141" s="230"/>
      <c r="BO141" s="230"/>
      <c r="BP141" s="230"/>
      <c r="BQ141" s="230"/>
      <c r="BR141" s="230"/>
      <c r="BS141" s="230"/>
      <c r="BT141" s="230"/>
      <c r="BU141" s="230"/>
      <c r="BV141" s="230"/>
      <c r="BW141" s="230"/>
      <c r="BX141" s="230"/>
      <c r="BY141" s="230"/>
    </row>
    <row r="142" spans="30:77" ht="40.200000000000003" thickBot="1" x14ac:dyDescent="0.35">
      <c r="AD142" s="234">
        <v>2005</v>
      </c>
      <c r="AE142" s="234" t="s">
        <v>254</v>
      </c>
      <c r="AF142" s="234" t="s">
        <v>283</v>
      </c>
      <c r="AG142" s="234" t="s">
        <v>284</v>
      </c>
      <c r="AH142" s="234" t="s">
        <v>252</v>
      </c>
      <c r="AI142" s="234">
        <v>311571</v>
      </c>
      <c r="AJ142" s="230"/>
      <c r="AL142" s="234">
        <v>1994</v>
      </c>
      <c r="AM142" s="234" t="s">
        <v>254</v>
      </c>
      <c r="AN142" s="234" t="s">
        <v>248</v>
      </c>
      <c r="AO142" s="234" t="s">
        <v>61</v>
      </c>
      <c r="AP142" s="234" t="s">
        <v>252</v>
      </c>
      <c r="AQ142" s="234">
        <v>722835</v>
      </c>
      <c r="AR142" s="230"/>
      <c r="AS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row>
    <row r="143" spans="30:77" ht="40.200000000000003" thickBot="1" x14ac:dyDescent="0.35">
      <c r="AD143" s="233">
        <v>2005</v>
      </c>
      <c r="AE143" s="233" t="s">
        <v>254</v>
      </c>
      <c r="AF143" s="233" t="s">
        <v>283</v>
      </c>
      <c r="AG143" s="233" t="s">
        <v>270</v>
      </c>
      <c r="AH143" s="233" t="s">
        <v>252</v>
      </c>
      <c r="AI143" s="233">
        <v>34988</v>
      </c>
      <c r="AJ143" s="230"/>
      <c r="AL143" s="233">
        <v>1994</v>
      </c>
      <c r="AM143" s="233" t="s">
        <v>254</v>
      </c>
      <c r="AN143" s="233" t="s">
        <v>248</v>
      </c>
      <c r="AO143" s="233" t="s">
        <v>300</v>
      </c>
      <c r="AP143" s="233" t="s">
        <v>252</v>
      </c>
      <c r="AQ143" s="233">
        <v>222992</v>
      </c>
      <c r="AR143" s="230"/>
      <c r="AS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row>
    <row r="144" spans="30:77" ht="40.200000000000003" thickBot="1" x14ac:dyDescent="0.35">
      <c r="AD144" s="234">
        <v>2005</v>
      </c>
      <c r="AE144" s="234" t="s">
        <v>251</v>
      </c>
      <c r="AF144" s="234" t="s">
        <v>283</v>
      </c>
      <c r="AG144" s="234" t="s">
        <v>284</v>
      </c>
      <c r="AH144" s="234" t="s">
        <v>252</v>
      </c>
      <c r="AI144" s="234">
        <v>758183</v>
      </c>
      <c r="AJ144" s="230"/>
      <c r="AL144" s="234">
        <v>1994</v>
      </c>
      <c r="AM144" s="234" t="s">
        <v>254</v>
      </c>
      <c r="AN144" s="234" t="s">
        <v>248</v>
      </c>
      <c r="AO144" s="234" t="s">
        <v>270</v>
      </c>
      <c r="AP144" s="234" t="s">
        <v>252</v>
      </c>
      <c r="AQ144" s="234">
        <v>33000</v>
      </c>
      <c r="AR144" s="230"/>
      <c r="AS144" s="230"/>
      <c r="BB144" s="230"/>
      <c r="BC144" s="230"/>
      <c r="BD144" s="230"/>
      <c r="BE144" s="230"/>
      <c r="BF144" s="230"/>
      <c r="BG144" s="230"/>
      <c r="BH144" s="230"/>
      <c r="BI144" s="230"/>
      <c r="BJ144" s="230"/>
      <c r="BK144" s="230"/>
      <c r="BL144" s="230"/>
      <c r="BM144" s="230"/>
      <c r="BN144" s="230"/>
      <c r="BO144" s="230"/>
      <c r="BP144" s="230"/>
      <c r="BQ144" s="230"/>
      <c r="BR144" s="230"/>
      <c r="BS144" s="230"/>
      <c r="BT144" s="230"/>
      <c r="BU144" s="230"/>
      <c r="BV144" s="230"/>
      <c r="BW144" s="230"/>
      <c r="BX144" s="230"/>
      <c r="BY144" s="230"/>
    </row>
    <row r="145" spans="30:77" ht="40.200000000000003" thickBot="1" x14ac:dyDescent="0.35">
      <c r="AD145" s="233">
        <v>2005</v>
      </c>
      <c r="AE145" s="233" t="s">
        <v>251</v>
      </c>
      <c r="AF145" s="233" t="s">
        <v>283</v>
      </c>
      <c r="AG145" s="233" t="s">
        <v>284</v>
      </c>
      <c r="AH145" s="233" t="s">
        <v>252</v>
      </c>
      <c r="AI145" s="233">
        <v>415525</v>
      </c>
      <c r="AJ145" s="230"/>
      <c r="AL145" s="233">
        <v>1994</v>
      </c>
      <c r="AM145" s="233" t="s">
        <v>251</v>
      </c>
      <c r="AN145" s="233" t="s">
        <v>248</v>
      </c>
      <c r="AO145" s="233" t="s">
        <v>248</v>
      </c>
      <c r="AP145" s="233" t="s">
        <v>252</v>
      </c>
      <c r="AQ145" s="233">
        <v>486829</v>
      </c>
      <c r="AR145" s="230"/>
      <c r="AS145" s="230"/>
      <c r="BB145" s="230"/>
      <c r="BC145" s="230"/>
      <c r="BD145" s="230"/>
      <c r="BE145" s="230"/>
      <c r="BF145" s="230"/>
      <c r="BG145" s="230"/>
      <c r="BH145" s="230"/>
      <c r="BI145" s="230"/>
      <c r="BJ145" s="230"/>
      <c r="BK145" s="230"/>
      <c r="BL145" s="230"/>
      <c r="BM145" s="230"/>
      <c r="BN145" s="230"/>
      <c r="BO145" s="230"/>
      <c r="BP145" s="230"/>
      <c r="BQ145" s="230"/>
      <c r="BR145" s="230"/>
      <c r="BS145" s="230"/>
      <c r="BT145" s="230"/>
      <c r="BU145" s="230"/>
      <c r="BV145" s="230"/>
      <c r="BW145" s="230"/>
      <c r="BX145" s="230"/>
      <c r="BY145" s="230"/>
    </row>
    <row r="146" spans="30:77" ht="40.200000000000003" thickBot="1" x14ac:dyDescent="0.35">
      <c r="AD146" s="234">
        <v>2005</v>
      </c>
      <c r="AE146" s="234" t="s">
        <v>251</v>
      </c>
      <c r="AF146" s="234" t="s">
        <v>283</v>
      </c>
      <c r="AG146" s="234" t="s">
        <v>53</v>
      </c>
      <c r="AH146" s="234" t="s">
        <v>252</v>
      </c>
      <c r="AI146" s="234">
        <v>140290</v>
      </c>
      <c r="AJ146" s="230"/>
      <c r="AL146" s="234">
        <v>1994</v>
      </c>
      <c r="AM146" s="234" t="s">
        <v>251</v>
      </c>
      <c r="AN146" s="234" t="s">
        <v>248</v>
      </c>
      <c r="AO146" s="234" t="s">
        <v>248</v>
      </c>
      <c r="AP146" s="234" t="s">
        <v>252</v>
      </c>
      <c r="AQ146" s="234">
        <v>245806</v>
      </c>
      <c r="AR146" s="230"/>
      <c r="AS146" s="230"/>
      <c r="BB146" s="230"/>
      <c r="BC146" s="230"/>
      <c r="BD146" s="230"/>
      <c r="BE146" s="230"/>
      <c r="BF146" s="230"/>
      <c r="BG146" s="230"/>
      <c r="BH146" s="230"/>
      <c r="BI146" s="230"/>
      <c r="BJ146" s="230"/>
      <c r="BK146" s="230"/>
      <c r="BL146" s="230"/>
      <c r="BM146" s="230"/>
      <c r="BN146" s="230"/>
      <c r="BO146" s="230"/>
      <c r="BP146" s="230"/>
      <c r="BQ146" s="230"/>
      <c r="BR146" s="230"/>
      <c r="BS146" s="230"/>
      <c r="BT146" s="230"/>
      <c r="BU146" s="230"/>
      <c r="BV146" s="230"/>
      <c r="BW146" s="230"/>
      <c r="BX146" s="230"/>
      <c r="BY146" s="230"/>
    </row>
    <row r="147" spans="30:77" ht="40.200000000000003" thickBot="1" x14ac:dyDescent="0.35">
      <c r="AD147" s="233">
        <v>2005</v>
      </c>
      <c r="AE147" s="233" t="s">
        <v>251</v>
      </c>
      <c r="AF147" s="233" t="s">
        <v>283</v>
      </c>
      <c r="AG147" s="233" t="s">
        <v>290</v>
      </c>
      <c r="AH147" s="233" t="s">
        <v>252</v>
      </c>
      <c r="AI147" s="233">
        <v>91738</v>
      </c>
      <c r="AJ147" s="230"/>
      <c r="AL147" s="233">
        <v>1994</v>
      </c>
      <c r="AM147" s="233" t="s">
        <v>251</v>
      </c>
      <c r="AN147" s="233" t="s">
        <v>248</v>
      </c>
      <c r="AO147" s="233" t="s">
        <v>279</v>
      </c>
      <c r="AP147" s="233" t="s">
        <v>252</v>
      </c>
      <c r="AQ147" s="233">
        <v>130729</v>
      </c>
      <c r="AR147" s="230"/>
      <c r="AS147" s="230"/>
      <c r="BB147" s="230"/>
      <c r="BC147" s="230"/>
      <c r="BD147" s="230"/>
      <c r="BE147" s="230"/>
      <c r="BF147" s="230"/>
      <c r="BG147" s="230"/>
      <c r="BH147" s="230"/>
      <c r="BI147" s="230"/>
      <c r="BJ147" s="230"/>
      <c r="BK147" s="230"/>
      <c r="BL147" s="230"/>
      <c r="BM147" s="230"/>
      <c r="BN147" s="230"/>
      <c r="BO147" s="230"/>
      <c r="BP147" s="230"/>
      <c r="BQ147" s="230"/>
      <c r="BR147" s="230"/>
      <c r="BS147" s="230"/>
      <c r="BT147" s="230"/>
      <c r="BU147" s="230"/>
      <c r="BV147" s="230"/>
      <c r="BW147" s="230"/>
      <c r="BX147" s="230"/>
      <c r="BY147" s="230"/>
    </row>
    <row r="148" spans="30:77" ht="40.200000000000003" thickBot="1" x14ac:dyDescent="0.35">
      <c r="AD148" s="234">
        <v>2005</v>
      </c>
      <c r="AE148" s="234" t="s">
        <v>251</v>
      </c>
      <c r="AF148" s="234" t="s">
        <v>283</v>
      </c>
      <c r="AG148" s="234" t="s">
        <v>270</v>
      </c>
      <c r="AH148" s="234" t="s">
        <v>252</v>
      </c>
      <c r="AI148" s="234">
        <v>68567</v>
      </c>
      <c r="AJ148" s="230"/>
      <c r="AL148" s="234">
        <v>1994</v>
      </c>
      <c r="AM148" s="234" t="s">
        <v>251</v>
      </c>
      <c r="AN148" s="234" t="s">
        <v>248</v>
      </c>
      <c r="AO148" s="234" t="s">
        <v>270</v>
      </c>
      <c r="AP148" s="234" t="s">
        <v>252</v>
      </c>
      <c r="AQ148" s="234">
        <v>58626</v>
      </c>
      <c r="AR148" s="230"/>
      <c r="AS148" s="230"/>
      <c r="BB148" s="230"/>
      <c r="BC148" s="230"/>
      <c r="BD148" s="230"/>
      <c r="BE148" s="230"/>
      <c r="BF148" s="230"/>
      <c r="BG148" s="230"/>
      <c r="BH148" s="230"/>
      <c r="BI148" s="230"/>
      <c r="BJ148" s="230"/>
      <c r="BK148" s="230"/>
      <c r="BL148" s="230"/>
      <c r="BM148" s="230"/>
      <c r="BN148" s="230"/>
      <c r="BO148" s="230"/>
      <c r="BP148" s="230"/>
      <c r="BQ148" s="230"/>
      <c r="BR148" s="230"/>
      <c r="BS148" s="230"/>
      <c r="BT148" s="230"/>
      <c r="BU148" s="230"/>
      <c r="BV148" s="230"/>
      <c r="BW148" s="230"/>
      <c r="BX148" s="230"/>
      <c r="BY148" s="230"/>
    </row>
    <row r="149" spans="30:77" ht="40.200000000000003" thickBot="1" x14ac:dyDescent="0.35">
      <c r="AD149" s="233">
        <v>2005</v>
      </c>
      <c r="AE149" s="233" t="s">
        <v>251</v>
      </c>
      <c r="AF149" s="233" t="s">
        <v>283</v>
      </c>
      <c r="AG149" s="233" t="s">
        <v>53</v>
      </c>
      <c r="AH149" s="233" t="s">
        <v>252</v>
      </c>
      <c r="AI149" s="233">
        <v>14464</v>
      </c>
      <c r="AJ149" s="230"/>
      <c r="AL149" s="233">
        <v>1993</v>
      </c>
      <c r="AM149" s="233" t="s">
        <v>254</v>
      </c>
      <c r="AN149" s="233" t="s">
        <v>248</v>
      </c>
      <c r="AO149" s="233" t="s">
        <v>270</v>
      </c>
      <c r="AP149" s="233" t="s">
        <v>252</v>
      </c>
      <c r="AQ149" s="233">
        <v>1228880</v>
      </c>
      <c r="AR149" s="230"/>
      <c r="AS149" s="230"/>
      <c r="BB149" s="230"/>
      <c r="BC149" s="230"/>
      <c r="BD149" s="230"/>
      <c r="BE149" s="230"/>
      <c r="BF149" s="230"/>
      <c r="BG149" s="230"/>
      <c r="BH149" s="230"/>
      <c r="BI149" s="230"/>
      <c r="BJ149" s="230"/>
      <c r="BK149" s="230"/>
      <c r="BL149" s="230"/>
      <c r="BM149" s="230"/>
      <c r="BN149" s="230"/>
      <c r="BO149" s="230"/>
      <c r="BP149" s="230"/>
      <c r="BQ149" s="230"/>
      <c r="BR149" s="230"/>
      <c r="BS149" s="230"/>
      <c r="BT149" s="230"/>
      <c r="BU149" s="230"/>
      <c r="BV149" s="230"/>
      <c r="BW149" s="230"/>
      <c r="BX149" s="230"/>
      <c r="BY149" s="230"/>
    </row>
    <row r="150" spans="30:77" ht="40.200000000000003" thickBot="1" x14ac:dyDescent="0.35">
      <c r="AD150" s="234">
        <v>2005</v>
      </c>
      <c r="AE150" s="234" t="s">
        <v>251</v>
      </c>
      <c r="AF150" s="234" t="s">
        <v>283</v>
      </c>
      <c r="AG150" s="234" t="s">
        <v>273</v>
      </c>
      <c r="AH150" s="234" t="s">
        <v>252</v>
      </c>
      <c r="AI150" s="234">
        <v>268140</v>
      </c>
      <c r="AJ150" s="230">
        <f>SUM(AI141:AI150)</f>
        <v>2203416</v>
      </c>
      <c r="AL150" s="234">
        <v>1993</v>
      </c>
      <c r="AM150" s="234" t="s">
        <v>254</v>
      </c>
      <c r="AN150" s="234" t="s">
        <v>248</v>
      </c>
      <c r="AO150" s="234" t="s">
        <v>300</v>
      </c>
      <c r="AP150" s="234" t="s">
        <v>252</v>
      </c>
      <c r="AQ150" s="234">
        <v>187690</v>
      </c>
      <c r="AR150" s="230"/>
      <c r="AS150" s="230"/>
      <c r="BB150" s="230"/>
      <c r="BC150" s="230"/>
      <c r="BD150" s="230"/>
      <c r="BE150" s="230"/>
      <c r="BF150" s="230"/>
      <c r="BG150" s="230"/>
      <c r="BH150" s="230"/>
      <c r="BI150" s="230"/>
      <c r="BJ150" s="230"/>
      <c r="BK150" s="230"/>
      <c r="BL150" s="230"/>
      <c r="BM150" s="230"/>
      <c r="BN150" s="230"/>
      <c r="BO150" s="230"/>
      <c r="BP150" s="230"/>
      <c r="BQ150" s="230"/>
      <c r="BR150" s="230"/>
      <c r="BS150" s="230"/>
      <c r="BT150" s="230"/>
      <c r="BU150" s="230"/>
      <c r="BV150" s="230"/>
      <c r="BW150" s="230"/>
      <c r="BX150" s="230"/>
      <c r="BY150" s="230"/>
    </row>
    <row r="151" spans="30:77" ht="40.200000000000003" thickBot="1" x14ac:dyDescent="0.35">
      <c r="AD151" s="233">
        <v>2004</v>
      </c>
      <c r="AE151" s="233" t="s">
        <v>254</v>
      </c>
      <c r="AF151" s="233" t="s">
        <v>283</v>
      </c>
      <c r="AG151" s="233" t="s">
        <v>287</v>
      </c>
      <c r="AH151" s="233" t="s">
        <v>252</v>
      </c>
      <c r="AI151" s="233">
        <v>51800</v>
      </c>
      <c r="AJ151" s="230"/>
      <c r="AL151" s="233">
        <v>1993</v>
      </c>
      <c r="AM151" s="233" t="s">
        <v>254</v>
      </c>
      <c r="AN151" s="233" t="s">
        <v>248</v>
      </c>
      <c r="AO151" s="233" t="s">
        <v>248</v>
      </c>
      <c r="AP151" s="233" t="s">
        <v>252</v>
      </c>
      <c r="AQ151" s="233">
        <v>228440</v>
      </c>
      <c r="AR151" s="230"/>
      <c r="AS151" s="230"/>
      <c r="BB151" s="230"/>
      <c r="BC151" s="230"/>
      <c r="BD151" s="230"/>
      <c r="BE151" s="230"/>
      <c r="BF151" s="230"/>
      <c r="BG151" s="230"/>
      <c r="BH151" s="230"/>
      <c r="BI151" s="230"/>
      <c r="BJ151" s="230"/>
      <c r="BK151" s="230"/>
      <c r="BL151" s="230"/>
      <c r="BM151" s="230"/>
      <c r="BN151" s="230"/>
      <c r="BO151" s="230"/>
      <c r="BP151" s="230"/>
      <c r="BQ151" s="230"/>
      <c r="BR151" s="230"/>
      <c r="BS151" s="230"/>
      <c r="BT151" s="230"/>
      <c r="BU151" s="230"/>
      <c r="BV151" s="230"/>
      <c r="BW151" s="230"/>
      <c r="BX151" s="230"/>
      <c r="BY151" s="230"/>
    </row>
    <row r="152" spans="30:77" ht="40.200000000000003" thickBot="1" x14ac:dyDescent="0.35">
      <c r="AD152" s="234">
        <v>2004</v>
      </c>
      <c r="AE152" s="234" t="s">
        <v>254</v>
      </c>
      <c r="AF152" s="234" t="s">
        <v>283</v>
      </c>
      <c r="AG152" s="234" t="s">
        <v>284</v>
      </c>
      <c r="AH152" s="234" t="s">
        <v>252</v>
      </c>
      <c r="AI152" s="234">
        <v>316777</v>
      </c>
      <c r="AJ152" s="230"/>
      <c r="AL152" s="234">
        <v>1993</v>
      </c>
      <c r="AM152" s="234" t="s">
        <v>254</v>
      </c>
      <c r="AN152" s="234" t="s">
        <v>248</v>
      </c>
      <c r="AO152" s="234" t="s">
        <v>270</v>
      </c>
      <c r="AP152" s="234" t="s">
        <v>252</v>
      </c>
      <c r="AQ152" s="234">
        <v>37324</v>
      </c>
      <c r="AR152" s="230"/>
      <c r="AS152" s="230"/>
      <c r="BB152" s="230"/>
      <c r="BC152" s="230"/>
      <c r="BD152" s="230"/>
      <c r="BE152" s="230"/>
      <c r="BF152" s="230"/>
      <c r="BG152" s="230"/>
      <c r="BH152" s="230"/>
      <c r="BI152" s="230"/>
      <c r="BJ152" s="230"/>
      <c r="BK152" s="230"/>
      <c r="BL152" s="230"/>
      <c r="BM152" s="230"/>
      <c r="BN152" s="230"/>
      <c r="BO152" s="230"/>
      <c r="BP152" s="230"/>
      <c r="BQ152" s="230"/>
      <c r="BR152" s="230"/>
      <c r="BS152" s="230"/>
      <c r="BT152" s="230"/>
      <c r="BU152" s="230"/>
      <c r="BV152" s="230"/>
      <c r="BW152" s="230"/>
      <c r="BX152" s="230"/>
      <c r="BY152" s="230"/>
    </row>
    <row r="153" spans="30:77" ht="40.200000000000003" thickBot="1" x14ac:dyDescent="0.35">
      <c r="AD153" s="233">
        <v>2004</v>
      </c>
      <c r="AE153" s="233" t="s">
        <v>254</v>
      </c>
      <c r="AF153" s="233" t="s">
        <v>283</v>
      </c>
      <c r="AG153" s="233" t="s">
        <v>270</v>
      </c>
      <c r="AH153" s="233" t="s">
        <v>252</v>
      </c>
      <c r="AI153" s="233">
        <v>35217</v>
      </c>
      <c r="AJ153" s="230"/>
      <c r="AL153" s="233">
        <v>1993</v>
      </c>
      <c r="AM153" s="233" t="s">
        <v>251</v>
      </c>
      <c r="AN153" s="233" t="s">
        <v>248</v>
      </c>
      <c r="AO153" s="233" t="s">
        <v>270</v>
      </c>
      <c r="AP153" s="233" t="s">
        <v>252</v>
      </c>
      <c r="AQ153" s="233">
        <v>61532</v>
      </c>
      <c r="AR153" s="230"/>
      <c r="AS153" s="230"/>
      <c r="BB153" s="230"/>
      <c r="BC153" s="230"/>
      <c r="BD153" s="230"/>
      <c r="BE153" s="230"/>
      <c r="BF153" s="230"/>
      <c r="BG153" s="230"/>
      <c r="BH153" s="230"/>
      <c r="BI153" s="230"/>
      <c r="BJ153" s="230"/>
      <c r="BK153" s="230"/>
      <c r="BL153" s="230"/>
      <c r="BM153" s="230"/>
      <c r="BN153" s="230"/>
      <c r="BO153" s="230"/>
      <c r="BP153" s="230"/>
      <c r="BQ153" s="230"/>
      <c r="BR153" s="230"/>
      <c r="BS153" s="230"/>
      <c r="BT153" s="230"/>
      <c r="BU153" s="230"/>
      <c r="BV153" s="230"/>
      <c r="BW153" s="230"/>
      <c r="BX153" s="230"/>
      <c r="BY153" s="230"/>
    </row>
    <row r="154" spans="30:77" ht="40.200000000000003" thickBot="1" x14ac:dyDescent="0.35">
      <c r="AD154" s="234">
        <v>2004</v>
      </c>
      <c r="AE154" s="234" t="s">
        <v>251</v>
      </c>
      <c r="AF154" s="234" t="s">
        <v>283</v>
      </c>
      <c r="AG154" s="234" t="s">
        <v>284</v>
      </c>
      <c r="AH154" s="234" t="s">
        <v>252</v>
      </c>
      <c r="AI154" s="234">
        <v>763961</v>
      </c>
      <c r="AJ154" s="230"/>
      <c r="AL154" s="234">
        <v>1993</v>
      </c>
      <c r="AM154" s="234" t="s">
        <v>251</v>
      </c>
      <c r="AN154" s="234" t="s">
        <v>248</v>
      </c>
      <c r="AO154" s="234" t="s">
        <v>62</v>
      </c>
      <c r="AP154" s="234" t="s">
        <v>252</v>
      </c>
      <c r="AQ154" s="234">
        <v>576902</v>
      </c>
      <c r="AR154" s="230"/>
      <c r="AS154" s="230"/>
      <c r="BB154" s="230"/>
      <c r="BC154" s="230"/>
      <c r="BD154" s="230"/>
      <c r="BE154" s="230"/>
      <c r="BF154" s="230"/>
      <c r="BG154" s="230"/>
      <c r="BH154" s="230"/>
      <c r="BI154" s="230"/>
      <c r="BJ154" s="230"/>
      <c r="BK154" s="230"/>
      <c r="BL154" s="230"/>
      <c r="BM154" s="230"/>
      <c r="BN154" s="230"/>
      <c r="BO154" s="230"/>
      <c r="BP154" s="230"/>
      <c r="BQ154" s="230"/>
      <c r="BR154" s="230"/>
      <c r="BS154" s="230"/>
      <c r="BT154" s="230"/>
      <c r="BU154" s="230"/>
      <c r="BV154" s="230"/>
      <c r="BW154" s="230"/>
      <c r="BX154" s="230"/>
      <c r="BY154" s="230"/>
    </row>
    <row r="155" spans="30:77" ht="40.200000000000003" thickBot="1" x14ac:dyDescent="0.35">
      <c r="AD155" s="233">
        <v>2004</v>
      </c>
      <c r="AE155" s="233" t="s">
        <v>251</v>
      </c>
      <c r="AF155" s="233" t="s">
        <v>283</v>
      </c>
      <c r="AG155" s="233" t="s">
        <v>284</v>
      </c>
      <c r="AH155" s="233" t="s">
        <v>252</v>
      </c>
      <c r="AI155" s="233">
        <v>421849</v>
      </c>
      <c r="AJ155" s="230"/>
      <c r="AL155" s="233">
        <v>1993</v>
      </c>
      <c r="AM155" s="233" t="s">
        <v>251</v>
      </c>
      <c r="AN155" s="233" t="s">
        <v>248</v>
      </c>
      <c r="AO155" s="233" t="s">
        <v>279</v>
      </c>
      <c r="AP155" s="233" t="s">
        <v>252</v>
      </c>
      <c r="AQ155" s="233">
        <v>119490</v>
      </c>
      <c r="AR155" s="230"/>
      <c r="AS155" s="230"/>
      <c r="BB155" s="230"/>
      <c r="BC155" s="230"/>
      <c r="BD155" s="230"/>
      <c r="BE155" s="230"/>
      <c r="BF155" s="230"/>
      <c r="BG155" s="230"/>
      <c r="BH155" s="230"/>
      <c r="BI155" s="230"/>
      <c r="BJ155" s="230"/>
      <c r="BK155" s="230"/>
      <c r="BL155" s="230"/>
      <c r="BM155" s="230"/>
      <c r="BN155" s="230"/>
      <c r="BO155" s="230"/>
      <c r="BP155" s="230"/>
      <c r="BQ155" s="230"/>
      <c r="BR155" s="230"/>
      <c r="BS155" s="230"/>
      <c r="BT155" s="230"/>
      <c r="BU155" s="230"/>
      <c r="BV155" s="230"/>
      <c r="BW155" s="230"/>
      <c r="BX155" s="230"/>
      <c r="BY155" s="230"/>
    </row>
    <row r="156" spans="30:77" ht="40.200000000000003" thickBot="1" x14ac:dyDescent="0.35">
      <c r="AD156" s="234">
        <v>2004</v>
      </c>
      <c r="AE156" s="234" t="s">
        <v>251</v>
      </c>
      <c r="AF156" s="234" t="s">
        <v>283</v>
      </c>
      <c r="AG156" s="234" t="s">
        <v>53</v>
      </c>
      <c r="AH156" s="234" t="s">
        <v>252</v>
      </c>
      <c r="AI156" s="234">
        <v>129759</v>
      </c>
      <c r="AJ156" s="230"/>
      <c r="AL156" s="234">
        <v>1992</v>
      </c>
      <c r="AM156" s="234" t="s">
        <v>254</v>
      </c>
      <c r="AN156" s="234" t="s">
        <v>248</v>
      </c>
      <c r="AO156" s="234" t="s">
        <v>270</v>
      </c>
      <c r="AP156" s="234" t="s">
        <v>252</v>
      </c>
      <c r="AQ156" s="234">
        <v>425510</v>
      </c>
      <c r="AR156" s="230"/>
      <c r="AS156" s="230"/>
      <c r="BB156" s="230"/>
      <c r="BC156" s="230"/>
      <c r="BD156" s="230"/>
      <c r="BE156" s="230"/>
      <c r="BF156" s="230"/>
      <c r="BG156" s="230"/>
      <c r="BH156" s="230"/>
      <c r="BI156" s="230"/>
      <c r="BJ156" s="230"/>
      <c r="BK156" s="230"/>
      <c r="BL156" s="230"/>
      <c r="BM156" s="230"/>
      <c r="BN156" s="230"/>
      <c r="BO156" s="230"/>
      <c r="BP156" s="230"/>
      <c r="BQ156" s="230"/>
      <c r="BR156" s="230"/>
      <c r="BS156" s="230"/>
      <c r="BT156" s="230"/>
      <c r="BU156" s="230"/>
      <c r="BV156" s="230"/>
      <c r="BW156" s="230"/>
      <c r="BX156" s="230"/>
      <c r="BY156" s="230"/>
    </row>
    <row r="157" spans="30:77" ht="40.200000000000003" thickBot="1" x14ac:dyDescent="0.35">
      <c r="AD157" s="233">
        <v>2004</v>
      </c>
      <c r="AE157" s="233" t="s">
        <v>251</v>
      </c>
      <c r="AF157" s="233" t="s">
        <v>283</v>
      </c>
      <c r="AG157" s="233" t="s">
        <v>290</v>
      </c>
      <c r="AH157" s="233" t="s">
        <v>252</v>
      </c>
      <c r="AI157" s="233">
        <v>93312</v>
      </c>
      <c r="AJ157" s="230"/>
      <c r="AL157" s="233">
        <v>1992</v>
      </c>
      <c r="AM157" s="233" t="s">
        <v>254</v>
      </c>
      <c r="AN157" s="233" t="s">
        <v>248</v>
      </c>
      <c r="AO157" s="233" t="s">
        <v>270</v>
      </c>
      <c r="AP157" s="233" t="s">
        <v>252</v>
      </c>
      <c r="AQ157" s="233">
        <v>808243</v>
      </c>
      <c r="AR157" s="230"/>
      <c r="AS157" s="230"/>
      <c r="BB157" s="230"/>
      <c r="BC157" s="230"/>
      <c r="BD157" s="230"/>
      <c r="BE157" s="230"/>
      <c r="BF157" s="230"/>
      <c r="BG157" s="230"/>
      <c r="BH157" s="230"/>
      <c r="BI157" s="230"/>
      <c r="BJ157" s="230"/>
      <c r="BK157" s="230"/>
      <c r="BL157" s="230"/>
      <c r="BM157" s="230"/>
      <c r="BN157" s="230"/>
      <c r="BO157" s="230"/>
      <c r="BP157" s="230"/>
      <c r="BQ157" s="230"/>
      <c r="BR157" s="230"/>
      <c r="BS157" s="230"/>
      <c r="BT157" s="230"/>
      <c r="BU157" s="230"/>
      <c r="BV157" s="230"/>
      <c r="BW157" s="230"/>
      <c r="BX157" s="230"/>
      <c r="BY157" s="230"/>
    </row>
    <row r="158" spans="30:77" ht="40.200000000000003" thickBot="1" x14ac:dyDescent="0.35">
      <c r="AD158" s="234">
        <v>2004</v>
      </c>
      <c r="AE158" s="234" t="s">
        <v>251</v>
      </c>
      <c r="AF158" s="234" t="s">
        <v>283</v>
      </c>
      <c r="AG158" s="234" t="s">
        <v>273</v>
      </c>
      <c r="AH158" s="234" t="s">
        <v>252</v>
      </c>
      <c r="AI158" s="234">
        <v>242776</v>
      </c>
      <c r="AJ158" s="230"/>
      <c r="AL158" s="234">
        <v>1992</v>
      </c>
      <c r="AM158" s="234" t="s">
        <v>254</v>
      </c>
      <c r="AN158" s="234" t="s">
        <v>248</v>
      </c>
      <c r="AO158" s="234" t="s">
        <v>62</v>
      </c>
      <c r="AP158" s="234" t="s">
        <v>252</v>
      </c>
      <c r="AQ158" s="234">
        <v>236510</v>
      </c>
      <c r="AR158" s="230"/>
      <c r="AS158" s="230"/>
      <c r="BB158" s="230"/>
      <c r="BC158" s="230"/>
      <c r="BD158" s="230"/>
      <c r="BE158" s="230"/>
      <c r="BF158" s="230"/>
      <c r="BG158" s="230"/>
      <c r="BH158" s="230"/>
      <c r="BI158" s="230"/>
      <c r="BJ158" s="230"/>
      <c r="BK158" s="230"/>
      <c r="BL158" s="230"/>
      <c r="BM158" s="230"/>
      <c r="BN158" s="230"/>
      <c r="BO158" s="230"/>
      <c r="BP158" s="230"/>
      <c r="BQ158" s="230"/>
      <c r="BR158" s="230"/>
      <c r="BS158" s="230"/>
      <c r="BT158" s="230"/>
      <c r="BU158" s="230"/>
      <c r="BV158" s="230"/>
      <c r="BW158" s="230"/>
      <c r="BX158" s="230"/>
      <c r="BY158" s="230"/>
    </row>
    <row r="159" spans="30:77" ht="40.200000000000003" thickBot="1" x14ac:dyDescent="0.35">
      <c r="AD159" s="233">
        <v>2004</v>
      </c>
      <c r="AE159" s="233" t="s">
        <v>251</v>
      </c>
      <c r="AF159" s="233" t="s">
        <v>283</v>
      </c>
      <c r="AG159" s="233" t="s">
        <v>270</v>
      </c>
      <c r="AH159" s="233" t="s">
        <v>252</v>
      </c>
      <c r="AI159" s="233">
        <v>37648</v>
      </c>
      <c r="AJ159" s="230">
        <f>SUM(AI151:AI159)-AI151</f>
        <v>2041299</v>
      </c>
      <c r="AL159" s="233">
        <v>1992</v>
      </c>
      <c r="AM159" s="233" t="s">
        <v>254</v>
      </c>
      <c r="AN159" s="233" t="s">
        <v>248</v>
      </c>
      <c r="AO159" s="233" t="s">
        <v>300</v>
      </c>
      <c r="AP159" s="233" t="s">
        <v>252</v>
      </c>
      <c r="AQ159" s="233">
        <v>52900</v>
      </c>
      <c r="AR159" s="230"/>
      <c r="AS159" s="230"/>
      <c r="BB159" s="230"/>
      <c r="BC159" s="230"/>
      <c r="BD159" s="230"/>
      <c r="BE159" s="230"/>
      <c r="BF159" s="230"/>
      <c r="BG159" s="230"/>
      <c r="BH159" s="230"/>
      <c r="BI159" s="230"/>
      <c r="BJ159" s="230"/>
      <c r="BK159" s="230"/>
      <c r="BL159" s="230"/>
      <c r="BM159" s="230"/>
      <c r="BN159" s="230"/>
      <c r="BO159" s="230"/>
      <c r="BP159" s="230"/>
      <c r="BQ159" s="230"/>
      <c r="BR159" s="230"/>
      <c r="BS159" s="230"/>
      <c r="BT159" s="230"/>
      <c r="BU159" s="230"/>
      <c r="BV159" s="230"/>
      <c r="BW159" s="230"/>
      <c r="BX159" s="230"/>
      <c r="BY159" s="230"/>
    </row>
    <row r="160" spans="30:77" ht="40.200000000000003" thickBot="1" x14ac:dyDescent="0.35">
      <c r="AD160" s="234">
        <v>2003</v>
      </c>
      <c r="AE160" s="234" t="s">
        <v>254</v>
      </c>
      <c r="AF160" s="234" t="s">
        <v>283</v>
      </c>
      <c r="AG160" s="234" t="s">
        <v>284</v>
      </c>
      <c r="AH160" s="234" t="s">
        <v>252</v>
      </c>
      <c r="AI160" s="234">
        <v>318306</v>
      </c>
      <c r="AJ160" s="230"/>
      <c r="AL160" s="234">
        <v>1992</v>
      </c>
      <c r="AM160" s="234" t="s">
        <v>251</v>
      </c>
      <c r="AN160" s="234" t="s">
        <v>248</v>
      </c>
      <c r="AO160" s="234" t="s">
        <v>62</v>
      </c>
      <c r="AP160" s="234" t="s">
        <v>252</v>
      </c>
      <c r="AQ160" s="234">
        <v>365267</v>
      </c>
      <c r="AR160" s="230"/>
      <c r="AS160" s="230"/>
      <c r="BB160" s="230"/>
      <c r="BC160" s="230"/>
      <c r="BD160" s="230"/>
      <c r="BE160" s="230"/>
      <c r="BF160" s="230"/>
      <c r="BG160" s="230"/>
      <c r="BH160" s="230"/>
      <c r="BI160" s="230"/>
      <c r="BJ160" s="230"/>
      <c r="BK160" s="230"/>
      <c r="BL160" s="230"/>
      <c r="BM160" s="230"/>
      <c r="BN160" s="230"/>
      <c r="BO160" s="230"/>
      <c r="BP160" s="230"/>
      <c r="BQ160" s="230"/>
      <c r="BR160" s="230"/>
      <c r="BS160" s="230"/>
      <c r="BT160" s="230"/>
      <c r="BU160" s="230"/>
      <c r="BV160" s="230"/>
      <c r="BW160" s="230"/>
      <c r="BX160" s="230"/>
      <c r="BY160" s="230"/>
    </row>
    <row r="161" spans="30:77" ht="40.200000000000003" thickBot="1" x14ac:dyDescent="0.35">
      <c r="AD161" s="233">
        <v>2003</v>
      </c>
      <c r="AE161" s="233" t="s">
        <v>254</v>
      </c>
      <c r="AF161" s="233" t="s">
        <v>283</v>
      </c>
      <c r="AG161" s="233" t="s">
        <v>270</v>
      </c>
      <c r="AH161" s="233" t="s">
        <v>252</v>
      </c>
      <c r="AI161" s="233">
        <v>32289</v>
      </c>
      <c r="AJ161" s="230"/>
      <c r="AL161" s="233">
        <v>1992</v>
      </c>
      <c r="AM161" s="233" t="s">
        <v>251</v>
      </c>
      <c r="AN161" s="233" t="s">
        <v>248</v>
      </c>
      <c r="AO161" s="233" t="s">
        <v>248</v>
      </c>
      <c r="AP161" s="233" t="s">
        <v>252</v>
      </c>
      <c r="AQ161" s="233">
        <v>420780</v>
      </c>
      <c r="AR161" s="230"/>
      <c r="AS161" s="230"/>
      <c r="BB161" s="230"/>
      <c r="BC161" s="230"/>
      <c r="BD161" s="230"/>
      <c r="BE161" s="230"/>
      <c r="BF161" s="230"/>
      <c r="BG161" s="230"/>
      <c r="BH161" s="230"/>
      <c r="BI161" s="230"/>
      <c r="BJ161" s="230"/>
      <c r="BK161" s="230"/>
      <c r="BL161" s="230"/>
      <c r="BM161" s="230"/>
      <c r="BN161" s="230"/>
      <c r="BO161" s="230"/>
      <c r="BP161" s="230"/>
      <c r="BQ161" s="230"/>
      <c r="BR161" s="230"/>
      <c r="BS161" s="230"/>
      <c r="BT161" s="230"/>
      <c r="BU161" s="230"/>
      <c r="BV161" s="230"/>
      <c r="BW161" s="230"/>
      <c r="BX161" s="230"/>
      <c r="BY161" s="230"/>
    </row>
    <row r="162" spans="30:77" ht="40.200000000000003" thickBot="1" x14ac:dyDescent="0.35">
      <c r="AD162" s="234">
        <v>2003</v>
      </c>
      <c r="AE162" s="234" t="s">
        <v>251</v>
      </c>
      <c r="AF162" s="234" t="s">
        <v>283</v>
      </c>
      <c r="AG162" s="234" t="s">
        <v>284</v>
      </c>
      <c r="AH162" s="234" t="s">
        <v>252</v>
      </c>
      <c r="AI162" s="234">
        <v>550014</v>
      </c>
      <c r="AJ162" s="230"/>
      <c r="AL162" s="234">
        <v>1991</v>
      </c>
      <c r="AM162" s="234" t="s">
        <v>254</v>
      </c>
      <c r="AN162" s="234" t="s">
        <v>248</v>
      </c>
      <c r="AO162" s="234" t="s">
        <v>248</v>
      </c>
      <c r="AP162" s="234" t="s">
        <v>252</v>
      </c>
      <c r="AQ162" s="234">
        <v>190959</v>
      </c>
      <c r="AR162" s="230"/>
      <c r="AS162" s="230"/>
      <c r="BB162" s="230"/>
      <c r="BC162" s="230"/>
      <c r="BD162" s="230"/>
      <c r="BE162" s="230"/>
      <c r="BF162" s="230"/>
      <c r="BG162" s="230"/>
      <c r="BH162" s="230"/>
      <c r="BI162" s="230"/>
      <c r="BJ162" s="230"/>
      <c r="BK162" s="230"/>
      <c r="BL162" s="230"/>
      <c r="BM162" s="230"/>
      <c r="BN162" s="230"/>
      <c r="BO162" s="230"/>
      <c r="BP162" s="230"/>
      <c r="BQ162" s="230"/>
      <c r="BR162" s="230"/>
      <c r="BS162" s="230"/>
      <c r="BT162" s="230"/>
      <c r="BU162" s="230"/>
      <c r="BV162" s="230"/>
      <c r="BW162" s="230"/>
      <c r="BX162" s="230"/>
      <c r="BY162" s="230"/>
    </row>
    <row r="163" spans="30:77" ht="40.200000000000003" thickBot="1" x14ac:dyDescent="0.35">
      <c r="AD163" s="233">
        <v>2003</v>
      </c>
      <c r="AE163" s="233" t="s">
        <v>251</v>
      </c>
      <c r="AF163" s="233" t="s">
        <v>283</v>
      </c>
      <c r="AG163" s="233" t="s">
        <v>284</v>
      </c>
      <c r="AH163" s="233" t="s">
        <v>252</v>
      </c>
      <c r="AI163" s="233">
        <v>658047</v>
      </c>
      <c r="AJ163" s="230"/>
      <c r="AL163" s="233">
        <v>1991</v>
      </c>
      <c r="AM163" s="233" t="s">
        <v>254</v>
      </c>
      <c r="AN163" s="233" t="s">
        <v>248</v>
      </c>
      <c r="AO163" s="233" t="s">
        <v>289</v>
      </c>
      <c r="AP163" s="233" t="s">
        <v>252</v>
      </c>
      <c r="AQ163" s="233">
        <v>273333</v>
      </c>
      <c r="AR163" s="230"/>
      <c r="AS163" s="230"/>
      <c r="BB163" s="230"/>
      <c r="BC163" s="230"/>
      <c r="BD163" s="230"/>
      <c r="BE163" s="230"/>
      <c r="BF163" s="230"/>
      <c r="BG163" s="230"/>
      <c r="BH163" s="230"/>
      <c r="BI163" s="230"/>
      <c r="BJ163" s="230"/>
      <c r="BK163" s="230"/>
      <c r="BL163" s="230"/>
      <c r="BM163" s="230"/>
      <c r="BN163" s="230"/>
      <c r="BO163" s="230"/>
      <c r="BP163" s="230"/>
      <c r="BQ163" s="230"/>
      <c r="BR163" s="230"/>
      <c r="BS163" s="230"/>
      <c r="BT163" s="230"/>
      <c r="BU163" s="230"/>
      <c r="BV163" s="230"/>
      <c r="BW163" s="230"/>
      <c r="BX163" s="230"/>
      <c r="BY163" s="230"/>
    </row>
    <row r="164" spans="30:77" ht="40.200000000000003" thickBot="1" x14ac:dyDescent="0.35">
      <c r="AD164" s="234">
        <v>2003</v>
      </c>
      <c r="AE164" s="234" t="s">
        <v>251</v>
      </c>
      <c r="AF164" s="234" t="s">
        <v>283</v>
      </c>
      <c r="AG164" s="234" t="s">
        <v>290</v>
      </c>
      <c r="AH164" s="234" t="s">
        <v>252</v>
      </c>
      <c r="AI164" s="234">
        <v>94176</v>
      </c>
      <c r="AJ164" s="230"/>
      <c r="AL164" s="234">
        <v>1991</v>
      </c>
      <c r="AM164" s="234" t="s">
        <v>254</v>
      </c>
      <c r="AN164" s="234" t="s">
        <v>248</v>
      </c>
      <c r="AO164" s="234" t="s">
        <v>289</v>
      </c>
      <c r="AP164" s="234" t="s">
        <v>252</v>
      </c>
      <c r="AQ164" s="234">
        <v>2545</v>
      </c>
      <c r="AR164" s="230"/>
      <c r="AS164" s="230"/>
      <c r="BB164" s="230"/>
      <c r="BC164" s="230"/>
      <c r="BD164" s="230"/>
      <c r="BE164" s="230"/>
      <c r="BF164" s="230"/>
      <c r="BG164" s="230"/>
      <c r="BH164" s="230"/>
      <c r="BI164" s="230"/>
      <c r="BJ164" s="230"/>
      <c r="BK164" s="230"/>
      <c r="BL164" s="230"/>
      <c r="BM164" s="230"/>
      <c r="BN164" s="230"/>
      <c r="BO164" s="230"/>
      <c r="BP164" s="230"/>
      <c r="BQ164" s="230"/>
      <c r="BR164" s="230"/>
      <c r="BS164" s="230"/>
      <c r="BT164" s="230"/>
      <c r="BU164" s="230"/>
      <c r="BV164" s="230"/>
      <c r="BW164" s="230"/>
      <c r="BX164" s="230"/>
      <c r="BY164" s="230"/>
    </row>
    <row r="165" spans="30:77" ht="40.200000000000003" thickBot="1" x14ac:dyDescent="0.35">
      <c r="AD165" s="233">
        <v>2003</v>
      </c>
      <c r="AE165" s="233" t="s">
        <v>251</v>
      </c>
      <c r="AF165" s="233" t="s">
        <v>283</v>
      </c>
      <c r="AG165" s="233" t="s">
        <v>270</v>
      </c>
      <c r="AH165" s="233" t="s">
        <v>252</v>
      </c>
      <c r="AI165" s="233">
        <v>70235</v>
      </c>
      <c r="AJ165" s="230"/>
      <c r="AL165" s="233">
        <v>1991</v>
      </c>
      <c r="AM165" s="233" t="s">
        <v>254</v>
      </c>
      <c r="AN165" s="233" t="s">
        <v>248</v>
      </c>
      <c r="AO165" s="233" t="s">
        <v>300</v>
      </c>
      <c r="AP165" s="233" t="s">
        <v>252</v>
      </c>
      <c r="AQ165" s="233">
        <v>7899</v>
      </c>
      <c r="AR165" s="230"/>
      <c r="AS165" s="230"/>
      <c r="BB165" s="230"/>
      <c r="BC165" s="230"/>
      <c r="BD165" s="230"/>
      <c r="BE165" s="230"/>
      <c r="BF165" s="230"/>
      <c r="BG165" s="230"/>
      <c r="BH165" s="230"/>
      <c r="BI165" s="230"/>
      <c r="BJ165" s="230"/>
      <c r="BK165" s="230"/>
      <c r="BL165" s="230"/>
      <c r="BM165" s="230"/>
      <c r="BN165" s="230"/>
      <c r="BO165" s="230"/>
      <c r="BP165" s="230"/>
      <c r="BQ165" s="230"/>
      <c r="BR165" s="230"/>
      <c r="BS165" s="230"/>
      <c r="BT165" s="230"/>
      <c r="BU165" s="230"/>
      <c r="BV165" s="230"/>
      <c r="BW165" s="230"/>
      <c r="BX165" s="230"/>
      <c r="BY165" s="230"/>
    </row>
    <row r="166" spans="30:77" ht="40.200000000000003" thickBot="1" x14ac:dyDescent="0.35">
      <c r="AD166" s="234">
        <v>2003</v>
      </c>
      <c r="AE166" s="234" t="s">
        <v>251</v>
      </c>
      <c r="AF166" s="234" t="s">
        <v>283</v>
      </c>
      <c r="AG166" s="234" t="s">
        <v>273</v>
      </c>
      <c r="AH166" s="234" t="s">
        <v>252</v>
      </c>
      <c r="AI166" s="234">
        <v>261511</v>
      </c>
      <c r="AJ166" s="230"/>
      <c r="AL166" s="234">
        <v>1991</v>
      </c>
      <c r="AM166" s="234" t="s">
        <v>251</v>
      </c>
      <c r="AN166" s="234" t="s">
        <v>248</v>
      </c>
      <c r="AO166" s="234" t="s">
        <v>62</v>
      </c>
      <c r="AP166" s="234" t="s">
        <v>252</v>
      </c>
      <c r="AQ166" s="234">
        <v>670042</v>
      </c>
      <c r="AR166" s="230"/>
      <c r="AS166" s="230"/>
      <c r="BB166" s="230"/>
      <c r="BC166" s="230"/>
      <c r="BD166" s="230"/>
      <c r="BE166" s="230"/>
      <c r="BF166" s="230"/>
      <c r="BG166" s="230"/>
      <c r="BH166" s="230"/>
      <c r="BI166" s="230"/>
      <c r="BJ166" s="230"/>
      <c r="BK166" s="230"/>
      <c r="BL166" s="230"/>
      <c r="BM166" s="230"/>
      <c r="BN166" s="230"/>
      <c r="BO166" s="230"/>
      <c r="BP166" s="230"/>
      <c r="BQ166" s="230"/>
      <c r="BR166" s="230"/>
      <c r="BS166" s="230"/>
      <c r="BT166" s="230"/>
      <c r="BU166" s="230"/>
      <c r="BV166" s="230"/>
      <c r="BW166" s="230"/>
      <c r="BX166" s="230"/>
      <c r="BY166" s="230"/>
    </row>
    <row r="167" spans="30:77" ht="40.200000000000003" thickBot="1" x14ac:dyDescent="0.35">
      <c r="AD167" s="233">
        <v>2003</v>
      </c>
      <c r="AE167" s="233" t="s">
        <v>251</v>
      </c>
      <c r="AF167" s="233" t="s">
        <v>283</v>
      </c>
      <c r="AG167" s="233" t="s">
        <v>53</v>
      </c>
      <c r="AH167" s="233" t="s">
        <v>252</v>
      </c>
      <c r="AI167" s="233">
        <v>144090</v>
      </c>
      <c r="AJ167" s="230">
        <f>SUM(AI160:AI167)</f>
        <v>2128668</v>
      </c>
      <c r="AL167" s="233">
        <v>1990</v>
      </c>
      <c r="AM167" s="233" t="s">
        <v>254</v>
      </c>
      <c r="AN167" s="233" t="s">
        <v>248</v>
      </c>
      <c r="AO167" s="233" t="s">
        <v>289</v>
      </c>
      <c r="AP167" s="233" t="s">
        <v>252</v>
      </c>
      <c r="AQ167" s="233">
        <v>180294</v>
      </c>
      <c r="AR167" s="230"/>
      <c r="AS167" s="230"/>
      <c r="BB167" s="230"/>
      <c r="BC167" s="230"/>
      <c r="BD167" s="230"/>
      <c r="BE167" s="230"/>
      <c r="BF167" s="230"/>
      <c r="BG167" s="230"/>
      <c r="BH167" s="230"/>
      <c r="BI167" s="230"/>
      <c r="BJ167" s="230"/>
      <c r="BK167" s="230"/>
      <c r="BL167" s="230"/>
      <c r="BM167" s="230"/>
      <c r="BN167" s="230"/>
      <c r="BO167" s="230"/>
      <c r="BP167" s="230"/>
      <c r="BQ167" s="230"/>
      <c r="BR167" s="230"/>
      <c r="BS167" s="230"/>
      <c r="BT167" s="230"/>
      <c r="BU167" s="230"/>
      <c r="BV167" s="230"/>
      <c r="BW167" s="230"/>
      <c r="BX167" s="230"/>
      <c r="BY167" s="230"/>
    </row>
    <row r="168" spans="30:77" ht="40.200000000000003" thickBot="1" x14ac:dyDescent="0.35">
      <c r="AD168" s="234">
        <v>2002</v>
      </c>
      <c r="AE168" s="234" t="s">
        <v>254</v>
      </c>
      <c r="AF168" s="234" t="s">
        <v>283</v>
      </c>
      <c r="AG168" s="234" t="s">
        <v>284</v>
      </c>
      <c r="AH168" s="234" t="s">
        <v>252</v>
      </c>
      <c r="AI168" s="234">
        <v>311603</v>
      </c>
      <c r="AJ168" s="230"/>
      <c r="AL168" s="234">
        <v>1990</v>
      </c>
      <c r="AM168" s="234" t="s">
        <v>254</v>
      </c>
      <c r="AN168" s="234" t="s">
        <v>248</v>
      </c>
      <c r="AO168" s="234" t="s">
        <v>300</v>
      </c>
      <c r="AP168" s="234" t="s">
        <v>252</v>
      </c>
      <c r="AQ168" s="234">
        <v>200013</v>
      </c>
      <c r="AR168" s="230"/>
      <c r="AS168" s="230"/>
      <c r="BB168" s="230"/>
      <c r="BC168" s="230"/>
      <c r="BD168" s="230"/>
      <c r="BE168" s="230"/>
      <c r="BF168" s="230"/>
      <c r="BG168" s="230"/>
      <c r="BH168" s="230"/>
      <c r="BI168" s="230"/>
      <c r="BJ168" s="230"/>
      <c r="BK168" s="230"/>
      <c r="BL168" s="230"/>
      <c r="BM168" s="230"/>
      <c r="BN168" s="230"/>
      <c r="BO168" s="230"/>
      <c r="BP168" s="230"/>
      <c r="BQ168" s="230"/>
      <c r="BR168" s="230"/>
      <c r="BS168" s="230"/>
      <c r="BT168" s="230"/>
      <c r="BU168" s="230"/>
      <c r="BV168" s="230"/>
      <c r="BW168" s="230"/>
      <c r="BX168" s="230"/>
      <c r="BY168" s="230"/>
    </row>
    <row r="169" spans="30:77" ht="40.200000000000003" thickBot="1" x14ac:dyDescent="0.35">
      <c r="AD169" s="233">
        <v>2002</v>
      </c>
      <c r="AE169" s="233" t="s">
        <v>254</v>
      </c>
      <c r="AF169" s="233" t="s">
        <v>283</v>
      </c>
      <c r="AG169" s="233" t="s">
        <v>270</v>
      </c>
      <c r="AH169" s="233" t="s">
        <v>252</v>
      </c>
      <c r="AI169" s="233">
        <v>34572</v>
      </c>
      <c r="AJ169" s="230"/>
      <c r="AL169" s="233">
        <v>1990</v>
      </c>
      <c r="AM169" s="233" t="s">
        <v>254</v>
      </c>
      <c r="AN169" s="233" t="s">
        <v>248</v>
      </c>
      <c r="AO169" s="233" t="s">
        <v>62</v>
      </c>
      <c r="AP169" s="233" t="s">
        <v>252</v>
      </c>
      <c r="AQ169" s="233">
        <v>213447</v>
      </c>
      <c r="AR169" s="230"/>
      <c r="AS169" s="230"/>
      <c r="BB169" s="230"/>
      <c r="BC169" s="230"/>
      <c r="BD169" s="230"/>
      <c r="BE169" s="230"/>
      <c r="BF169" s="230"/>
      <c r="BG169" s="230"/>
      <c r="BH169" s="230"/>
      <c r="BI169" s="230"/>
      <c r="BJ169" s="230"/>
      <c r="BK169" s="230"/>
      <c r="BL169" s="230"/>
      <c r="BM169" s="230"/>
      <c r="BN169" s="230"/>
      <c r="BO169" s="230"/>
      <c r="BP169" s="230"/>
      <c r="BQ169" s="230"/>
      <c r="BR169" s="230"/>
      <c r="BS169" s="230"/>
      <c r="BT169" s="230"/>
      <c r="BU169" s="230"/>
      <c r="BV169" s="230"/>
      <c r="BW169" s="230"/>
      <c r="BX169" s="230"/>
      <c r="BY169" s="230"/>
    </row>
    <row r="170" spans="30:77" ht="40.200000000000003" thickBot="1" x14ac:dyDescent="0.35">
      <c r="AD170" s="234">
        <v>2002</v>
      </c>
      <c r="AE170" s="234" t="s">
        <v>254</v>
      </c>
      <c r="AF170" s="234" t="s">
        <v>283</v>
      </c>
      <c r="AG170" s="234" t="s">
        <v>288</v>
      </c>
      <c r="AH170" s="234" t="s">
        <v>252</v>
      </c>
      <c r="AI170" s="234">
        <v>36244</v>
      </c>
      <c r="AJ170" s="230"/>
      <c r="AL170" s="234">
        <v>1990</v>
      </c>
      <c r="AM170" s="234" t="s">
        <v>251</v>
      </c>
      <c r="AN170" s="234" t="s">
        <v>248</v>
      </c>
      <c r="AO170" s="234" t="s">
        <v>62</v>
      </c>
      <c r="AP170" s="234" t="s">
        <v>252</v>
      </c>
      <c r="AQ170" s="234">
        <v>435445</v>
      </c>
      <c r="AR170" s="230"/>
      <c r="AS170" s="230"/>
      <c r="BB170" s="230"/>
      <c r="BC170" s="230"/>
      <c r="BD170" s="230"/>
      <c r="BE170" s="230"/>
      <c r="BF170" s="230"/>
      <c r="BG170" s="230"/>
      <c r="BH170" s="230"/>
      <c r="BI170" s="230"/>
      <c r="BJ170" s="230"/>
      <c r="BK170" s="230"/>
      <c r="BL170" s="230"/>
      <c r="BM170" s="230"/>
      <c r="BN170" s="230"/>
      <c r="BO170" s="230"/>
      <c r="BP170" s="230"/>
      <c r="BQ170" s="230"/>
      <c r="BR170" s="230"/>
      <c r="BS170" s="230"/>
      <c r="BT170" s="230"/>
      <c r="BU170" s="230"/>
      <c r="BV170" s="230"/>
      <c r="BW170" s="230"/>
      <c r="BX170" s="230"/>
      <c r="BY170" s="230"/>
    </row>
    <row r="171" spans="30:77" ht="40.200000000000003" thickBot="1" x14ac:dyDescent="0.35">
      <c r="AD171" s="233">
        <v>2002</v>
      </c>
      <c r="AE171" s="233" t="s">
        <v>251</v>
      </c>
      <c r="AF171" s="233" t="s">
        <v>283</v>
      </c>
      <c r="AG171" s="233" t="s">
        <v>284</v>
      </c>
      <c r="AH171" s="233" t="s">
        <v>252</v>
      </c>
      <c r="AI171" s="233">
        <v>529151</v>
      </c>
      <c r="AJ171" s="230"/>
      <c r="AL171" s="233">
        <v>1990</v>
      </c>
      <c r="AM171" s="233" t="s">
        <v>251</v>
      </c>
      <c r="AN171" s="233" t="s">
        <v>248</v>
      </c>
      <c r="AO171" s="233" t="s">
        <v>62</v>
      </c>
      <c r="AP171" s="233" t="s">
        <v>252</v>
      </c>
      <c r="AQ171" s="233">
        <v>163812</v>
      </c>
      <c r="AR171" s="230"/>
      <c r="AS171" s="230"/>
      <c r="BB171" s="230"/>
      <c r="BC171" s="230"/>
      <c r="BD171" s="230"/>
      <c r="BE171" s="230"/>
      <c r="BF171" s="230"/>
      <c r="BG171" s="230"/>
      <c r="BH171" s="230"/>
      <c r="BI171" s="230"/>
      <c r="BJ171" s="230"/>
      <c r="BK171" s="230"/>
      <c r="BL171" s="230"/>
      <c r="BM171" s="230"/>
      <c r="BN171" s="230"/>
      <c r="BO171" s="230"/>
      <c r="BP171" s="230"/>
      <c r="BQ171" s="230"/>
      <c r="BR171" s="230"/>
      <c r="BS171" s="230"/>
      <c r="BT171" s="230"/>
      <c r="BU171" s="230"/>
      <c r="BV171" s="230"/>
      <c r="BW171" s="230"/>
      <c r="BX171" s="230"/>
      <c r="BY171" s="230"/>
    </row>
    <row r="172" spans="30:77" ht="40.200000000000003" thickBot="1" x14ac:dyDescent="0.35">
      <c r="AD172" s="234">
        <v>2002</v>
      </c>
      <c r="AE172" s="234" t="s">
        <v>251</v>
      </c>
      <c r="AF172" s="234" t="s">
        <v>283</v>
      </c>
      <c r="AG172" s="234" t="s">
        <v>53</v>
      </c>
      <c r="AH172" s="234" t="s">
        <v>252</v>
      </c>
      <c r="AI172" s="234">
        <v>169000</v>
      </c>
      <c r="AJ172" s="230"/>
      <c r="AL172" s="234">
        <v>1989</v>
      </c>
      <c r="AM172" s="234" t="s">
        <v>254</v>
      </c>
      <c r="AN172" s="234" t="s">
        <v>248</v>
      </c>
      <c r="AO172" s="234" t="s">
        <v>289</v>
      </c>
      <c r="AP172" s="234" t="s">
        <v>252</v>
      </c>
      <c r="AQ172" s="234">
        <v>200000</v>
      </c>
      <c r="AR172" s="230"/>
      <c r="AS172" s="230"/>
      <c r="BB172" s="230"/>
      <c r="BC172" s="230"/>
      <c r="BD172" s="230"/>
      <c r="BE172" s="230"/>
      <c r="BF172" s="230"/>
      <c r="BG172" s="230"/>
      <c r="BH172" s="230"/>
      <c r="BI172" s="230"/>
      <c r="BJ172" s="230"/>
      <c r="BK172" s="230"/>
      <c r="BL172" s="230"/>
      <c r="BM172" s="230"/>
      <c r="BN172" s="230"/>
      <c r="BO172" s="230"/>
      <c r="BP172" s="230"/>
      <c r="BQ172" s="230"/>
      <c r="BR172" s="230"/>
      <c r="BS172" s="230"/>
      <c r="BT172" s="230"/>
      <c r="BU172" s="230"/>
      <c r="BV172" s="230"/>
      <c r="BW172" s="230"/>
      <c r="BX172" s="230"/>
      <c r="BY172" s="230"/>
    </row>
    <row r="173" spans="30:77" ht="40.200000000000003" thickBot="1" x14ac:dyDescent="0.35">
      <c r="AD173" s="233">
        <v>2002</v>
      </c>
      <c r="AE173" s="233" t="s">
        <v>251</v>
      </c>
      <c r="AF173" s="233" t="s">
        <v>283</v>
      </c>
      <c r="AG173" s="233" t="s">
        <v>284</v>
      </c>
      <c r="AH173" s="233" t="s">
        <v>252</v>
      </c>
      <c r="AI173" s="233">
        <v>642075</v>
      </c>
      <c r="AJ173" s="230"/>
      <c r="AL173" s="233">
        <v>1989</v>
      </c>
      <c r="AM173" s="233" t="s">
        <v>254</v>
      </c>
      <c r="AN173" s="233" t="s">
        <v>248</v>
      </c>
      <c r="AO173" s="233" t="s">
        <v>248</v>
      </c>
      <c r="AP173" s="233" t="s">
        <v>252</v>
      </c>
      <c r="AQ173" s="233">
        <v>310000</v>
      </c>
      <c r="AR173" s="230"/>
      <c r="AS173" s="230"/>
      <c r="BB173" s="230"/>
      <c r="BC173" s="230"/>
      <c r="BD173" s="230"/>
      <c r="BE173" s="230"/>
      <c r="BF173" s="230"/>
      <c r="BG173" s="230"/>
      <c r="BH173" s="230"/>
      <c r="BI173" s="230"/>
      <c r="BJ173" s="230"/>
      <c r="BK173" s="230"/>
      <c r="BL173" s="230"/>
      <c r="BM173" s="230"/>
      <c r="BN173" s="230"/>
      <c r="BO173" s="230"/>
      <c r="BP173" s="230"/>
      <c r="BQ173" s="230"/>
      <c r="BR173" s="230"/>
      <c r="BS173" s="230"/>
      <c r="BT173" s="230"/>
      <c r="BU173" s="230"/>
      <c r="BV173" s="230"/>
      <c r="BW173" s="230"/>
      <c r="BX173" s="230"/>
      <c r="BY173" s="230"/>
    </row>
    <row r="174" spans="30:77" ht="40.200000000000003" thickBot="1" x14ac:dyDescent="0.35">
      <c r="AD174" s="234">
        <v>2002</v>
      </c>
      <c r="AE174" s="234" t="s">
        <v>251</v>
      </c>
      <c r="AF174" s="234" t="s">
        <v>283</v>
      </c>
      <c r="AG174" s="234" t="s">
        <v>290</v>
      </c>
      <c r="AH174" s="234" t="s">
        <v>252</v>
      </c>
      <c r="AI174" s="234">
        <v>83680</v>
      </c>
      <c r="AJ174" s="230"/>
      <c r="AL174" s="234">
        <v>1989</v>
      </c>
      <c r="AM174" s="234" t="s">
        <v>251</v>
      </c>
      <c r="AN174" s="234" t="s">
        <v>248</v>
      </c>
      <c r="AO174" s="234" t="s">
        <v>62</v>
      </c>
      <c r="AP174" s="234" t="s">
        <v>252</v>
      </c>
      <c r="AQ174" s="234">
        <v>588326</v>
      </c>
      <c r="AR174" s="230"/>
      <c r="AS174" s="230"/>
      <c r="BB174" s="230"/>
      <c r="BC174" s="230"/>
      <c r="BD174" s="230"/>
      <c r="BE174" s="230"/>
      <c r="BF174" s="230"/>
      <c r="BG174" s="230"/>
      <c r="BH174" s="230"/>
      <c r="BI174" s="230"/>
      <c r="BJ174" s="230"/>
      <c r="BK174" s="230"/>
      <c r="BL174" s="230"/>
      <c r="BM174" s="230"/>
      <c r="BN174" s="230"/>
      <c r="BO174" s="230"/>
      <c r="BP174" s="230"/>
      <c r="BQ174" s="230"/>
      <c r="BR174" s="230"/>
      <c r="BS174" s="230"/>
      <c r="BT174" s="230"/>
      <c r="BU174" s="230"/>
      <c r="BV174" s="230"/>
      <c r="BW174" s="230"/>
      <c r="BX174" s="230"/>
      <c r="BY174" s="230"/>
    </row>
    <row r="175" spans="30:77" ht="40.200000000000003" thickBot="1" x14ac:dyDescent="0.35">
      <c r="AD175" s="233">
        <v>2002</v>
      </c>
      <c r="AE175" s="233" t="s">
        <v>251</v>
      </c>
      <c r="AF175" s="233" t="s">
        <v>283</v>
      </c>
      <c r="AG175" s="233" t="s">
        <v>270</v>
      </c>
      <c r="AH175" s="233" t="s">
        <v>252</v>
      </c>
      <c r="AI175" s="233">
        <v>70816</v>
      </c>
      <c r="AJ175" s="230">
        <f>SUM(AI168:AI175)-AI170</f>
        <v>1840897</v>
      </c>
      <c r="AL175" s="233">
        <v>1988</v>
      </c>
      <c r="AM175" s="233" t="s">
        <v>254</v>
      </c>
      <c r="AN175" s="233" t="s">
        <v>248</v>
      </c>
      <c r="AO175" s="233" t="s">
        <v>248</v>
      </c>
      <c r="AP175" s="233" t="s">
        <v>252</v>
      </c>
      <c r="AQ175" s="233">
        <v>311000</v>
      </c>
      <c r="AR175" s="230"/>
      <c r="AS175" s="230"/>
      <c r="BB175" s="230"/>
      <c r="BC175" s="230"/>
      <c r="BD175" s="230"/>
      <c r="BE175" s="230"/>
      <c r="BF175" s="230"/>
      <c r="BG175" s="230"/>
      <c r="BH175" s="230"/>
      <c r="BI175" s="230"/>
      <c r="BJ175" s="230"/>
      <c r="BK175" s="230"/>
      <c r="BL175" s="230"/>
      <c r="BM175" s="230"/>
      <c r="BN175" s="230"/>
      <c r="BO175" s="230"/>
      <c r="BP175" s="230"/>
      <c r="BQ175" s="230"/>
      <c r="BR175" s="230"/>
      <c r="BS175" s="230"/>
      <c r="BT175" s="230"/>
      <c r="BU175" s="230"/>
      <c r="BV175" s="230"/>
      <c r="BW175" s="230"/>
      <c r="BX175" s="230"/>
      <c r="BY175" s="230"/>
    </row>
    <row r="176" spans="30:77" ht="40.200000000000003" thickBot="1" x14ac:dyDescent="0.35">
      <c r="AD176" s="234">
        <v>2001</v>
      </c>
      <c r="AE176" s="234" t="s">
        <v>254</v>
      </c>
      <c r="AF176" s="234" t="s">
        <v>283</v>
      </c>
      <c r="AG176" s="234" t="s">
        <v>289</v>
      </c>
      <c r="AH176" s="234" t="s">
        <v>252</v>
      </c>
      <c r="AI176" s="234">
        <v>116760</v>
      </c>
      <c r="AJ176" s="230"/>
      <c r="AL176" s="234">
        <v>1988</v>
      </c>
      <c r="AM176" s="234" t="s">
        <v>254</v>
      </c>
      <c r="AN176" s="234" t="s">
        <v>248</v>
      </c>
      <c r="AO176" s="234" t="s">
        <v>300</v>
      </c>
      <c r="AP176" s="234" t="s">
        <v>252</v>
      </c>
      <c r="AQ176" s="234">
        <v>262000</v>
      </c>
      <c r="AR176" s="230"/>
      <c r="AS176" s="230"/>
      <c r="BB176" s="230"/>
      <c r="BC176" s="230"/>
      <c r="BD176" s="230"/>
      <c r="BE176" s="230"/>
      <c r="BF176" s="230"/>
      <c r="BG176" s="230"/>
      <c r="BH176" s="230"/>
      <c r="BI176" s="230"/>
      <c r="BJ176" s="230"/>
      <c r="BK176" s="230"/>
      <c r="BL176" s="230"/>
      <c r="BM176" s="230"/>
      <c r="BN176" s="230"/>
      <c r="BO176" s="230"/>
      <c r="BP176" s="230"/>
      <c r="BQ176" s="230"/>
      <c r="BR176" s="230"/>
      <c r="BS176" s="230"/>
      <c r="BT176" s="230"/>
      <c r="BU176" s="230"/>
      <c r="BV176" s="230"/>
      <c r="BW176" s="230"/>
      <c r="BX176" s="230"/>
      <c r="BY176" s="230"/>
    </row>
    <row r="177" spans="30:77" ht="40.200000000000003" thickBot="1" x14ac:dyDescent="0.35">
      <c r="AD177" s="233">
        <v>2001</v>
      </c>
      <c r="AE177" s="233" t="s">
        <v>254</v>
      </c>
      <c r="AF177" s="233" t="s">
        <v>283</v>
      </c>
      <c r="AG177" s="233" t="s">
        <v>274</v>
      </c>
      <c r="AH177" s="233" t="s">
        <v>252</v>
      </c>
      <c r="AI177" s="233">
        <v>250170</v>
      </c>
      <c r="AJ177" s="230"/>
      <c r="AL177" s="233">
        <v>1988</v>
      </c>
      <c r="AM177" s="233" t="s">
        <v>254</v>
      </c>
      <c r="AN177" s="233" t="s">
        <v>248</v>
      </c>
      <c r="AO177" s="233" t="s">
        <v>289</v>
      </c>
      <c r="AP177" s="233" t="s">
        <v>252</v>
      </c>
      <c r="AQ177" s="233">
        <v>365500</v>
      </c>
      <c r="AR177" s="230"/>
      <c r="AS177" s="230"/>
      <c r="BB177" s="230"/>
      <c r="BC177" s="230"/>
      <c r="BD177" s="230"/>
      <c r="BE177" s="230"/>
      <c r="BF177" s="230"/>
      <c r="BG177" s="230"/>
      <c r="BH177" s="230"/>
      <c r="BI177" s="230"/>
      <c r="BJ177" s="230"/>
      <c r="BK177" s="230"/>
      <c r="BL177" s="230"/>
      <c r="BM177" s="230"/>
      <c r="BN177" s="230"/>
      <c r="BO177" s="230"/>
      <c r="BP177" s="230"/>
      <c r="BQ177" s="230"/>
      <c r="BR177" s="230"/>
      <c r="BS177" s="230"/>
      <c r="BT177" s="230"/>
      <c r="BU177" s="230"/>
      <c r="BV177" s="230"/>
      <c r="BW177" s="230"/>
      <c r="BX177" s="230"/>
      <c r="BY177" s="230"/>
    </row>
    <row r="178" spans="30:77" ht="40.200000000000003" thickBot="1" x14ac:dyDescent="0.35">
      <c r="AD178" s="234">
        <v>2001</v>
      </c>
      <c r="AE178" s="234" t="s">
        <v>254</v>
      </c>
      <c r="AF178" s="234" t="s">
        <v>283</v>
      </c>
      <c r="AG178" s="234" t="s">
        <v>279</v>
      </c>
      <c r="AH178" s="234" t="s">
        <v>252</v>
      </c>
      <c r="AI178" s="234">
        <v>28700</v>
      </c>
      <c r="AJ178" s="230"/>
      <c r="AL178" s="234">
        <v>1988</v>
      </c>
      <c r="AM178" s="234" t="s">
        <v>251</v>
      </c>
      <c r="AN178" s="234" t="s">
        <v>248</v>
      </c>
      <c r="AO178" s="234" t="s">
        <v>248</v>
      </c>
      <c r="AP178" s="234" t="s">
        <v>252</v>
      </c>
      <c r="AQ178" s="234">
        <v>768500</v>
      </c>
      <c r="AR178" s="230"/>
      <c r="AS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row>
    <row r="179" spans="30:77" ht="40.200000000000003" thickBot="1" x14ac:dyDescent="0.35">
      <c r="AD179" s="233">
        <v>2001</v>
      </c>
      <c r="AE179" s="233" t="s">
        <v>254</v>
      </c>
      <c r="AF179" s="233" t="s">
        <v>283</v>
      </c>
      <c r="AG179" s="233" t="s">
        <v>270</v>
      </c>
      <c r="AH179" s="233" t="s">
        <v>252</v>
      </c>
      <c r="AI179" s="233">
        <v>36386</v>
      </c>
      <c r="AJ179" s="230"/>
      <c r="AL179" s="233">
        <v>1987</v>
      </c>
      <c r="AM179" s="233" t="s">
        <v>251</v>
      </c>
      <c r="AN179" s="233" t="s">
        <v>248</v>
      </c>
      <c r="AO179" s="233" t="s">
        <v>248</v>
      </c>
      <c r="AP179" s="233" t="s">
        <v>252</v>
      </c>
      <c r="AQ179" s="233">
        <v>733000</v>
      </c>
      <c r="AR179" s="230"/>
      <c r="AS179" s="230"/>
      <c r="BB179" s="230"/>
      <c r="BC179" s="230"/>
      <c r="BD179" s="230"/>
      <c r="BE179" s="230"/>
      <c r="BF179" s="230"/>
      <c r="BG179" s="230"/>
      <c r="BH179" s="230"/>
      <c r="BI179" s="230"/>
      <c r="BJ179" s="230"/>
      <c r="BK179" s="230"/>
      <c r="BL179" s="230"/>
      <c r="BM179" s="230"/>
      <c r="BN179" s="230"/>
      <c r="BO179" s="230"/>
      <c r="BP179" s="230"/>
      <c r="BQ179" s="230"/>
      <c r="BR179" s="230"/>
      <c r="BS179" s="230"/>
      <c r="BT179" s="230"/>
      <c r="BU179" s="230"/>
      <c r="BV179" s="230"/>
      <c r="BW179" s="230"/>
      <c r="BX179" s="230"/>
      <c r="BY179" s="230"/>
    </row>
    <row r="180" spans="30:77" ht="40.200000000000003" thickBot="1" x14ac:dyDescent="0.35">
      <c r="AD180" s="234">
        <v>2001</v>
      </c>
      <c r="AE180" s="234" t="s">
        <v>251</v>
      </c>
      <c r="AF180" s="234" t="s">
        <v>283</v>
      </c>
      <c r="AG180" s="234" t="s">
        <v>284</v>
      </c>
      <c r="AH180" s="234" t="s">
        <v>252</v>
      </c>
      <c r="AI180" s="234">
        <v>1205885</v>
      </c>
      <c r="AJ180" s="230"/>
    </row>
    <row r="181" spans="30:77" ht="40.200000000000003" thickBot="1" x14ac:dyDescent="0.35">
      <c r="AD181" s="233">
        <v>2001</v>
      </c>
      <c r="AE181" s="233" t="s">
        <v>251</v>
      </c>
      <c r="AF181" s="233" t="s">
        <v>283</v>
      </c>
      <c r="AG181" s="233" t="s">
        <v>290</v>
      </c>
      <c r="AH181" s="233" t="s">
        <v>252</v>
      </c>
      <c r="AI181" s="233">
        <v>71297</v>
      </c>
      <c r="AJ181" s="230"/>
    </row>
    <row r="182" spans="30:77" ht="40.200000000000003" thickBot="1" x14ac:dyDescent="0.35">
      <c r="AD182" s="234">
        <v>2001</v>
      </c>
      <c r="AE182" s="234" t="s">
        <v>251</v>
      </c>
      <c r="AF182" s="234" t="s">
        <v>283</v>
      </c>
      <c r="AG182" s="234" t="s">
        <v>270</v>
      </c>
      <c r="AH182" s="234" t="s">
        <v>252</v>
      </c>
      <c r="AI182" s="234">
        <v>75600</v>
      </c>
      <c r="AJ182" s="230">
        <f>SUM(AI176:AI182)</f>
        <v>1784798</v>
      </c>
    </row>
    <row r="183" spans="30:77" ht="40.200000000000003" thickBot="1" x14ac:dyDescent="0.35">
      <c r="AD183" s="233">
        <v>2000</v>
      </c>
      <c r="AE183" s="233" t="s">
        <v>251</v>
      </c>
      <c r="AF183" s="233" t="s">
        <v>283</v>
      </c>
      <c r="AG183" s="233" t="s">
        <v>284</v>
      </c>
      <c r="AH183" s="233" t="s">
        <v>252</v>
      </c>
      <c r="AI183" s="233">
        <v>658097</v>
      </c>
      <c r="AJ183" s="230"/>
    </row>
    <row r="184" spans="30:77" ht="40.200000000000003" thickBot="1" x14ac:dyDescent="0.35">
      <c r="AD184" s="234">
        <v>2000</v>
      </c>
      <c r="AE184" s="234" t="s">
        <v>251</v>
      </c>
      <c r="AF184" s="234" t="s">
        <v>283</v>
      </c>
      <c r="AG184" s="234" t="s">
        <v>290</v>
      </c>
      <c r="AH184" s="234" t="s">
        <v>252</v>
      </c>
      <c r="AI184" s="234">
        <v>90675</v>
      </c>
      <c r="AJ184" s="230"/>
    </row>
    <row r="185" spans="30:77" ht="40.200000000000003" thickBot="1" x14ac:dyDescent="0.35">
      <c r="AD185" s="233">
        <v>2000</v>
      </c>
      <c r="AE185" s="233" t="s">
        <v>251</v>
      </c>
      <c r="AF185" s="233" t="s">
        <v>283</v>
      </c>
      <c r="AG185" s="233" t="s">
        <v>270</v>
      </c>
      <c r="AH185" s="233" t="s">
        <v>252</v>
      </c>
      <c r="AI185" s="233">
        <v>70740</v>
      </c>
      <c r="AJ185" s="230"/>
    </row>
    <row r="186" spans="30:77" ht="40.200000000000003" thickBot="1" x14ac:dyDescent="0.35">
      <c r="AD186" s="234">
        <v>2000</v>
      </c>
      <c r="AE186" s="234" t="s">
        <v>254</v>
      </c>
      <c r="AF186" s="234" t="s">
        <v>283</v>
      </c>
      <c r="AG186" s="234" t="s">
        <v>274</v>
      </c>
      <c r="AH186" s="234" t="s">
        <v>252</v>
      </c>
      <c r="AI186" s="234">
        <v>188961</v>
      </c>
      <c r="AJ186" s="230">
        <f>SUM(AI183:AI186)</f>
        <v>1008473</v>
      </c>
    </row>
    <row r="187" spans="30:77" ht="40.200000000000003" thickBot="1" x14ac:dyDescent="0.35">
      <c r="AD187" s="233">
        <v>1999</v>
      </c>
      <c r="AE187" s="233" t="s">
        <v>254</v>
      </c>
      <c r="AF187" s="233" t="s">
        <v>283</v>
      </c>
      <c r="AG187" s="233" t="s">
        <v>288</v>
      </c>
      <c r="AH187" s="233" t="s">
        <v>252</v>
      </c>
      <c r="AI187" s="233">
        <v>247650</v>
      </c>
      <c r="AJ187" s="230"/>
    </row>
    <row r="188" spans="30:77" ht="40.200000000000003" thickBot="1" x14ac:dyDescent="0.35">
      <c r="AD188" s="234">
        <v>1999</v>
      </c>
      <c r="AE188" s="234" t="s">
        <v>254</v>
      </c>
      <c r="AF188" s="234" t="s">
        <v>283</v>
      </c>
      <c r="AG188" s="234" t="s">
        <v>292</v>
      </c>
      <c r="AH188" s="234" t="s">
        <v>252</v>
      </c>
      <c r="AI188" s="234">
        <v>29214</v>
      </c>
      <c r="AJ188" s="230"/>
    </row>
    <row r="189" spans="30:77" ht="40.200000000000003" thickBot="1" x14ac:dyDescent="0.35">
      <c r="AD189" s="233">
        <v>1999</v>
      </c>
      <c r="AE189" s="233" t="s">
        <v>254</v>
      </c>
      <c r="AF189" s="233" t="s">
        <v>283</v>
      </c>
      <c r="AG189" s="233" t="s">
        <v>274</v>
      </c>
      <c r="AH189" s="233" t="s">
        <v>252</v>
      </c>
      <c r="AI189" s="233">
        <v>252041</v>
      </c>
      <c r="AJ189" s="230"/>
    </row>
    <row r="190" spans="30:77" ht="40.200000000000003" thickBot="1" x14ac:dyDescent="0.35">
      <c r="AD190" s="234">
        <v>1999</v>
      </c>
      <c r="AE190" s="234" t="s">
        <v>254</v>
      </c>
      <c r="AF190" s="234" t="s">
        <v>283</v>
      </c>
      <c r="AG190" s="234" t="s">
        <v>279</v>
      </c>
      <c r="AH190" s="234" t="s">
        <v>252</v>
      </c>
      <c r="AI190" s="234">
        <v>31050</v>
      </c>
      <c r="AJ190" s="230"/>
    </row>
    <row r="191" spans="30:77" ht="40.200000000000003" thickBot="1" x14ac:dyDescent="0.35">
      <c r="AD191" s="233">
        <v>1999</v>
      </c>
      <c r="AE191" s="233" t="s">
        <v>254</v>
      </c>
      <c r="AF191" s="233" t="s">
        <v>283</v>
      </c>
      <c r="AG191" s="233" t="s">
        <v>270</v>
      </c>
      <c r="AH191" s="233" t="s">
        <v>252</v>
      </c>
      <c r="AI191" s="233">
        <v>30193</v>
      </c>
      <c r="AJ191" s="230"/>
    </row>
    <row r="192" spans="30:77" ht="40.200000000000003" thickBot="1" x14ac:dyDescent="0.35">
      <c r="AD192" s="234">
        <v>1999</v>
      </c>
      <c r="AE192" s="234" t="s">
        <v>251</v>
      </c>
      <c r="AF192" s="234" t="s">
        <v>283</v>
      </c>
      <c r="AG192" s="234" t="s">
        <v>290</v>
      </c>
      <c r="AH192" s="234" t="s">
        <v>252</v>
      </c>
      <c r="AI192" s="234">
        <v>90722</v>
      </c>
      <c r="AJ192" s="230"/>
    </row>
    <row r="193" spans="30:36" ht="40.200000000000003" thickBot="1" x14ac:dyDescent="0.35">
      <c r="AD193" s="233">
        <v>1999</v>
      </c>
      <c r="AE193" s="233" t="s">
        <v>251</v>
      </c>
      <c r="AF193" s="233" t="s">
        <v>283</v>
      </c>
      <c r="AG193" s="233" t="s">
        <v>270</v>
      </c>
      <c r="AH193" s="233" t="s">
        <v>252</v>
      </c>
      <c r="AI193" s="233">
        <v>60626</v>
      </c>
      <c r="AJ193" s="230">
        <f>SUM(AI187:AI193)-AI187</f>
        <v>493846</v>
      </c>
    </row>
    <row r="194" spans="30:36" ht="40.200000000000003" thickBot="1" x14ac:dyDescent="0.35">
      <c r="AD194" s="234">
        <v>1998</v>
      </c>
      <c r="AE194" s="234" t="s">
        <v>254</v>
      </c>
      <c r="AF194" s="234" t="s">
        <v>283</v>
      </c>
      <c r="AG194" s="234" t="s">
        <v>289</v>
      </c>
      <c r="AH194" s="234" t="s">
        <v>252</v>
      </c>
      <c r="AI194" s="234">
        <v>1000595</v>
      </c>
      <c r="AJ194" s="230"/>
    </row>
    <row r="195" spans="30:36" ht="40.200000000000003" thickBot="1" x14ac:dyDescent="0.35">
      <c r="AD195" s="233">
        <v>1998</v>
      </c>
      <c r="AE195" s="233" t="s">
        <v>254</v>
      </c>
      <c r="AF195" s="233" t="s">
        <v>283</v>
      </c>
      <c r="AG195" s="233" t="s">
        <v>274</v>
      </c>
      <c r="AH195" s="233" t="s">
        <v>252</v>
      </c>
      <c r="AI195" s="233">
        <v>600440</v>
      </c>
      <c r="AJ195" s="230"/>
    </row>
    <row r="196" spans="30:36" ht="40.200000000000003" thickBot="1" x14ac:dyDescent="0.35">
      <c r="AD196" s="234">
        <v>1998</v>
      </c>
      <c r="AE196" s="234" t="s">
        <v>254</v>
      </c>
      <c r="AF196" s="234" t="s">
        <v>283</v>
      </c>
      <c r="AG196" s="234" t="s">
        <v>288</v>
      </c>
      <c r="AH196" s="234" t="s">
        <v>252</v>
      </c>
      <c r="AI196" s="234">
        <v>262080</v>
      </c>
      <c r="AJ196" s="230"/>
    </row>
    <row r="197" spans="30:36" ht="40.200000000000003" thickBot="1" x14ac:dyDescent="0.35">
      <c r="AD197" s="233">
        <v>1998</v>
      </c>
      <c r="AE197" s="233" t="s">
        <v>254</v>
      </c>
      <c r="AF197" s="233" t="s">
        <v>283</v>
      </c>
      <c r="AG197" s="233" t="s">
        <v>288</v>
      </c>
      <c r="AH197" s="233" t="s">
        <v>252</v>
      </c>
      <c r="AI197" s="233">
        <v>254488</v>
      </c>
      <c r="AJ197" s="230"/>
    </row>
    <row r="198" spans="30:36" ht="40.200000000000003" thickBot="1" x14ac:dyDescent="0.35">
      <c r="AD198" s="234">
        <v>1998</v>
      </c>
      <c r="AE198" s="234" t="s">
        <v>254</v>
      </c>
      <c r="AF198" s="234" t="s">
        <v>283</v>
      </c>
      <c r="AG198" s="234" t="s">
        <v>288</v>
      </c>
      <c r="AH198" s="234" t="s">
        <v>252</v>
      </c>
      <c r="AI198" s="234">
        <v>67827</v>
      </c>
      <c r="AJ198" s="230"/>
    </row>
    <row r="199" spans="30:36" ht="40.200000000000003" thickBot="1" x14ac:dyDescent="0.35">
      <c r="AD199" s="233">
        <v>1998</v>
      </c>
      <c r="AE199" s="233" t="s">
        <v>254</v>
      </c>
      <c r="AF199" s="233" t="s">
        <v>283</v>
      </c>
      <c r="AG199" s="233" t="s">
        <v>274</v>
      </c>
      <c r="AH199" s="233" t="s">
        <v>252</v>
      </c>
      <c r="AI199" s="233">
        <v>253303</v>
      </c>
      <c r="AJ199" s="230"/>
    </row>
    <row r="200" spans="30:36" ht="40.200000000000003" thickBot="1" x14ac:dyDescent="0.35">
      <c r="AD200" s="234">
        <v>1998</v>
      </c>
      <c r="AE200" s="234" t="s">
        <v>254</v>
      </c>
      <c r="AF200" s="234" t="s">
        <v>283</v>
      </c>
      <c r="AG200" s="234" t="s">
        <v>279</v>
      </c>
      <c r="AH200" s="234" t="s">
        <v>252</v>
      </c>
      <c r="AI200" s="234">
        <v>30505</v>
      </c>
      <c r="AJ200" s="230"/>
    </row>
    <row r="201" spans="30:36" ht="40.200000000000003" thickBot="1" x14ac:dyDescent="0.35">
      <c r="AD201" s="233">
        <v>1998</v>
      </c>
      <c r="AE201" s="233" t="s">
        <v>254</v>
      </c>
      <c r="AF201" s="233" t="s">
        <v>283</v>
      </c>
      <c r="AG201" s="233" t="s">
        <v>270</v>
      </c>
      <c r="AH201" s="233" t="s">
        <v>252</v>
      </c>
      <c r="AI201" s="233">
        <v>34273</v>
      </c>
      <c r="AJ201" s="230"/>
    </row>
    <row r="202" spans="30:36" ht="40.200000000000003" thickBot="1" x14ac:dyDescent="0.35">
      <c r="AD202" s="234">
        <v>1998</v>
      </c>
      <c r="AE202" s="234" t="s">
        <v>251</v>
      </c>
      <c r="AF202" s="234" t="s">
        <v>283</v>
      </c>
      <c r="AG202" s="234" t="s">
        <v>274</v>
      </c>
      <c r="AH202" s="234" t="s">
        <v>252</v>
      </c>
      <c r="AI202" s="234">
        <v>446481</v>
      </c>
      <c r="AJ202" s="230"/>
    </row>
    <row r="203" spans="30:36" ht="40.200000000000003" thickBot="1" x14ac:dyDescent="0.35">
      <c r="AD203" s="233">
        <v>1998</v>
      </c>
      <c r="AE203" s="233" t="s">
        <v>251</v>
      </c>
      <c r="AF203" s="233" t="s">
        <v>283</v>
      </c>
      <c r="AG203" s="233" t="s">
        <v>270</v>
      </c>
      <c r="AH203" s="233" t="s">
        <v>252</v>
      </c>
      <c r="AI203" s="233">
        <v>68388</v>
      </c>
      <c r="AJ203" s="230"/>
    </row>
    <row r="204" spans="30:36" ht="40.200000000000003" thickBot="1" x14ac:dyDescent="0.35">
      <c r="AD204" s="234">
        <v>1998</v>
      </c>
      <c r="AE204" s="234" t="s">
        <v>251</v>
      </c>
      <c r="AF204" s="234" t="s">
        <v>283</v>
      </c>
      <c r="AG204" s="234" t="s">
        <v>293</v>
      </c>
      <c r="AH204" s="234" t="s">
        <v>252</v>
      </c>
      <c r="AI204" s="234">
        <v>30356</v>
      </c>
      <c r="AJ204" s="230"/>
    </row>
    <row r="205" spans="30:36" ht="40.200000000000003" thickBot="1" x14ac:dyDescent="0.35">
      <c r="AD205" s="233">
        <v>1998</v>
      </c>
      <c r="AE205" s="233" t="s">
        <v>251</v>
      </c>
      <c r="AF205" s="233" t="s">
        <v>283</v>
      </c>
      <c r="AG205" s="233" t="s">
        <v>294</v>
      </c>
      <c r="AH205" s="233" t="s">
        <v>252</v>
      </c>
      <c r="AI205" s="233">
        <v>19998</v>
      </c>
      <c r="AJ205" s="230"/>
    </row>
    <row r="206" spans="30:36" ht="40.200000000000003" thickBot="1" x14ac:dyDescent="0.35">
      <c r="AD206" s="234">
        <v>1997</v>
      </c>
      <c r="AE206" s="234" t="s">
        <v>254</v>
      </c>
      <c r="AF206" s="234" t="s">
        <v>283</v>
      </c>
      <c r="AG206" s="234" t="s">
        <v>274</v>
      </c>
      <c r="AH206" s="234" t="s">
        <v>252</v>
      </c>
      <c r="AI206" s="234">
        <v>191279</v>
      </c>
      <c r="AJ206" s="230"/>
    </row>
    <row r="207" spans="30:36" ht="40.200000000000003" thickBot="1" x14ac:dyDescent="0.35">
      <c r="AD207" s="233">
        <v>1997</v>
      </c>
      <c r="AE207" s="233" t="s">
        <v>254</v>
      </c>
      <c r="AF207" s="233" t="s">
        <v>283</v>
      </c>
      <c r="AG207" s="233" t="s">
        <v>287</v>
      </c>
      <c r="AH207" s="233" t="s">
        <v>252</v>
      </c>
      <c r="AI207" s="233">
        <v>50160</v>
      </c>
      <c r="AJ207" s="230"/>
    </row>
    <row r="208" spans="30:36" ht="40.200000000000003" thickBot="1" x14ac:dyDescent="0.35">
      <c r="AD208" s="234">
        <v>1997</v>
      </c>
      <c r="AE208" s="234" t="s">
        <v>254</v>
      </c>
      <c r="AF208" s="234" t="s">
        <v>283</v>
      </c>
      <c r="AG208" s="234" t="s">
        <v>279</v>
      </c>
      <c r="AH208" s="234" t="s">
        <v>252</v>
      </c>
      <c r="AI208" s="234">
        <v>46258</v>
      </c>
      <c r="AJ208" s="230"/>
    </row>
    <row r="209" spans="30:36" ht="40.200000000000003" thickBot="1" x14ac:dyDescent="0.35">
      <c r="AD209" s="233">
        <v>1997</v>
      </c>
      <c r="AE209" s="233" t="s">
        <v>254</v>
      </c>
      <c r="AF209" s="233" t="s">
        <v>283</v>
      </c>
      <c r="AG209" s="233" t="s">
        <v>273</v>
      </c>
      <c r="AH209" s="233" t="s">
        <v>252</v>
      </c>
      <c r="AI209" s="233">
        <v>213533</v>
      </c>
      <c r="AJ209" s="230"/>
    </row>
    <row r="210" spans="30:36" ht="40.200000000000003" thickBot="1" x14ac:dyDescent="0.35">
      <c r="AD210" s="234">
        <v>1997</v>
      </c>
      <c r="AE210" s="234" t="s">
        <v>254</v>
      </c>
      <c r="AF210" s="234" t="s">
        <v>283</v>
      </c>
      <c r="AG210" s="234" t="s">
        <v>289</v>
      </c>
      <c r="AH210" s="234" t="s">
        <v>252</v>
      </c>
      <c r="AI210" s="234">
        <v>1000460</v>
      </c>
      <c r="AJ210" s="230"/>
    </row>
    <row r="211" spans="30:36" ht="40.200000000000003" thickBot="1" x14ac:dyDescent="0.35">
      <c r="AD211" s="233">
        <v>1997</v>
      </c>
      <c r="AE211" s="233" t="s">
        <v>254</v>
      </c>
      <c r="AF211" s="233" t="s">
        <v>283</v>
      </c>
      <c r="AG211" s="233" t="s">
        <v>288</v>
      </c>
      <c r="AH211" s="233" t="s">
        <v>252</v>
      </c>
      <c r="AI211" s="233">
        <v>250240</v>
      </c>
      <c r="AJ211" s="230"/>
    </row>
    <row r="212" spans="30:36" ht="40.200000000000003" thickBot="1" x14ac:dyDescent="0.35">
      <c r="AD212" s="234">
        <v>1997</v>
      </c>
      <c r="AE212" s="234" t="s">
        <v>251</v>
      </c>
      <c r="AF212" s="234" t="s">
        <v>283</v>
      </c>
      <c r="AG212" s="234" t="s">
        <v>274</v>
      </c>
      <c r="AH212" s="234" t="s">
        <v>252</v>
      </c>
      <c r="AI212" s="234">
        <v>1151248</v>
      </c>
      <c r="AJ212" s="230"/>
    </row>
    <row r="213" spans="30:36" ht="40.200000000000003" thickBot="1" x14ac:dyDescent="0.35">
      <c r="AD213" s="233">
        <v>1997</v>
      </c>
      <c r="AE213" s="233" t="s">
        <v>251</v>
      </c>
      <c r="AF213" s="233" t="s">
        <v>283</v>
      </c>
      <c r="AG213" s="233" t="s">
        <v>270</v>
      </c>
      <c r="AH213" s="233" t="s">
        <v>252</v>
      </c>
      <c r="AI213" s="233">
        <v>60655</v>
      </c>
      <c r="AJ213" s="230"/>
    </row>
    <row r="214" spans="30:36" ht="40.200000000000003" thickBot="1" x14ac:dyDescent="0.35">
      <c r="AD214" s="234">
        <v>1996</v>
      </c>
      <c r="AE214" s="234" t="s">
        <v>254</v>
      </c>
      <c r="AF214" s="234" t="s">
        <v>283</v>
      </c>
      <c r="AG214" s="234" t="s">
        <v>284</v>
      </c>
      <c r="AH214" s="234" t="s">
        <v>252</v>
      </c>
      <c r="AI214" s="234">
        <v>172828</v>
      </c>
      <c r="AJ214" s="230"/>
    </row>
    <row r="215" spans="30:36" ht="40.200000000000003" thickBot="1" x14ac:dyDescent="0.35">
      <c r="AD215" s="233">
        <v>1996</v>
      </c>
      <c r="AE215" s="233" t="s">
        <v>254</v>
      </c>
      <c r="AF215" s="233" t="s">
        <v>283</v>
      </c>
      <c r="AG215" s="233" t="s">
        <v>273</v>
      </c>
      <c r="AH215" s="233" t="s">
        <v>252</v>
      </c>
      <c r="AI215" s="233">
        <v>377486</v>
      </c>
      <c r="AJ215" s="230"/>
    </row>
    <row r="216" spans="30:36" ht="40.200000000000003" thickBot="1" x14ac:dyDescent="0.35">
      <c r="AD216" s="234">
        <v>1996</v>
      </c>
      <c r="AE216" s="234" t="s">
        <v>254</v>
      </c>
      <c r="AF216" s="234" t="s">
        <v>283</v>
      </c>
      <c r="AG216" s="234" t="s">
        <v>289</v>
      </c>
      <c r="AH216" s="234" t="s">
        <v>252</v>
      </c>
      <c r="AI216" s="234">
        <v>591316</v>
      </c>
      <c r="AJ216" s="230"/>
    </row>
    <row r="217" spans="30:36" ht="40.200000000000003" thickBot="1" x14ac:dyDescent="0.35">
      <c r="AD217" s="233">
        <v>1996</v>
      </c>
      <c r="AE217" s="233" t="s">
        <v>254</v>
      </c>
      <c r="AF217" s="233" t="s">
        <v>283</v>
      </c>
      <c r="AG217" s="233" t="s">
        <v>287</v>
      </c>
      <c r="AH217" s="233" t="s">
        <v>252</v>
      </c>
      <c r="AI217" s="233">
        <v>50142</v>
      </c>
      <c r="AJ217" s="230"/>
    </row>
    <row r="218" spans="30:36" ht="40.200000000000003" thickBot="1" x14ac:dyDescent="0.35">
      <c r="AD218" s="234">
        <v>1996</v>
      </c>
      <c r="AE218" s="234" t="s">
        <v>251</v>
      </c>
      <c r="AF218" s="234" t="s">
        <v>283</v>
      </c>
      <c r="AG218" s="234" t="s">
        <v>274</v>
      </c>
      <c r="AH218" s="234" t="s">
        <v>252</v>
      </c>
      <c r="AI218" s="234">
        <v>69539</v>
      </c>
      <c r="AJ218" s="230"/>
    </row>
    <row r="219" spans="30:36" ht="40.200000000000003" thickBot="1" x14ac:dyDescent="0.35">
      <c r="AD219" s="233">
        <v>1996</v>
      </c>
      <c r="AE219" s="233" t="s">
        <v>251</v>
      </c>
      <c r="AF219" s="233" t="s">
        <v>283</v>
      </c>
      <c r="AG219" s="233" t="s">
        <v>274</v>
      </c>
      <c r="AH219" s="233" t="s">
        <v>252</v>
      </c>
      <c r="AI219" s="233">
        <v>541025</v>
      </c>
      <c r="AJ219" s="230"/>
    </row>
    <row r="220" spans="30:36" ht="40.200000000000003" thickBot="1" x14ac:dyDescent="0.35">
      <c r="AD220" s="234">
        <v>1996</v>
      </c>
      <c r="AE220" s="234" t="s">
        <v>251</v>
      </c>
      <c r="AF220" s="234" t="s">
        <v>283</v>
      </c>
      <c r="AG220" s="234" t="s">
        <v>279</v>
      </c>
      <c r="AH220" s="234" t="s">
        <v>252</v>
      </c>
      <c r="AI220" s="234">
        <v>776465</v>
      </c>
      <c r="AJ220" s="230"/>
    </row>
    <row r="221" spans="30:36" ht="40.200000000000003" thickBot="1" x14ac:dyDescent="0.35">
      <c r="AD221" s="233">
        <v>1996</v>
      </c>
      <c r="AE221" s="233" t="s">
        <v>251</v>
      </c>
      <c r="AF221" s="233" t="s">
        <v>283</v>
      </c>
      <c r="AG221" s="233" t="s">
        <v>276</v>
      </c>
      <c r="AH221" s="233" t="s">
        <v>252</v>
      </c>
      <c r="AI221" s="233">
        <v>50252</v>
      </c>
      <c r="AJ221" s="230"/>
    </row>
    <row r="222" spans="30:36" ht="40.200000000000003" thickBot="1" x14ac:dyDescent="0.35">
      <c r="AD222" s="234">
        <v>1995</v>
      </c>
      <c r="AE222" s="234" t="s">
        <v>254</v>
      </c>
      <c r="AF222" s="234" t="s">
        <v>283</v>
      </c>
      <c r="AG222" s="234" t="s">
        <v>274</v>
      </c>
      <c r="AH222" s="234" t="s">
        <v>252</v>
      </c>
      <c r="AI222" s="234">
        <v>190106</v>
      </c>
      <c r="AJ222" s="230"/>
    </row>
    <row r="223" spans="30:36" ht="40.200000000000003" thickBot="1" x14ac:dyDescent="0.35">
      <c r="AD223" s="233">
        <v>1995</v>
      </c>
      <c r="AE223" s="233" t="s">
        <v>254</v>
      </c>
      <c r="AF223" s="233" t="s">
        <v>283</v>
      </c>
      <c r="AG223" s="233" t="s">
        <v>274</v>
      </c>
      <c r="AH223" s="233" t="s">
        <v>252</v>
      </c>
      <c r="AI223" s="233">
        <v>43000</v>
      </c>
      <c r="AJ223" s="230"/>
    </row>
    <row r="224" spans="30:36" ht="40.200000000000003" thickBot="1" x14ac:dyDescent="0.35">
      <c r="AD224" s="234">
        <v>1995</v>
      </c>
      <c r="AE224" s="234" t="s">
        <v>254</v>
      </c>
      <c r="AF224" s="234" t="s">
        <v>283</v>
      </c>
      <c r="AG224" s="234" t="s">
        <v>273</v>
      </c>
      <c r="AH224" s="234" t="s">
        <v>252</v>
      </c>
      <c r="AI224" s="234">
        <v>92164</v>
      </c>
      <c r="AJ224" s="230"/>
    </row>
    <row r="225" spans="30:36" ht="40.200000000000003" thickBot="1" x14ac:dyDescent="0.35">
      <c r="AD225" s="233">
        <v>1995</v>
      </c>
      <c r="AE225" s="233" t="s">
        <v>254</v>
      </c>
      <c r="AF225" s="233" t="s">
        <v>283</v>
      </c>
      <c r="AG225" s="233" t="s">
        <v>289</v>
      </c>
      <c r="AH225" s="233" t="s">
        <v>252</v>
      </c>
      <c r="AI225" s="233">
        <v>652210</v>
      </c>
      <c r="AJ225" s="230"/>
    </row>
    <row r="226" spans="30:36" ht="40.200000000000003" thickBot="1" x14ac:dyDescent="0.35">
      <c r="AD226" s="234">
        <v>1995</v>
      </c>
      <c r="AE226" s="234" t="s">
        <v>254</v>
      </c>
      <c r="AF226" s="234" t="s">
        <v>283</v>
      </c>
      <c r="AG226" s="234" t="s">
        <v>273</v>
      </c>
      <c r="AH226" s="234" t="s">
        <v>252</v>
      </c>
      <c r="AI226" s="234">
        <v>217313</v>
      </c>
      <c r="AJ226" s="230"/>
    </row>
    <row r="227" spans="30:36" ht="40.200000000000003" thickBot="1" x14ac:dyDescent="0.35">
      <c r="AD227" s="233">
        <v>1995</v>
      </c>
      <c r="AE227" s="233" t="s">
        <v>254</v>
      </c>
      <c r="AF227" s="233" t="s">
        <v>283</v>
      </c>
      <c r="AG227" s="233" t="s">
        <v>274</v>
      </c>
      <c r="AH227" s="233" t="s">
        <v>252</v>
      </c>
      <c r="AI227" s="233">
        <v>73028</v>
      </c>
      <c r="AJ227" s="230"/>
    </row>
    <row r="228" spans="30:36" ht="40.200000000000003" thickBot="1" x14ac:dyDescent="0.35">
      <c r="AD228" s="234">
        <v>1995</v>
      </c>
      <c r="AE228" s="234" t="s">
        <v>254</v>
      </c>
      <c r="AF228" s="234" t="s">
        <v>283</v>
      </c>
      <c r="AG228" s="234" t="s">
        <v>288</v>
      </c>
      <c r="AH228" s="234" t="s">
        <v>252</v>
      </c>
      <c r="AI228" s="234">
        <v>598466</v>
      </c>
      <c r="AJ228" s="230"/>
    </row>
    <row r="229" spans="30:36" ht="40.200000000000003" thickBot="1" x14ac:dyDescent="0.35">
      <c r="AD229" s="233">
        <v>1995</v>
      </c>
      <c r="AE229" s="233" t="s">
        <v>251</v>
      </c>
      <c r="AF229" s="233" t="s">
        <v>283</v>
      </c>
      <c r="AG229" s="233" t="s">
        <v>273</v>
      </c>
      <c r="AH229" s="233" t="s">
        <v>252</v>
      </c>
      <c r="AI229" s="233">
        <v>50851</v>
      </c>
      <c r="AJ229" s="230"/>
    </row>
    <row r="230" spans="30:36" ht="40.200000000000003" thickBot="1" x14ac:dyDescent="0.35">
      <c r="AD230" s="234">
        <v>1995</v>
      </c>
      <c r="AE230" s="234" t="s">
        <v>251</v>
      </c>
      <c r="AF230" s="234" t="s">
        <v>283</v>
      </c>
      <c r="AG230" s="234" t="s">
        <v>284</v>
      </c>
      <c r="AH230" s="234" t="s">
        <v>252</v>
      </c>
      <c r="AI230" s="234">
        <v>809156</v>
      </c>
      <c r="AJ230" s="230"/>
    </row>
    <row r="231" spans="30:36" ht="40.200000000000003" thickBot="1" x14ac:dyDescent="0.35">
      <c r="AD231" s="233">
        <v>1995</v>
      </c>
      <c r="AE231" s="233" t="s">
        <v>251</v>
      </c>
      <c r="AF231" s="233" t="s">
        <v>283</v>
      </c>
      <c r="AG231" s="233" t="s">
        <v>284</v>
      </c>
      <c r="AH231" s="233" t="s">
        <v>252</v>
      </c>
      <c r="AI231" s="233">
        <v>378256</v>
      </c>
      <c r="AJ231" s="230"/>
    </row>
    <row r="232" spans="30:36" ht="40.200000000000003" thickBot="1" x14ac:dyDescent="0.35">
      <c r="AD232" s="234">
        <v>1994</v>
      </c>
      <c r="AE232" s="234" t="s">
        <v>254</v>
      </c>
      <c r="AF232" s="234" t="s">
        <v>283</v>
      </c>
      <c r="AG232" s="234" t="s">
        <v>289</v>
      </c>
      <c r="AH232" s="234" t="s">
        <v>252</v>
      </c>
      <c r="AI232" s="234">
        <v>800450</v>
      </c>
      <c r="AJ232" s="230"/>
    </row>
    <row r="233" spans="30:36" ht="40.200000000000003" thickBot="1" x14ac:dyDescent="0.35">
      <c r="AD233" s="233">
        <v>1994</v>
      </c>
      <c r="AE233" s="233" t="s">
        <v>254</v>
      </c>
      <c r="AF233" s="233" t="s">
        <v>283</v>
      </c>
      <c r="AG233" s="233" t="s">
        <v>275</v>
      </c>
      <c r="AH233" s="233" t="s">
        <v>252</v>
      </c>
      <c r="AI233" s="233">
        <v>482729</v>
      </c>
      <c r="AJ233" s="230"/>
    </row>
    <row r="234" spans="30:36" ht="40.200000000000003" thickBot="1" x14ac:dyDescent="0.35">
      <c r="AD234" s="234">
        <v>1994</v>
      </c>
      <c r="AE234" s="234" t="s">
        <v>254</v>
      </c>
      <c r="AF234" s="234" t="s">
        <v>283</v>
      </c>
      <c r="AG234" s="234" t="s">
        <v>284</v>
      </c>
      <c r="AH234" s="234" t="s">
        <v>252</v>
      </c>
      <c r="AI234" s="234">
        <v>278005</v>
      </c>
      <c r="AJ234" s="230"/>
    </row>
    <row r="235" spans="30:36" ht="40.200000000000003" thickBot="1" x14ac:dyDescent="0.35">
      <c r="AD235" s="233">
        <v>1994</v>
      </c>
      <c r="AE235" s="233" t="s">
        <v>254</v>
      </c>
      <c r="AF235" s="233" t="s">
        <v>283</v>
      </c>
      <c r="AG235" s="233" t="s">
        <v>287</v>
      </c>
      <c r="AH235" s="233" t="s">
        <v>252</v>
      </c>
      <c r="AI235" s="233">
        <v>400280</v>
      </c>
      <c r="AJ235" s="230"/>
    </row>
    <row r="236" spans="30:36" ht="40.200000000000003" thickBot="1" x14ac:dyDescent="0.35">
      <c r="AD236" s="234">
        <v>1994</v>
      </c>
      <c r="AE236" s="234" t="s">
        <v>251</v>
      </c>
      <c r="AF236" s="234" t="s">
        <v>283</v>
      </c>
      <c r="AG236" s="234" t="s">
        <v>273</v>
      </c>
      <c r="AH236" s="234" t="s">
        <v>252</v>
      </c>
      <c r="AI236" s="234">
        <v>258381</v>
      </c>
      <c r="AJ236" s="230"/>
    </row>
    <row r="237" spans="30:36" ht="40.200000000000003" thickBot="1" x14ac:dyDescent="0.35">
      <c r="AD237" s="233">
        <v>1994</v>
      </c>
      <c r="AE237" s="233" t="s">
        <v>251</v>
      </c>
      <c r="AF237" s="233" t="s">
        <v>283</v>
      </c>
      <c r="AG237" s="233" t="s">
        <v>274</v>
      </c>
      <c r="AH237" s="233" t="s">
        <v>252</v>
      </c>
      <c r="AI237" s="233">
        <v>694973</v>
      </c>
      <c r="AJ237" s="230"/>
    </row>
    <row r="238" spans="30:36" ht="40.200000000000003" thickBot="1" x14ac:dyDescent="0.35">
      <c r="AD238" s="234">
        <v>1994</v>
      </c>
      <c r="AE238" s="234" t="s">
        <v>251</v>
      </c>
      <c r="AF238" s="234" t="s">
        <v>283</v>
      </c>
      <c r="AG238" s="234" t="s">
        <v>274</v>
      </c>
      <c r="AH238" s="234" t="s">
        <v>252</v>
      </c>
      <c r="AI238" s="234">
        <v>308727</v>
      </c>
      <c r="AJ238" s="230"/>
    </row>
    <row r="239" spans="30:36" ht="40.200000000000003" thickBot="1" x14ac:dyDescent="0.35">
      <c r="AD239" s="233">
        <v>1993</v>
      </c>
      <c r="AE239" s="233" t="s">
        <v>254</v>
      </c>
      <c r="AF239" s="233" t="s">
        <v>283</v>
      </c>
      <c r="AG239" s="233" t="s">
        <v>284</v>
      </c>
      <c r="AH239" s="233" t="s">
        <v>252</v>
      </c>
      <c r="AI239" s="233">
        <v>265326</v>
      </c>
      <c r="AJ239" s="230"/>
    </row>
    <row r="240" spans="30:36" ht="40.200000000000003" thickBot="1" x14ac:dyDescent="0.35">
      <c r="AD240" s="234">
        <v>1993</v>
      </c>
      <c r="AE240" s="234" t="s">
        <v>254</v>
      </c>
      <c r="AF240" s="234" t="s">
        <v>283</v>
      </c>
      <c r="AG240" s="234" t="s">
        <v>289</v>
      </c>
      <c r="AH240" s="234" t="s">
        <v>252</v>
      </c>
      <c r="AI240" s="234">
        <v>1000632</v>
      </c>
      <c r="AJ240" s="230"/>
    </row>
    <row r="241" spans="30:36" ht="40.200000000000003" thickBot="1" x14ac:dyDescent="0.35">
      <c r="AD241" s="233">
        <v>1993</v>
      </c>
      <c r="AE241" s="233" t="s">
        <v>254</v>
      </c>
      <c r="AF241" s="233" t="s">
        <v>283</v>
      </c>
      <c r="AG241" s="233" t="s">
        <v>287</v>
      </c>
      <c r="AH241" s="233" t="s">
        <v>252</v>
      </c>
      <c r="AI241" s="233">
        <v>49930</v>
      </c>
      <c r="AJ241" s="230"/>
    </row>
    <row r="242" spans="30:36" ht="40.200000000000003" thickBot="1" x14ac:dyDescent="0.35">
      <c r="AD242" s="234">
        <v>1993</v>
      </c>
      <c r="AE242" s="234" t="s">
        <v>254</v>
      </c>
      <c r="AF242" s="234" t="s">
        <v>283</v>
      </c>
      <c r="AG242" s="234" t="s">
        <v>288</v>
      </c>
      <c r="AH242" s="234" t="s">
        <v>252</v>
      </c>
      <c r="AI242" s="234">
        <v>249793</v>
      </c>
      <c r="AJ242" s="230"/>
    </row>
    <row r="243" spans="30:36" ht="40.200000000000003" thickBot="1" x14ac:dyDescent="0.35">
      <c r="AD243" s="233">
        <v>1993</v>
      </c>
      <c r="AE243" s="233" t="s">
        <v>254</v>
      </c>
      <c r="AF243" s="233" t="s">
        <v>283</v>
      </c>
      <c r="AG243" s="233" t="s">
        <v>274</v>
      </c>
      <c r="AH243" s="233" t="s">
        <v>252</v>
      </c>
      <c r="AI243" s="233">
        <v>49938</v>
      </c>
      <c r="AJ243" s="230"/>
    </row>
    <row r="244" spans="30:36" ht="40.200000000000003" thickBot="1" x14ac:dyDescent="0.35">
      <c r="AD244" s="234">
        <v>1993</v>
      </c>
      <c r="AE244" s="234" t="s">
        <v>251</v>
      </c>
      <c r="AF244" s="234" t="s">
        <v>283</v>
      </c>
      <c r="AG244" s="234" t="s">
        <v>273</v>
      </c>
      <c r="AH244" s="234" t="s">
        <v>252</v>
      </c>
      <c r="AI244" s="234">
        <v>349808</v>
      </c>
      <c r="AJ244" s="230"/>
    </row>
    <row r="245" spans="30:36" ht="40.200000000000003" thickBot="1" x14ac:dyDescent="0.35">
      <c r="AD245" s="233">
        <v>1993</v>
      </c>
      <c r="AE245" s="233" t="s">
        <v>251</v>
      </c>
      <c r="AF245" s="233" t="s">
        <v>283</v>
      </c>
      <c r="AG245" s="233" t="s">
        <v>274</v>
      </c>
      <c r="AH245" s="233" t="s">
        <v>252</v>
      </c>
      <c r="AI245" s="233">
        <v>1065302</v>
      </c>
      <c r="AJ245" s="230"/>
    </row>
    <row r="246" spans="30:36" ht="40.200000000000003" thickBot="1" x14ac:dyDescent="0.35">
      <c r="AD246" s="234">
        <v>1992</v>
      </c>
      <c r="AE246" s="234" t="s">
        <v>254</v>
      </c>
      <c r="AF246" s="234" t="s">
        <v>283</v>
      </c>
      <c r="AG246" s="234" t="s">
        <v>289</v>
      </c>
      <c r="AH246" s="234" t="s">
        <v>252</v>
      </c>
      <c r="AI246" s="234">
        <v>953154</v>
      </c>
      <c r="AJ246" s="230"/>
    </row>
    <row r="247" spans="30:36" ht="40.200000000000003" thickBot="1" x14ac:dyDescent="0.35">
      <c r="AD247" s="233">
        <v>1992</v>
      </c>
      <c r="AE247" s="233" t="s">
        <v>254</v>
      </c>
      <c r="AF247" s="233" t="s">
        <v>283</v>
      </c>
      <c r="AG247" s="233" t="s">
        <v>287</v>
      </c>
      <c r="AH247" s="233" t="s">
        <v>252</v>
      </c>
      <c r="AI247" s="233">
        <v>100084</v>
      </c>
      <c r="AJ247" s="230"/>
    </row>
    <row r="248" spans="30:36" ht="40.200000000000003" thickBot="1" x14ac:dyDescent="0.35">
      <c r="AD248" s="234">
        <v>1992</v>
      </c>
      <c r="AE248" s="234" t="s">
        <v>254</v>
      </c>
      <c r="AF248" s="234" t="s">
        <v>283</v>
      </c>
      <c r="AG248" s="234" t="s">
        <v>288</v>
      </c>
      <c r="AH248" s="234" t="s">
        <v>252</v>
      </c>
      <c r="AI248" s="234">
        <v>527457</v>
      </c>
      <c r="AJ248" s="230"/>
    </row>
    <row r="249" spans="30:36" ht="40.200000000000003" thickBot="1" x14ac:dyDescent="0.35">
      <c r="AD249" s="233">
        <v>1992</v>
      </c>
      <c r="AE249" s="233" t="s">
        <v>254</v>
      </c>
      <c r="AF249" s="233" t="s">
        <v>283</v>
      </c>
      <c r="AG249" s="233" t="s">
        <v>274</v>
      </c>
      <c r="AH249" s="233" t="s">
        <v>252</v>
      </c>
      <c r="AI249" s="233">
        <v>51929</v>
      </c>
      <c r="AJ249" s="230"/>
    </row>
    <row r="250" spans="30:36" ht="40.200000000000003" thickBot="1" x14ac:dyDescent="0.35">
      <c r="AD250" s="234">
        <v>1992</v>
      </c>
      <c r="AE250" s="234" t="s">
        <v>251</v>
      </c>
      <c r="AF250" s="234" t="s">
        <v>283</v>
      </c>
      <c r="AG250" s="234" t="s">
        <v>274</v>
      </c>
      <c r="AH250" s="234" t="s">
        <v>252</v>
      </c>
      <c r="AI250" s="234">
        <v>775214</v>
      </c>
      <c r="AJ250" s="230"/>
    </row>
    <row r="251" spans="30:36" ht="40.200000000000003" thickBot="1" x14ac:dyDescent="0.35">
      <c r="AD251" s="233">
        <v>1991</v>
      </c>
      <c r="AE251" s="233" t="s">
        <v>251</v>
      </c>
      <c r="AF251" s="233" t="s">
        <v>283</v>
      </c>
      <c r="AG251" s="233" t="s">
        <v>274</v>
      </c>
      <c r="AH251" s="233" t="s">
        <v>252</v>
      </c>
      <c r="AI251" s="233">
        <v>713107</v>
      </c>
      <c r="AJ251" s="230"/>
    </row>
    <row r="252" spans="30:36" ht="40.200000000000003" thickBot="1" x14ac:dyDescent="0.35">
      <c r="AD252" s="234">
        <v>1990</v>
      </c>
      <c r="AE252" s="234" t="s">
        <v>254</v>
      </c>
      <c r="AF252" s="234" t="s">
        <v>283</v>
      </c>
      <c r="AG252" s="234" t="s">
        <v>270</v>
      </c>
      <c r="AH252" s="234" t="s">
        <v>252</v>
      </c>
      <c r="AI252" s="234">
        <v>1177759</v>
      </c>
      <c r="AJ252" s="230"/>
    </row>
    <row r="253" spans="30:36" ht="40.200000000000003" thickBot="1" x14ac:dyDescent="0.35">
      <c r="AD253" s="233">
        <v>1990</v>
      </c>
      <c r="AE253" s="233" t="s">
        <v>254</v>
      </c>
      <c r="AF253" s="233" t="s">
        <v>283</v>
      </c>
      <c r="AG253" s="233" t="s">
        <v>288</v>
      </c>
      <c r="AH253" s="233" t="s">
        <v>252</v>
      </c>
      <c r="AI253" s="233">
        <v>250548</v>
      </c>
      <c r="AJ253" s="230"/>
    </row>
    <row r="254" spans="30:36" ht="40.200000000000003" thickBot="1" x14ac:dyDescent="0.35">
      <c r="AD254" s="234">
        <v>1990</v>
      </c>
      <c r="AE254" s="234" t="s">
        <v>254</v>
      </c>
      <c r="AF254" s="234" t="s">
        <v>283</v>
      </c>
      <c r="AG254" s="234" t="s">
        <v>289</v>
      </c>
      <c r="AH254" s="234" t="s">
        <v>252</v>
      </c>
      <c r="AI254" s="234">
        <v>634795</v>
      </c>
      <c r="AJ254" s="230"/>
    </row>
    <row r="255" spans="30:36" ht="40.200000000000003" thickBot="1" x14ac:dyDescent="0.35">
      <c r="AD255" s="233">
        <v>1990</v>
      </c>
      <c r="AE255" s="233" t="s">
        <v>254</v>
      </c>
      <c r="AF255" s="233" t="s">
        <v>283</v>
      </c>
      <c r="AG255" s="233" t="s">
        <v>289</v>
      </c>
      <c r="AH255" s="233" t="s">
        <v>252</v>
      </c>
      <c r="AI255" s="233">
        <v>210087</v>
      </c>
      <c r="AJ255" s="230"/>
    </row>
    <row r="256" spans="30:36" ht="40.200000000000003" thickBot="1" x14ac:dyDescent="0.35">
      <c r="AD256" s="234">
        <v>1990</v>
      </c>
      <c r="AE256" s="234" t="s">
        <v>254</v>
      </c>
      <c r="AF256" s="234" t="s">
        <v>283</v>
      </c>
      <c r="AG256" s="234" t="s">
        <v>274</v>
      </c>
      <c r="AH256" s="234" t="s">
        <v>252</v>
      </c>
      <c r="AI256" s="234">
        <v>282727</v>
      </c>
      <c r="AJ256" s="230"/>
    </row>
    <row r="257" spans="30:36" ht="40.200000000000003" thickBot="1" x14ac:dyDescent="0.35">
      <c r="AD257" s="233">
        <v>1990</v>
      </c>
      <c r="AE257" s="233" t="s">
        <v>254</v>
      </c>
      <c r="AF257" s="233" t="s">
        <v>283</v>
      </c>
      <c r="AG257" s="233" t="s">
        <v>274</v>
      </c>
      <c r="AH257" s="233" t="s">
        <v>252</v>
      </c>
      <c r="AI257" s="233">
        <v>31650</v>
      </c>
      <c r="AJ257" s="230"/>
    </row>
    <row r="258" spans="30:36" ht="40.200000000000003" thickBot="1" x14ac:dyDescent="0.35">
      <c r="AD258" s="234">
        <v>1990</v>
      </c>
      <c r="AE258" s="234" t="s">
        <v>251</v>
      </c>
      <c r="AF258" s="234" t="s">
        <v>283</v>
      </c>
      <c r="AG258" s="234" t="s">
        <v>274</v>
      </c>
      <c r="AH258" s="234" t="s">
        <v>252</v>
      </c>
      <c r="AI258" s="234">
        <v>17625</v>
      </c>
      <c r="AJ258" s="230"/>
    </row>
    <row r="259" spans="30:36" ht="40.200000000000003" thickBot="1" x14ac:dyDescent="0.35">
      <c r="AD259" s="233">
        <v>1990</v>
      </c>
      <c r="AE259" s="233" t="s">
        <v>251</v>
      </c>
      <c r="AF259" s="233" t="s">
        <v>283</v>
      </c>
      <c r="AG259" s="233" t="s">
        <v>279</v>
      </c>
      <c r="AH259" s="233" t="s">
        <v>252</v>
      </c>
      <c r="AI259" s="233">
        <v>71881</v>
      </c>
      <c r="AJ259" s="230"/>
    </row>
    <row r="260" spans="30:36" ht="40.200000000000003" thickBot="1" x14ac:dyDescent="0.35">
      <c r="AD260" s="234">
        <v>1989</v>
      </c>
      <c r="AE260" s="234" t="s">
        <v>254</v>
      </c>
      <c r="AF260" s="234" t="s">
        <v>283</v>
      </c>
      <c r="AG260" s="234" t="s">
        <v>270</v>
      </c>
      <c r="AH260" s="234" t="s">
        <v>252</v>
      </c>
      <c r="AI260" s="234">
        <v>451000</v>
      </c>
      <c r="AJ260" s="230"/>
    </row>
    <row r="261" spans="30:36" ht="40.200000000000003" thickBot="1" x14ac:dyDescent="0.35">
      <c r="AD261" s="233">
        <v>1989</v>
      </c>
      <c r="AE261" s="233" t="s">
        <v>254</v>
      </c>
      <c r="AF261" s="233" t="s">
        <v>283</v>
      </c>
      <c r="AG261" s="233" t="s">
        <v>289</v>
      </c>
      <c r="AH261" s="233" t="s">
        <v>252</v>
      </c>
      <c r="AI261" s="233">
        <v>593500</v>
      </c>
      <c r="AJ261" s="230"/>
    </row>
    <row r="262" spans="30:36" ht="40.200000000000003" thickBot="1" x14ac:dyDescent="0.35">
      <c r="AD262" s="234">
        <v>1989</v>
      </c>
      <c r="AE262" s="234" t="s">
        <v>254</v>
      </c>
      <c r="AF262" s="234" t="s">
        <v>283</v>
      </c>
      <c r="AG262" s="234" t="s">
        <v>284</v>
      </c>
      <c r="AH262" s="234" t="s">
        <v>252</v>
      </c>
      <c r="AI262" s="234">
        <v>435000</v>
      </c>
      <c r="AJ262" s="230"/>
    </row>
    <row r="263" spans="30:36" ht="40.200000000000003" thickBot="1" x14ac:dyDescent="0.35">
      <c r="AD263" s="233">
        <v>1989</v>
      </c>
      <c r="AE263" s="233" t="s">
        <v>254</v>
      </c>
      <c r="AF263" s="233" t="s">
        <v>283</v>
      </c>
      <c r="AG263" s="233" t="s">
        <v>284</v>
      </c>
      <c r="AH263" s="233" t="s">
        <v>252</v>
      </c>
      <c r="AI263" s="233">
        <v>175000</v>
      </c>
      <c r="AJ263" s="230"/>
    </row>
    <row r="264" spans="30:36" ht="40.200000000000003" thickBot="1" x14ac:dyDescent="0.35">
      <c r="AD264" s="234">
        <v>1989</v>
      </c>
      <c r="AE264" s="234" t="s">
        <v>254</v>
      </c>
      <c r="AF264" s="234" t="s">
        <v>283</v>
      </c>
      <c r="AG264" s="234" t="s">
        <v>279</v>
      </c>
      <c r="AH264" s="234" t="s">
        <v>252</v>
      </c>
      <c r="AI264" s="234">
        <v>170000</v>
      </c>
      <c r="AJ264" s="230"/>
    </row>
    <row r="265" spans="30:36" ht="40.200000000000003" thickBot="1" x14ac:dyDescent="0.35">
      <c r="AD265" s="233">
        <v>1989</v>
      </c>
      <c r="AE265" s="233" t="s">
        <v>254</v>
      </c>
      <c r="AF265" s="233" t="s">
        <v>283</v>
      </c>
      <c r="AG265" s="233" t="s">
        <v>279</v>
      </c>
      <c r="AH265" s="233" t="s">
        <v>252</v>
      </c>
      <c r="AI265" s="233">
        <v>30000</v>
      </c>
      <c r="AJ265" s="230"/>
    </row>
    <row r="266" spans="30:36" ht="40.200000000000003" thickBot="1" x14ac:dyDescent="0.35">
      <c r="AD266" s="234">
        <v>1989</v>
      </c>
      <c r="AE266" s="234" t="s">
        <v>251</v>
      </c>
      <c r="AF266" s="234" t="s">
        <v>283</v>
      </c>
      <c r="AG266" s="234" t="s">
        <v>274</v>
      </c>
      <c r="AH266" s="234" t="s">
        <v>252</v>
      </c>
      <c r="AI266" s="234">
        <v>22800</v>
      </c>
      <c r="AJ266" s="230"/>
    </row>
    <row r="267" spans="30:36" ht="40.200000000000003" thickBot="1" x14ac:dyDescent="0.35">
      <c r="AD267" s="233">
        <v>1989</v>
      </c>
      <c r="AE267" s="233" t="s">
        <v>251</v>
      </c>
      <c r="AF267" s="233" t="s">
        <v>283</v>
      </c>
      <c r="AG267" s="233" t="s">
        <v>273</v>
      </c>
      <c r="AH267" s="233" t="s">
        <v>252</v>
      </c>
      <c r="AI267" s="233">
        <v>219160</v>
      </c>
      <c r="AJ267" s="230"/>
    </row>
    <row r="268" spans="30:36" ht="40.200000000000003" thickBot="1" x14ac:dyDescent="0.35">
      <c r="AD268" s="234">
        <v>1989</v>
      </c>
      <c r="AE268" s="234" t="s">
        <v>251</v>
      </c>
      <c r="AF268" s="234" t="s">
        <v>283</v>
      </c>
      <c r="AG268" s="234" t="s">
        <v>274</v>
      </c>
      <c r="AH268" s="234" t="s">
        <v>252</v>
      </c>
      <c r="AI268" s="234">
        <v>21336</v>
      </c>
      <c r="AJ268" s="230"/>
    </row>
    <row r="269" spans="30:36" ht="40.200000000000003" thickBot="1" x14ac:dyDescent="0.35">
      <c r="AD269" s="233">
        <v>1989</v>
      </c>
      <c r="AE269" s="233" t="s">
        <v>251</v>
      </c>
      <c r="AF269" s="233" t="s">
        <v>283</v>
      </c>
      <c r="AG269" s="233" t="s">
        <v>279</v>
      </c>
      <c r="AH269" s="233" t="s">
        <v>252</v>
      </c>
      <c r="AI269" s="233">
        <v>19397</v>
      </c>
      <c r="AJ269" s="230"/>
    </row>
    <row r="270" spans="30:36" ht="40.200000000000003" thickBot="1" x14ac:dyDescent="0.35">
      <c r="AD270" s="234">
        <v>1988</v>
      </c>
      <c r="AE270" s="234" t="s">
        <v>254</v>
      </c>
      <c r="AF270" s="234" t="s">
        <v>283</v>
      </c>
      <c r="AG270" s="234" t="s">
        <v>270</v>
      </c>
      <c r="AH270" s="234" t="s">
        <v>252</v>
      </c>
      <c r="AI270" s="234">
        <v>30000</v>
      </c>
      <c r="AJ270" s="230"/>
    </row>
    <row r="271" spans="30:36" ht="40.200000000000003" thickBot="1" x14ac:dyDescent="0.35">
      <c r="AD271" s="233">
        <v>1988</v>
      </c>
      <c r="AE271" s="233" t="s">
        <v>254</v>
      </c>
      <c r="AF271" s="233" t="s">
        <v>283</v>
      </c>
      <c r="AG271" s="233" t="s">
        <v>276</v>
      </c>
      <c r="AH271" s="233" t="s">
        <v>252</v>
      </c>
      <c r="AI271" s="233">
        <v>170500</v>
      </c>
      <c r="AJ271" s="230"/>
    </row>
    <row r="272" spans="30:36" ht="40.200000000000003" thickBot="1" x14ac:dyDescent="0.35">
      <c r="AD272" s="234">
        <v>1988</v>
      </c>
      <c r="AE272" s="234" t="s">
        <v>254</v>
      </c>
      <c r="AF272" s="234" t="s">
        <v>283</v>
      </c>
      <c r="AG272" s="234" t="s">
        <v>274</v>
      </c>
      <c r="AH272" s="234" t="s">
        <v>252</v>
      </c>
      <c r="AI272" s="234">
        <v>89500</v>
      </c>
      <c r="AJ272" s="230"/>
    </row>
    <row r="273" spans="30:36" ht="40.200000000000003" thickBot="1" x14ac:dyDescent="0.35">
      <c r="AD273" s="233">
        <v>1988</v>
      </c>
      <c r="AE273" s="233" t="s">
        <v>254</v>
      </c>
      <c r="AF273" s="233" t="s">
        <v>283</v>
      </c>
      <c r="AG273" s="233" t="s">
        <v>270</v>
      </c>
      <c r="AH273" s="233" t="s">
        <v>252</v>
      </c>
      <c r="AI273" s="233">
        <v>2416000</v>
      </c>
      <c r="AJ273" s="230"/>
    </row>
    <row r="274" spans="30:36" ht="40.200000000000003" thickBot="1" x14ac:dyDescent="0.35">
      <c r="AD274" s="234">
        <v>1988</v>
      </c>
      <c r="AE274" s="234" t="s">
        <v>254</v>
      </c>
      <c r="AF274" s="234" t="s">
        <v>283</v>
      </c>
      <c r="AG274" s="234" t="s">
        <v>279</v>
      </c>
      <c r="AH274" s="234" t="s">
        <v>252</v>
      </c>
      <c r="AI274" s="234">
        <v>870500</v>
      </c>
      <c r="AJ274" s="230"/>
    </row>
    <row r="275" spans="30:36" ht="40.200000000000003" thickBot="1" x14ac:dyDescent="0.35">
      <c r="AD275" s="233">
        <v>1988</v>
      </c>
      <c r="AE275" s="233" t="s">
        <v>251</v>
      </c>
      <c r="AF275" s="233" t="s">
        <v>283</v>
      </c>
      <c r="AG275" s="233" t="s">
        <v>279</v>
      </c>
      <c r="AH275" s="233" t="s">
        <v>252</v>
      </c>
      <c r="AI275" s="233">
        <v>77500</v>
      </c>
      <c r="AJ275" s="230"/>
    </row>
    <row r="276" spans="30:36" ht="40.200000000000003" thickBot="1" x14ac:dyDescent="0.35">
      <c r="AD276" s="234">
        <v>1988</v>
      </c>
      <c r="AE276" s="234" t="s">
        <v>251</v>
      </c>
      <c r="AF276" s="234" t="s">
        <v>283</v>
      </c>
      <c r="AG276" s="234" t="s">
        <v>276</v>
      </c>
      <c r="AH276" s="234" t="s">
        <v>252</v>
      </c>
      <c r="AI276" s="234">
        <v>214500</v>
      </c>
      <c r="AJ276" s="230"/>
    </row>
    <row r="277" spans="30:36" ht="40.200000000000003" thickBot="1" x14ac:dyDescent="0.35">
      <c r="AD277" s="233">
        <v>1987</v>
      </c>
      <c r="AE277" s="233" t="s">
        <v>251</v>
      </c>
      <c r="AF277" s="233" t="s">
        <v>283</v>
      </c>
      <c r="AG277" s="233" t="s">
        <v>275</v>
      </c>
      <c r="AH277" s="233" t="s">
        <v>252</v>
      </c>
      <c r="AI277" s="233">
        <v>228000</v>
      </c>
      <c r="AJ277" s="230"/>
    </row>
    <row r="278" spans="30:36" ht="40.200000000000003" thickBot="1" x14ac:dyDescent="0.35">
      <c r="AD278" s="234">
        <v>1987</v>
      </c>
      <c r="AE278" s="234" t="s">
        <v>251</v>
      </c>
      <c r="AF278" s="234" t="s">
        <v>283</v>
      </c>
      <c r="AG278" s="234" t="s">
        <v>279</v>
      </c>
      <c r="AH278" s="234" t="s">
        <v>252</v>
      </c>
      <c r="AI278" s="234">
        <v>56000</v>
      </c>
      <c r="AJ278" s="230"/>
    </row>
  </sheetData>
  <mergeCells count="7">
    <mergeCell ref="AT39:AT40"/>
    <mergeCell ref="AT45:AW45"/>
    <mergeCell ref="CN18:CX18"/>
    <mergeCell ref="AT11:AT12"/>
    <mergeCell ref="AT16:AW16"/>
    <mergeCell ref="AT26:AW26"/>
    <mergeCell ref="AT35:AW35"/>
  </mergeCells>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1:GO275"/>
  <sheetViews>
    <sheetView zoomScale="98" zoomScaleNormal="98" workbookViewId="0">
      <pane ySplit="4" topLeftCell="A5" activePane="bottomLeft" state="frozen"/>
      <selection pane="bottomLeft"/>
    </sheetView>
  </sheetViews>
  <sheetFormatPr defaultRowHeight="14.4" x14ac:dyDescent="0.3"/>
  <cols>
    <col min="3" max="3" width="6.6640625" style="116" customWidth="1"/>
    <col min="4" max="4" width="8" style="116" customWidth="1"/>
    <col min="5" max="5" width="7.88671875" style="116" customWidth="1"/>
    <col min="6" max="6" width="9.33203125" style="116" customWidth="1"/>
    <col min="7" max="35" width="5.6640625" style="116" customWidth="1"/>
    <col min="37" max="37" width="17.44140625" customWidth="1"/>
    <col min="40" max="40" width="25.109375" customWidth="1"/>
    <col min="43" max="43" width="18.5546875" customWidth="1"/>
    <col min="56" max="56" width="15.88671875" customWidth="1"/>
    <col min="57" max="57" width="16.5546875" customWidth="1"/>
    <col min="82" max="86" width="5.6640625" customWidth="1"/>
    <col min="107" max="107" width="11.109375" customWidth="1"/>
    <col min="109" max="109" width="11.88671875" customWidth="1"/>
    <col min="116" max="116" width="9.109375" customWidth="1"/>
    <col min="132" max="132" width="6.109375" customWidth="1"/>
    <col min="133" max="133" width="18.44140625" customWidth="1"/>
    <col min="134" max="134" width="17.109375" customWidth="1"/>
    <col min="135" max="135" width="12" customWidth="1"/>
    <col min="137" max="137" width="11.33203125" customWidth="1"/>
    <col min="156" max="156" width="10.33203125" customWidth="1"/>
    <col min="157" max="158" width="13.33203125" customWidth="1"/>
    <col min="159" max="159" width="12.6640625" customWidth="1"/>
    <col min="160" max="160" width="11.5546875" customWidth="1"/>
    <col min="161" max="161" width="13.44140625" customWidth="1"/>
    <col min="162" max="163" width="11.88671875" customWidth="1"/>
    <col min="164" max="166" width="11.6640625" customWidth="1"/>
    <col min="182" max="182" width="6.6640625" customWidth="1"/>
    <col min="183" max="183" width="11.109375" customWidth="1"/>
    <col min="184" max="184" width="10.6640625" customWidth="1"/>
    <col min="185" max="185" width="12" customWidth="1"/>
    <col min="186" max="186" width="14.5546875" customWidth="1"/>
    <col min="192" max="192" width="9.109375" customWidth="1"/>
    <col min="193" max="193" width="11.44140625" customWidth="1"/>
    <col min="194" max="194" width="10.109375" customWidth="1"/>
  </cols>
  <sheetData>
    <row r="1" spans="3:197" x14ac:dyDescent="0.3">
      <c r="C1" s="116" t="s">
        <v>209</v>
      </c>
    </row>
    <row r="2" spans="3:197" x14ac:dyDescent="0.3">
      <c r="F2" s="185" t="s">
        <v>166</v>
      </c>
      <c r="G2" s="185"/>
      <c r="H2" s="185"/>
      <c r="I2" s="185"/>
      <c r="J2" s="185"/>
      <c r="K2" s="185"/>
      <c r="L2" s="185"/>
      <c r="M2" s="186" t="s">
        <v>167</v>
      </c>
      <c r="N2" s="186"/>
      <c r="O2" s="186"/>
      <c r="P2" s="186"/>
      <c r="Q2" s="186"/>
      <c r="R2" s="186"/>
      <c r="S2" s="186"/>
      <c r="T2" s="186"/>
      <c r="U2" s="186"/>
      <c r="V2" s="186"/>
      <c r="W2" s="186"/>
      <c r="X2" s="186"/>
      <c r="Y2" s="186"/>
      <c r="Z2" s="187" t="s">
        <v>168</v>
      </c>
      <c r="AA2" s="187"/>
      <c r="AB2" s="187"/>
      <c r="AC2" s="187"/>
      <c r="AD2" s="187"/>
      <c r="AE2" s="187"/>
      <c r="AF2" s="187"/>
      <c r="AG2" s="187"/>
      <c r="AH2" s="116" t="s">
        <v>169</v>
      </c>
    </row>
    <row r="3" spans="3:197" x14ac:dyDescent="0.3">
      <c r="C3" s="156" t="s">
        <v>141</v>
      </c>
      <c r="D3" s="157" t="s">
        <v>142</v>
      </c>
      <c r="E3" s="503" t="s">
        <v>143</v>
      </c>
      <c r="F3" s="154"/>
      <c r="G3" s="158" t="s">
        <v>144</v>
      </c>
      <c r="H3" s="155"/>
      <c r="I3" s="500" t="s">
        <v>145</v>
      </c>
      <c r="J3" s="501"/>
      <c r="K3" s="500" t="s">
        <v>146</v>
      </c>
      <c r="L3" s="501"/>
      <c r="M3" s="500" t="s">
        <v>147</v>
      </c>
      <c r="N3" s="502"/>
      <c r="O3" s="501"/>
      <c r="P3" s="500" t="s">
        <v>148</v>
      </c>
      <c r="Q3" s="502"/>
      <c r="R3" s="501"/>
      <c r="S3" s="498" t="s">
        <v>149</v>
      </c>
      <c r="T3" s="499"/>
      <c r="U3" s="498" t="s">
        <v>150</v>
      </c>
      <c r="V3" s="499"/>
      <c r="W3" s="159" t="s">
        <v>151</v>
      </c>
      <c r="X3" s="498" t="s">
        <v>152</v>
      </c>
      <c r="Y3" s="499"/>
      <c r="Z3" s="154"/>
      <c r="AA3" s="158" t="s">
        <v>144</v>
      </c>
      <c r="AB3" s="155"/>
      <c r="AC3" s="500" t="s">
        <v>153</v>
      </c>
      <c r="AD3" s="501"/>
      <c r="AE3" s="500" t="s">
        <v>154</v>
      </c>
      <c r="AF3" s="502"/>
      <c r="AG3" s="501"/>
      <c r="AH3" s="496" t="s">
        <v>155</v>
      </c>
      <c r="AI3" s="496" t="s">
        <v>156</v>
      </c>
      <c r="AK3" t="s">
        <v>407</v>
      </c>
    </row>
    <row r="4" spans="3:197" x14ac:dyDescent="0.3">
      <c r="C4" s="160" t="s">
        <v>3</v>
      </c>
      <c r="D4" s="161" t="s">
        <v>157</v>
      </c>
      <c r="E4" s="504"/>
      <c r="F4" s="162" t="s">
        <v>158</v>
      </c>
      <c r="G4" s="163" t="s">
        <v>159</v>
      </c>
      <c r="H4" s="164" t="s">
        <v>160</v>
      </c>
      <c r="I4" s="162" t="s">
        <v>158</v>
      </c>
      <c r="J4" s="164" t="s">
        <v>160</v>
      </c>
      <c r="K4" s="165" t="s">
        <v>158</v>
      </c>
      <c r="L4" s="164" t="s">
        <v>160</v>
      </c>
      <c r="M4" s="162" t="s">
        <v>158</v>
      </c>
      <c r="N4" s="163" t="s">
        <v>159</v>
      </c>
      <c r="O4" s="166" t="s">
        <v>160</v>
      </c>
      <c r="P4" s="165" t="s">
        <v>158</v>
      </c>
      <c r="Q4" s="163" t="s">
        <v>159</v>
      </c>
      <c r="R4" s="164" t="s">
        <v>160</v>
      </c>
      <c r="S4" s="165" t="s">
        <v>158</v>
      </c>
      <c r="T4" s="164" t="s">
        <v>160</v>
      </c>
      <c r="U4" s="162" t="s">
        <v>158</v>
      </c>
      <c r="V4" s="166" t="s">
        <v>160</v>
      </c>
      <c r="W4" s="167" t="s">
        <v>159</v>
      </c>
      <c r="X4" s="168" t="s">
        <v>159</v>
      </c>
      <c r="Y4" s="166" t="s">
        <v>160</v>
      </c>
      <c r="Z4" s="162" t="s">
        <v>158</v>
      </c>
      <c r="AA4" s="163" t="s">
        <v>159</v>
      </c>
      <c r="AB4" s="164" t="s">
        <v>160</v>
      </c>
      <c r="AC4" s="165" t="s">
        <v>159</v>
      </c>
      <c r="AD4" s="164" t="s">
        <v>160</v>
      </c>
      <c r="AE4" s="165" t="s">
        <v>158</v>
      </c>
      <c r="AF4" s="169" t="s">
        <v>159</v>
      </c>
      <c r="AG4" s="166" t="s">
        <v>160</v>
      </c>
      <c r="AH4" s="497"/>
      <c r="AI4" s="497"/>
      <c r="AK4" t="s">
        <v>408</v>
      </c>
    </row>
    <row r="5" spans="3:197" x14ac:dyDescent="0.3">
      <c r="C5" s="170">
        <v>1979</v>
      </c>
      <c r="D5" s="171">
        <v>2082</v>
      </c>
      <c r="E5" s="172" t="s">
        <v>161</v>
      </c>
      <c r="F5" s="173">
        <v>5.5</v>
      </c>
      <c r="G5" s="174">
        <v>0.1</v>
      </c>
      <c r="H5" s="174">
        <v>0.2</v>
      </c>
      <c r="I5" s="174">
        <v>10</v>
      </c>
      <c r="J5" s="174">
        <v>0</v>
      </c>
      <c r="K5" s="174">
        <v>6.6</v>
      </c>
      <c r="L5" s="174">
        <v>0</v>
      </c>
      <c r="M5" s="174">
        <v>0.4</v>
      </c>
      <c r="N5" s="174">
        <v>0.7</v>
      </c>
      <c r="O5" s="174">
        <v>0</v>
      </c>
      <c r="P5" s="174">
        <v>0</v>
      </c>
      <c r="Q5" s="174">
        <v>0</v>
      </c>
      <c r="R5" s="174">
        <v>0</v>
      </c>
      <c r="S5" s="174">
        <v>0.9</v>
      </c>
      <c r="T5" s="174">
        <v>1.1000000000000001</v>
      </c>
      <c r="U5" s="174">
        <v>1.4</v>
      </c>
      <c r="V5" s="174">
        <v>0</v>
      </c>
      <c r="W5" s="174">
        <v>0</v>
      </c>
      <c r="X5" s="175">
        <v>0</v>
      </c>
      <c r="Y5" s="174">
        <v>0.1</v>
      </c>
      <c r="Z5" s="174">
        <v>0</v>
      </c>
      <c r="AA5" s="174">
        <v>0</v>
      </c>
      <c r="AB5" s="174">
        <v>0</v>
      </c>
      <c r="AC5" s="174">
        <v>0</v>
      </c>
      <c r="AD5" s="174">
        <v>0</v>
      </c>
      <c r="AE5" s="174">
        <v>0</v>
      </c>
      <c r="AF5" s="174">
        <v>0.9</v>
      </c>
      <c r="AG5" s="174">
        <v>11.3</v>
      </c>
      <c r="AH5" s="174">
        <v>0</v>
      </c>
      <c r="AI5" s="174">
        <v>60.9</v>
      </c>
    </row>
    <row r="6" spans="3:197" ht="14.4" customHeight="1" x14ac:dyDescent="0.3">
      <c r="C6" s="176">
        <v>1980</v>
      </c>
      <c r="D6" s="127">
        <v>5852</v>
      </c>
      <c r="E6" s="177" t="s">
        <v>162</v>
      </c>
      <c r="F6" s="178">
        <v>4.3</v>
      </c>
      <c r="G6" s="179">
        <v>0.5</v>
      </c>
      <c r="H6" s="179">
        <v>0.2</v>
      </c>
      <c r="I6" s="179">
        <v>5.9</v>
      </c>
      <c r="J6" s="179">
        <v>0</v>
      </c>
      <c r="K6" s="179">
        <v>2.8</v>
      </c>
      <c r="L6" s="179">
        <v>0</v>
      </c>
      <c r="M6" s="179">
        <v>0.2</v>
      </c>
      <c r="N6" s="179">
        <v>0.4</v>
      </c>
      <c r="O6" s="179">
        <v>0.1</v>
      </c>
      <c r="P6" s="179">
        <v>0</v>
      </c>
      <c r="Q6" s="179">
        <v>0</v>
      </c>
      <c r="R6" s="179">
        <v>0</v>
      </c>
      <c r="S6" s="179">
        <v>0.5</v>
      </c>
      <c r="T6" s="179">
        <v>0.5</v>
      </c>
      <c r="U6" s="179">
        <v>0</v>
      </c>
      <c r="V6" s="179">
        <v>0</v>
      </c>
      <c r="W6" s="179">
        <v>0</v>
      </c>
      <c r="X6" s="180">
        <v>0</v>
      </c>
      <c r="Y6" s="179">
        <v>0.1</v>
      </c>
      <c r="Z6" s="179">
        <v>0</v>
      </c>
      <c r="AA6" s="179">
        <v>0</v>
      </c>
      <c r="AB6" s="179">
        <v>0</v>
      </c>
      <c r="AC6" s="179">
        <v>0</v>
      </c>
      <c r="AD6" s="179">
        <v>0</v>
      </c>
      <c r="AE6" s="179">
        <v>0</v>
      </c>
      <c r="AF6" s="179">
        <v>0.3</v>
      </c>
      <c r="AG6" s="179">
        <v>8.1</v>
      </c>
      <c r="AH6" s="179">
        <v>0</v>
      </c>
      <c r="AI6" s="179">
        <v>76.099999999999994</v>
      </c>
      <c r="AK6" t="s">
        <v>229</v>
      </c>
      <c r="AM6" s="198" t="s">
        <v>6</v>
      </c>
      <c r="AN6" t="s">
        <v>411</v>
      </c>
      <c r="AO6" s="198" t="s">
        <v>409</v>
      </c>
      <c r="AQ6" t="s">
        <v>411</v>
      </c>
      <c r="AS6" s="251" t="s">
        <v>356</v>
      </c>
      <c r="BD6" s="251" t="s">
        <v>356</v>
      </c>
      <c r="EB6" s="231" t="s">
        <v>428</v>
      </c>
      <c r="EZ6" s="231" t="s">
        <v>470</v>
      </c>
      <c r="GI6" s="87"/>
    </row>
    <row r="7" spans="3:197" ht="14.4" customHeight="1" x14ac:dyDescent="0.3">
      <c r="C7" s="176">
        <v>1981</v>
      </c>
      <c r="D7" s="127">
        <v>8156</v>
      </c>
      <c r="E7" s="177" t="s">
        <v>163</v>
      </c>
      <c r="F7" s="178">
        <v>5.3</v>
      </c>
      <c r="G7" s="179">
        <v>0.3</v>
      </c>
      <c r="H7" s="179">
        <v>0.1</v>
      </c>
      <c r="I7" s="179">
        <v>6.1</v>
      </c>
      <c r="J7" s="179">
        <v>0</v>
      </c>
      <c r="K7" s="179">
        <v>1.4</v>
      </c>
      <c r="L7" s="179">
        <v>0</v>
      </c>
      <c r="M7" s="179">
        <v>0.4</v>
      </c>
      <c r="N7" s="179">
        <v>0.1</v>
      </c>
      <c r="O7" s="179">
        <v>0</v>
      </c>
      <c r="P7" s="179">
        <v>0</v>
      </c>
      <c r="Q7" s="179">
        <v>0</v>
      </c>
      <c r="R7" s="179">
        <v>0</v>
      </c>
      <c r="S7" s="179">
        <v>0.4</v>
      </c>
      <c r="T7" s="179">
        <v>0.2</v>
      </c>
      <c r="U7" s="179">
        <v>0</v>
      </c>
      <c r="V7" s="179">
        <v>0</v>
      </c>
      <c r="W7" s="179">
        <v>0</v>
      </c>
      <c r="X7" s="180">
        <v>0</v>
      </c>
      <c r="Y7" s="179">
        <v>0</v>
      </c>
      <c r="Z7" s="179">
        <v>0</v>
      </c>
      <c r="AA7" s="179">
        <v>0</v>
      </c>
      <c r="AB7" s="179">
        <v>0</v>
      </c>
      <c r="AC7" s="179">
        <v>0</v>
      </c>
      <c r="AD7" s="179">
        <v>0</v>
      </c>
      <c r="AE7" s="179">
        <v>0</v>
      </c>
      <c r="AF7" s="179">
        <v>1.5</v>
      </c>
      <c r="AG7" s="179">
        <v>10.8</v>
      </c>
      <c r="AH7" s="179">
        <v>0</v>
      </c>
      <c r="AI7" s="179">
        <v>73.400000000000006</v>
      </c>
      <c r="AS7" s="241" t="s">
        <v>357</v>
      </c>
      <c r="BD7" s="241" t="s">
        <v>357</v>
      </c>
      <c r="EB7" s="231" t="s">
        <v>452</v>
      </c>
      <c r="EZ7" s="231" t="s">
        <v>464</v>
      </c>
      <c r="GI7" s="87"/>
    </row>
    <row r="8" spans="3:197" ht="14.4" customHeight="1" x14ac:dyDescent="0.3">
      <c r="C8" s="176">
        <v>1982</v>
      </c>
      <c r="D8" s="127">
        <v>3705</v>
      </c>
      <c r="E8" s="177" t="s">
        <v>163</v>
      </c>
      <c r="F8" s="178">
        <v>5.2</v>
      </c>
      <c r="G8" s="179">
        <v>0.6</v>
      </c>
      <c r="H8" s="179">
        <v>0.1</v>
      </c>
      <c r="I8" s="179">
        <v>5.6</v>
      </c>
      <c r="J8" s="179">
        <v>0</v>
      </c>
      <c r="K8" s="179">
        <v>3.9</v>
      </c>
      <c r="L8" s="179">
        <v>0</v>
      </c>
      <c r="M8" s="179">
        <v>0.1</v>
      </c>
      <c r="N8" s="179">
        <v>0.2</v>
      </c>
      <c r="O8" s="179">
        <v>0.1</v>
      </c>
      <c r="P8" s="179">
        <v>0</v>
      </c>
      <c r="Q8" s="179">
        <v>0</v>
      </c>
      <c r="R8" s="179">
        <v>0</v>
      </c>
      <c r="S8" s="179">
        <v>1</v>
      </c>
      <c r="T8" s="179">
        <v>1.4</v>
      </c>
      <c r="U8" s="179">
        <v>0.1</v>
      </c>
      <c r="V8" s="179">
        <v>0</v>
      </c>
      <c r="W8" s="179">
        <v>0</v>
      </c>
      <c r="X8" s="180">
        <v>0.1</v>
      </c>
      <c r="Y8" s="179">
        <v>0.2</v>
      </c>
      <c r="Z8" s="179">
        <v>0</v>
      </c>
      <c r="AA8" s="179">
        <v>0</v>
      </c>
      <c r="AB8" s="179">
        <v>0</v>
      </c>
      <c r="AC8" s="179">
        <v>0</v>
      </c>
      <c r="AD8" s="179">
        <v>0</v>
      </c>
      <c r="AE8" s="179">
        <v>0</v>
      </c>
      <c r="AF8" s="179">
        <v>7</v>
      </c>
      <c r="AG8" s="179">
        <v>25.6</v>
      </c>
      <c r="AH8" s="179">
        <v>0</v>
      </c>
      <c r="AI8" s="179">
        <v>48.9</v>
      </c>
      <c r="AK8" t="s">
        <v>410</v>
      </c>
      <c r="AM8" s="74">
        <f>ROUND(DC90,0)</f>
        <v>3940</v>
      </c>
      <c r="AN8" t="s">
        <v>412</v>
      </c>
      <c r="AO8">
        <f>ROUND(DE90,0)</f>
        <v>165</v>
      </c>
      <c r="AQ8" t="s">
        <v>427</v>
      </c>
      <c r="AS8" s="241"/>
      <c r="EB8" t="s">
        <v>453</v>
      </c>
      <c r="EC8" s="231"/>
      <c r="ED8" s="231"/>
      <c r="EE8" s="231"/>
      <c r="EZ8" s="239" t="s">
        <v>465</v>
      </c>
      <c r="GI8" s="87"/>
      <c r="GK8" s="231"/>
    </row>
    <row r="9" spans="3:197" ht="14.4" customHeight="1" x14ac:dyDescent="0.3">
      <c r="C9" s="176">
        <v>1983</v>
      </c>
      <c r="D9" s="127">
        <v>2593</v>
      </c>
      <c r="E9" s="177" t="s">
        <v>163</v>
      </c>
      <c r="F9" s="178">
        <v>16.5</v>
      </c>
      <c r="G9" s="179">
        <v>0.1</v>
      </c>
      <c r="H9" s="179">
        <v>0</v>
      </c>
      <c r="I9" s="179">
        <v>10.5</v>
      </c>
      <c r="J9" s="179">
        <v>0</v>
      </c>
      <c r="K9" s="179">
        <v>1.6</v>
      </c>
      <c r="L9" s="179">
        <v>0</v>
      </c>
      <c r="M9" s="179">
        <v>0.2</v>
      </c>
      <c r="N9" s="179">
        <v>0</v>
      </c>
      <c r="O9" s="179">
        <v>0</v>
      </c>
      <c r="P9" s="179">
        <v>0.3</v>
      </c>
      <c r="Q9" s="179">
        <v>0</v>
      </c>
      <c r="R9" s="179">
        <v>0.3</v>
      </c>
      <c r="S9" s="179">
        <v>1.3</v>
      </c>
      <c r="T9" s="179">
        <v>0.3</v>
      </c>
      <c r="U9" s="179">
        <v>0.5</v>
      </c>
      <c r="V9" s="179">
        <v>0</v>
      </c>
      <c r="W9" s="179">
        <v>0</v>
      </c>
      <c r="X9" s="180">
        <v>0</v>
      </c>
      <c r="Y9" s="179">
        <v>0.5</v>
      </c>
      <c r="Z9" s="179">
        <v>0</v>
      </c>
      <c r="AA9" s="179">
        <v>0</v>
      </c>
      <c r="AB9" s="179">
        <v>0</v>
      </c>
      <c r="AC9" s="179">
        <v>0</v>
      </c>
      <c r="AD9" s="179">
        <v>0</v>
      </c>
      <c r="AE9" s="179">
        <v>0</v>
      </c>
      <c r="AF9" s="179">
        <v>6</v>
      </c>
      <c r="AG9" s="179">
        <v>22.1</v>
      </c>
      <c r="AH9" s="179">
        <v>0</v>
      </c>
      <c r="AI9" s="179">
        <v>39.700000000000003</v>
      </c>
      <c r="AS9" s="241" t="s">
        <v>358</v>
      </c>
      <c r="BD9" t="s">
        <v>381</v>
      </c>
      <c r="BE9" t="s">
        <v>383</v>
      </c>
      <c r="BF9">
        <v>2007</v>
      </c>
      <c r="BG9">
        <v>2008</v>
      </c>
      <c r="BH9">
        <v>2009</v>
      </c>
      <c r="BI9">
        <v>2010</v>
      </c>
      <c r="BJ9">
        <v>2011</v>
      </c>
      <c r="BK9">
        <v>2012</v>
      </c>
      <c r="BL9">
        <v>2013</v>
      </c>
      <c r="BM9">
        <v>2014</v>
      </c>
      <c r="BN9">
        <v>2015</v>
      </c>
      <c r="BO9">
        <v>2016</v>
      </c>
      <c r="BP9" s="254" t="s">
        <v>5</v>
      </c>
      <c r="BQ9" s="254" t="s">
        <v>403</v>
      </c>
      <c r="EB9" s="231"/>
      <c r="EC9" s="231"/>
      <c r="ED9" s="231"/>
      <c r="EE9" s="231"/>
      <c r="EZ9" s="231" t="s">
        <v>469</v>
      </c>
    </row>
    <row r="10" spans="3:197" ht="14.4" customHeight="1" x14ac:dyDescent="0.3">
      <c r="C10" s="176">
        <v>1984</v>
      </c>
      <c r="D10" s="127">
        <v>4000</v>
      </c>
      <c r="E10" s="177" t="s">
        <v>163</v>
      </c>
      <c r="F10" s="178">
        <v>4.5999999999999996</v>
      </c>
      <c r="G10" s="179">
        <v>0.2</v>
      </c>
      <c r="H10" s="179">
        <v>0.4</v>
      </c>
      <c r="I10" s="179">
        <v>2.1</v>
      </c>
      <c r="J10" s="179">
        <v>0.1</v>
      </c>
      <c r="K10" s="179">
        <v>1.9</v>
      </c>
      <c r="L10" s="179">
        <v>0</v>
      </c>
      <c r="M10" s="179">
        <v>0.1</v>
      </c>
      <c r="N10" s="179">
        <v>0.1</v>
      </c>
      <c r="O10" s="179">
        <v>0</v>
      </c>
      <c r="P10" s="179">
        <v>0</v>
      </c>
      <c r="Q10" s="179">
        <v>0</v>
      </c>
      <c r="R10" s="179">
        <v>0.1</v>
      </c>
      <c r="S10" s="179">
        <v>1</v>
      </c>
      <c r="T10" s="179">
        <v>0</v>
      </c>
      <c r="U10" s="179">
        <v>0</v>
      </c>
      <c r="V10" s="179">
        <v>0</v>
      </c>
      <c r="W10" s="179">
        <v>0</v>
      </c>
      <c r="X10" s="180">
        <v>0</v>
      </c>
      <c r="Y10" s="179">
        <v>0.2</v>
      </c>
      <c r="Z10" s="179">
        <v>0</v>
      </c>
      <c r="AA10" s="179">
        <v>0</v>
      </c>
      <c r="AB10" s="179">
        <v>0</v>
      </c>
      <c r="AC10" s="179">
        <v>0</v>
      </c>
      <c r="AD10" s="179">
        <v>0</v>
      </c>
      <c r="AE10" s="179">
        <v>0</v>
      </c>
      <c r="AF10" s="179">
        <v>6.4</v>
      </c>
      <c r="AG10" s="179">
        <v>25</v>
      </c>
      <c r="AH10" s="179">
        <v>0</v>
      </c>
      <c r="AI10" s="179">
        <v>57.8</v>
      </c>
      <c r="AS10" s="241"/>
      <c r="BP10" s="253"/>
      <c r="BQ10" s="253"/>
      <c r="EB10" s="506" t="s">
        <v>430</v>
      </c>
      <c r="EC10" s="506"/>
      <c r="ED10" s="506"/>
      <c r="EE10" s="506"/>
      <c r="EF10" s="506"/>
      <c r="GI10" s="198"/>
      <c r="GJ10" s="198"/>
      <c r="GN10" s="198"/>
      <c r="GO10" s="198"/>
    </row>
    <row r="11" spans="3:197" ht="14.4" customHeight="1" x14ac:dyDescent="0.3">
      <c r="C11" s="176">
        <v>1985</v>
      </c>
      <c r="D11" s="127">
        <v>2549</v>
      </c>
      <c r="E11" s="177" t="s">
        <v>163</v>
      </c>
      <c r="F11" s="178">
        <v>7</v>
      </c>
      <c r="G11" s="179">
        <v>0.2</v>
      </c>
      <c r="H11" s="179">
        <v>0</v>
      </c>
      <c r="I11" s="179">
        <v>0.5</v>
      </c>
      <c r="J11" s="179">
        <v>0</v>
      </c>
      <c r="K11" s="179">
        <v>0.5</v>
      </c>
      <c r="L11" s="179">
        <v>0</v>
      </c>
      <c r="M11" s="179">
        <v>0.2</v>
      </c>
      <c r="N11" s="179">
        <v>0</v>
      </c>
      <c r="O11" s="179">
        <v>0</v>
      </c>
      <c r="P11" s="179">
        <v>0</v>
      </c>
      <c r="Q11" s="179">
        <v>0</v>
      </c>
      <c r="R11" s="179">
        <v>0</v>
      </c>
      <c r="S11" s="179">
        <v>0.3</v>
      </c>
      <c r="T11" s="179">
        <v>0</v>
      </c>
      <c r="U11" s="179">
        <v>0</v>
      </c>
      <c r="V11" s="179">
        <v>0</v>
      </c>
      <c r="W11" s="179">
        <v>0.1</v>
      </c>
      <c r="X11" s="180">
        <v>0</v>
      </c>
      <c r="Y11" s="179">
        <v>0</v>
      </c>
      <c r="Z11" s="179">
        <v>0</v>
      </c>
      <c r="AA11" s="179">
        <v>0</v>
      </c>
      <c r="AB11" s="179">
        <v>0</v>
      </c>
      <c r="AC11" s="179">
        <v>0</v>
      </c>
      <c r="AD11" s="179">
        <v>0</v>
      </c>
      <c r="AE11" s="179">
        <v>0</v>
      </c>
      <c r="AF11" s="179">
        <v>18</v>
      </c>
      <c r="AG11" s="179">
        <v>19.8</v>
      </c>
      <c r="AH11" s="179">
        <v>0</v>
      </c>
      <c r="AI11" s="179">
        <v>53.5</v>
      </c>
      <c r="AS11" s="241" t="s">
        <v>56</v>
      </c>
      <c r="BD11" s="253" t="s">
        <v>382</v>
      </c>
      <c r="BE11" t="s">
        <v>382</v>
      </c>
      <c r="BF11">
        <v>38</v>
      </c>
      <c r="BG11">
        <v>8</v>
      </c>
      <c r="BH11">
        <v>12</v>
      </c>
      <c r="BI11">
        <v>181</v>
      </c>
      <c r="BJ11">
        <v>34</v>
      </c>
      <c r="BK11">
        <v>104</v>
      </c>
      <c r="BL11">
        <v>44</v>
      </c>
      <c r="BM11">
        <v>5</v>
      </c>
      <c r="BN11">
        <v>59</v>
      </c>
      <c r="BO11">
        <v>45</v>
      </c>
      <c r="BP11" s="253"/>
      <c r="BQ11" s="253"/>
      <c r="EB11" s="258" t="s">
        <v>3</v>
      </c>
      <c r="EC11" s="258" t="s">
        <v>410</v>
      </c>
      <c r="ED11" s="258" t="s">
        <v>42</v>
      </c>
      <c r="EE11" s="258" t="s">
        <v>44</v>
      </c>
      <c r="EF11" s="258" t="s">
        <v>5</v>
      </c>
      <c r="FA11" s="198" t="s">
        <v>87</v>
      </c>
      <c r="FB11" s="198" t="s">
        <v>87</v>
      </c>
      <c r="FC11" s="198" t="s">
        <v>87</v>
      </c>
      <c r="FD11" s="198" t="s">
        <v>535</v>
      </c>
      <c r="FE11" s="198" t="s">
        <v>87</v>
      </c>
      <c r="FF11" s="198" t="s">
        <v>14</v>
      </c>
      <c r="FG11" s="198"/>
      <c r="FH11" s="198" t="s">
        <v>413</v>
      </c>
      <c r="FI11" s="198" t="s">
        <v>415</v>
      </c>
      <c r="GI11" s="198"/>
      <c r="GJ11" s="198"/>
      <c r="GK11" s="198"/>
      <c r="GL11" s="198"/>
      <c r="GM11" s="198"/>
      <c r="GN11" s="198"/>
      <c r="GO11" s="198"/>
    </row>
    <row r="12" spans="3:197" ht="14.4" customHeight="1" x14ac:dyDescent="0.3">
      <c r="C12" s="176">
        <v>1986</v>
      </c>
      <c r="D12" s="127">
        <v>629</v>
      </c>
      <c r="E12" s="177" t="s">
        <v>163</v>
      </c>
      <c r="F12" s="178">
        <v>3.3</v>
      </c>
      <c r="G12" s="179">
        <v>0.3</v>
      </c>
      <c r="H12" s="179">
        <v>0</v>
      </c>
      <c r="I12" s="179">
        <v>6.2</v>
      </c>
      <c r="J12" s="179">
        <v>0</v>
      </c>
      <c r="K12" s="179">
        <v>4.5</v>
      </c>
      <c r="L12" s="179">
        <v>0.5</v>
      </c>
      <c r="M12" s="179">
        <v>0.5</v>
      </c>
      <c r="N12" s="179">
        <v>1.9</v>
      </c>
      <c r="O12" s="179">
        <v>0</v>
      </c>
      <c r="P12" s="179">
        <v>0</v>
      </c>
      <c r="Q12" s="179">
        <v>0</v>
      </c>
      <c r="R12" s="179">
        <v>0</v>
      </c>
      <c r="S12" s="179">
        <v>0</v>
      </c>
      <c r="T12" s="179">
        <v>0.2</v>
      </c>
      <c r="U12" s="179">
        <v>0</v>
      </c>
      <c r="V12" s="179">
        <v>0.3</v>
      </c>
      <c r="W12" s="179">
        <v>0</v>
      </c>
      <c r="X12" s="180">
        <v>0</v>
      </c>
      <c r="Y12" s="179">
        <v>0</v>
      </c>
      <c r="Z12" s="179">
        <v>0</v>
      </c>
      <c r="AA12" s="179">
        <v>0</v>
      </c>
      <c r="AB12" s="179">
        <v>0</v>
      </c>
      <c r="AC12" s="179">
        <v>0</v>
      </c>
      <c r="AD12" s="179">
        <v>0</v>
      </c>
      <c r="AE12" s="179">
        <v>0</v>
      </c>
      <c r="AF12" s="179">
        <v>9.9</v>
      </c>
      <c r="AG12" s="179">
        <v>17.8</v>
      </c>
      <c r="AH12" s="179">
        <v>0</v>
      </c>
      <c r="AI12" s="179">
        <v>54.7</v>
      </c>
      <c r="AS12" s="241" t="s">
        <v>359</v>
      </c>
      <c r="BE12" t="s">
        <v>384</v>
      </c>
      <c r="BF12">
        <v>0</v>
      </c>
      <c r="BG12">
        <v>0</v>
      </c>
      <c r="BH12">
        <v>0</v>
      </c>
      <c r="BI12">
        <v>0</v>
      </c>
      <c r="BJ12">
        <v>0</v>
      </c>
      <c r="BK12">
        <v>0</v>
      </c>
      <c r="BL12">
        <v>0</v>
      </c>
      <c r="BM12">
        <v>0</v>
      </c>
      <c r="BN12">
        <v>6</v>
      </c>
      <c r="BO12">
        <v>0</v>
      </c>
      <c r="BP12" s="253"/>
      <c r="BQ12" s="253"/>
      <c r="EB12" s="231">
        <v>2007</v>
      </c>
      <c r="EC12" s="259">
        <v>0.1</v>
      </c>
      <c r="ED12" s="260">
        <v>0.1</v>
      </c>
      <c r="EE12" s="260">
        <v>1.3</v>
      </c>
      <c r="EF12" s="261">
        <f>SUM(EC12:EE12)</f>
        <v>1.5</v>
      </c>
      <c r="EZ12" s="198" t="s">
        <v>3</v>
      </c>
      <c r="FA12" s="198" t="s">
        <v>538</v>
      </c>
      <c r="FB12" s="198" t="s">
        <v>539</v>
      </c>
      <c r="FC12" s="198" t="s">
        <v>582</v>
      </c>
      <c r="FD12" s="198" t="s">
        <v>536</v>
      </c>
      <c r="FE12" s="198" t="s">
        <v>536</v>
      </c>
      <c r="FF12" s="198" t="s">
        <v>544</v>
      </c>
      <c r="FG12" s="198"/>
      <c r="FH12" s="198" t="s">
        <v>414</v>
      </c>
      <c r="FI12" s="198" t="s">
        <v>141</v>
      </c>
      <c r="FJ12" s="198" t="s">
        <v>5</v>
      </c>
      <c r="GI12" s="65"/>
      <c r="GJ12" s="255"/>
      <c r="GO12" s="255"/>
    </row>
    <row r="13" spans="3:197" ht="14.4" customHeight="1" x14ac:dyDescent="0.3">
      <c r="C13" s="176">
        <v>1987</v>
      </c>
      <c r="D13" s="127">
        <v>686</v>
      </c>
      <c r="E13" s="177" t="s">
        <v>163</v>
      </c>
      <c r="F13" s="178">
        <v>15.9</v>
      </c>
      <c r="G13" s="179">
        <v>0</v>
      </c>
      <c r="H13" s="179">
        <v>0.6</v>
      </c>
      <c r="I13" s="179">
        <v>12</v>
      </c>
      <c r="J13" s="179">
        <v>0</v>
      </c>
      <c r="K13" s="179">
        <v>1.3</v>
      </c>
      <c r="L13" s="179">
        <v>0.9</v>
      </c>
      <c r="M13" s="179">
        <v>1</v>
      </c>
      <c r="N13" s="179">
        <v>0.7</v>
      </c>
      <c r="O13" s="179">
        <v>0</v>
      </c>
      <c r="P13" s="179">
        <v>0</v>
      </c>
      <c r="Q13" s="179">
        <v>0</v>
      </c>
      <c r="R13" s="179">
        <v>0</v>
      </c>
      <c r="S13" s="179">
        <v>1.7</v>
      </c>
      <c r="T13" s="179">
        <v>0</v>
      </c>
      <c r="U13" s="179">
        <v>1.2</v>
      </c>
      <c r="V13" s="179">
        <v>0</v>
      </c>
      <c r="W13" s="179">
        <v>0</v>
      </c>
      <c r="X13" s="180">
        <v>0</v>
      </c>
      <c r="Y13" s="179">
        <v>0.6</v>
      </c>
      <c r="Z13" s="179">
        <v>0</v>
      </c>
      <c r="AA13" s="179">
        <v>0</v>
      </c>
      <c r="AB13" s="179">
        <v>0</v>
      </c>
      <c r="AC13" s="179">
        <v>0</v>
      </c>
      <c r="AD13" s="179">
        <v>0</v>
      </c>
      <c r="AE13" s="179">
        <v>0</v>
      </c>
      <c r="AF13" s="179">
        <v>4.7</v>
      </c>
      <c r="AG13" s="179">
        <v>26.2</v>
      </c>
      <c r="AH13" s="179">
        <v>0</v>
      </c>
      <c r="AI13" s="179">
        <v>33.200000000000003</v>
      </c>
      <c r="AS13" s="241" t="s">
        <v>360</v>
      </c>
      <c r="BE13" s="253" t="s">
        <v>5</v>
      </c>
      <c r="BF13" s="253">
        <f>SUM(BF11:BF12)</f>
        <v>38</v>
      </c>
      <c r="BG13" s="253">
        <f t="shared" ref="BG13:BO13" si="0">SUM(BG11:BG12)</f>
        <v>8</v>
      </c>
      <c r="BH13" s="253">
        <f t="shared" si="0"/>
        <v>12</v>
      </c>
      <c r="BI13" s="253">
        <f t="shared" si="0"/>
        <v>181</v>
      </c>
      <c r="BJ13" s="253">
        <f t="shared" si="0"/>
        <v>34</v>
      </c>
      <c r="BK13" s="253">
        <f t="shared" si="0"/>
        <v>104</v>
      </c>
      <c r="BL13" s="253">
        <f t="shared" si="0"/>
        <v>44</v>
      </c>
      <c r="BM13" s="253">
        <f t="shared" si="0"/>
        <v>5</v>
      </c>
      <c r="BN13" s="253">
        <f t="shared" si="0"/>
        <v>65</v>
      </c>
      <c r="BO13" s="253">
        <f t="shared" si="0"/>
        <v>45</v>
      </c>
      <c r="BP13" s="253">
        <f>SUM(BF13:BO13)</f>
        <v>536</v>
      </c>
      <c r="BQ13" s="253">
        <f>+BP13/10</f>
        <v>53.6</v>
      </c>
      <c r="EB13" s="231">
        <v>2008</v>
      </c>
      <c r="EC13" s="259">
        <v>0.1</v>
      </c>
      <c r="ED13" s="260">
        <v>0</v>
      </c>
      <c r="EE13" s="260">
        <v>0.1</v>
      </c>
      <c r="EF13" s="261">
        <f t="shared" ref="EF13:EF21" si="1">SUM(EC13:EE13)</f>
        <v>0.2</v>
      </c>
      <c r="EZ13">
        <v>2016</v>
      </c>
      <c r="FA13">
        <v>142</v>
      </c>
      <c r="FB13">
        <v>3</v>
      </c>
      <c r="FC13">
        <f>SUM(FA13:FB13)</f>
        <v>145</v>
      </c>
      <c r="FD13">
        <v>24</v>
      </c>
      <c r="FE13">
        <v>19</v>
      </c>
      <c r="FF13">
        <f>FA13+FD13</f>
        <v>166</v>
      </c>
      <c r="FH13">
        <f>FA13+FB13+FD13+FE13</f>
        <v>188</v>
      </c>
      <c r="FI13">
        <f>FA34+FB34+FC34+FD34+FE34</f>
        <v>8096</v>
      </c>
      <c r="FJ13">
        <f>SUM(FH13:FI13)</f>
        <v>8284</v>
      </c>
      <c r="GI13" s="65"/>
      <c r="GJ13" s="255"/>
      <c r="GO13" s="255"/>
    </row>
    <row r="14" spans="3:197" ht="14.4" customHeight="1" x14ac:dyDescent="0.3">
      <c r="C14" s="176">
        <v>1988</v>
      </c>
      <c r="D14" s="127">
        <v>2013</v>
      </c>
      <c r="E14" s="177" t="s">
        <v>163</v>
      </c>
      <c r="F14" s="178">
        <v>10.7</v>
      </c>
      <c r="G14" s="179">
        <v>0.3</v>
      </c>
      <c r="H14" s="179">
        <v>0.5</v>
      </c>
      <c r="I14" s="179">
        <v>6.7</v>
      </c>
      <c r="J14" s="179">
        <v>0</v>
      </c>
      <c r="K14" s="179">
        <v>3.5</v>
      </c>
      <c r="L14" s="179">
        <v>0</v>
      </c>
      <c r="M14" s="179">
        <v>0.7</v>
      </c>
      <c r="N14" s="179">
        <v>0</v>
      </c>
      <c r="O14" s="179">
        <v>0</v>
      </c>
      <c r="P14" s="179">
        <v>0</v>
      </c>
      <c r="Q14" s="179">
        <v>0</v>
      </c>
      <c r="R14" s="179">
        <v>0</v>
      </c>
      <c r="S14" s="179">
        <v>1.7</v>
      </c>
      <c r="T14" s="179">
        <v>0</v>
      </c>
      <c r="U14" s="179">
        <v>0.3</v>
      </c>
      <c r="V14" s="179">
        <v>0.1</v>
      </c>
      <c r="W14" s="179">
        <v>0</v>
      </c>
      <c r="X14" s="180">
        <v>0</v>
      </c>
      <c r="Y14" s="179">
        <v>0</v>
      </c>
      <c r="Z14" s="179">
        <v>0</v>
      </c>
      <c r="AA14" s="179">
        <v>0</v>
      </c>
      <c r="AB14" s="179">
        <v>0</v>
      </c>
      <c r="AC14" s="179">
        <v>0</v>
      </c>
      <c r="AD14" s="179">
        <v>0</v>
      </c>
      <c r="AE14" s="179">
        <v>0</v>
      </c>
      <c r="AF14" s="179">
        <v>6.5</v>
      </c>
      <c r="AG14" s="179">
        <v>28</v>
      </c>
      <c r="AH14" s="179">
        <v>0.1</v>
      </c>
      <c r="AI14" s="179">
        <v>40.700000000000003</v>
      </c>
      <c r="AT14" s="241" t="s">
        <v>361</v>
      </c>
      <c r="BP14" s="253"/>
      <c r="BQ14" s="253"/>
      <c r="EB14" s="231">
        <v>2009</v>
      </c>
      <c r="EC14" s="259">
        <v>0.1</v>
      </c>
      <c r="ED14" s="260">
        <v>0.1</v>
      </c>
      <c r="EE14" s="260">
        <v>1.3</v>
      </c>
      <c r="EF14" s="261">
        <f t="shared" si="1"/>
        <v>1.5</v>
      </c>
      <c r="EZ14">
        <v>2015</v>
      </c>
      <c r="FA14">
        <v>226</v>
      </c>
      <c r="FB14">
        <v>6</v>
      </c>
      <c r="FC14">
        <f t="shared" ref="FC14:FC22" si="2">SUM(FA14:FB14)</f>
        <v>232</v>
      </c>
      <c r="FD14">
        <v>48</v>
      </c>
      <c r="FE14">
        <v>39</v>
      </c>
      <c r="FF14">
        <f t="shared" ref="FF14:FF22" si="3">FA14+FD14</f>
        <v>274</v>
      </c>
      <c r="FH14">
        <f t="shared" ref="FH14:FH22" si="4">FA14+FB14+FD14+FE14</f>
        <v>319</v>
      </c>
      <c r="FI14">
        <f t="shared" ref="FI14:FI22" si="5">FA35+FB35+FC35+FD35+FE35</f>
        <v>19544</v>
      </c>
      <c r="FJ14">
        <f t="shared" ref="FJ14:FJ22" si="6">SUM(FH14:FI14)</f>
        <v>19863</v>
      </c>
      <c r="GI14" s="65"/>
      <c r="GJ14" s="255"/>
      <c r="GO14" s="255"/>
    </row>
    <row r="15" spans="3:197" ht="14.4" customHeight="1" x14ac:dyDescent="0.3">
      <c r="C15" s="176">
        <v>1989</v>
      </c>
      <c r="D15" s="127">
        <v>2681</v>
      </c>
      <c r="E15" s="177" t="s">
        <v>163</v>
      </c>
      <c r="F15" s="178">
        <v>5.2</v>
      </c>
      <c r="G15" s="179">
        <v>0</v>
      </c>
      <c r="H15" s="179">
        <v>0.2</v>
      </c>
      <c r="I15" s="179">
        <v>1.8</v>
      </c>
      <c r="J15" s="179">
        <v>0</v>
      </c>
      <c r="K15" s="179">
        <v>1.5</v>
      </c>
      <c r="L15" s="179">
        <v>0.3</v>
      </c>
      <c r="M15" s="179">
        <v>0</v>
      </c>
      <c r="N15" s="179">
        <v>0.1</v>
      </c>
      <c r="O15" s="179">
        <v>0</v>
      </c>
      <c r="P15" s="179">
        <v>0</v>
      </c>
      <c r="Q15" s="179">
        <v>0.1</v>
      </c>
      <c r="R15" s="179">
        <v>0.4</v>
      </c>
      <c r="S15" s="179">
        <v>1.6</v>
      </c>
      <c r="T15" s="179">
        <v>0.1</v>
      </c>
      <c r="U15" s="179">
        <v>0</v>
      </c>
      <c r="V15" s="179">
        <v>0</v>
      </c>
      <c r="W15" s="179">
        <v>0</v>
      </c>
      <c r="X15" s="180">
        <v>0</v>
      </c>
      <c r="Y15" s="179">
        <v>0.1</v>
      </c>
      <c r="Z15" s="179">
        <v>0</v>
      </c>
      <c r="AA15" s="179">
        <v>0</v>
      </c>
      <c r="AB15" s="179">
        <v>0</v>
      </c>
      <c r="AC15" s="179">
        <v>0</v>
      </c>
      <c r="AD15" s="179">
        <v>0</v>
      </c>
      <c r="AE15" s="179">
        <v>0</v>
      </c>
      <c r="AF15" s="179">
        <v>12.3</v>
      </c>
      <c r="AG15" s="179">
        <v>20.399999999999999</v>
      </c>
      <c r="AH15" s="179">
        <v>0</v>
      </c>
      <c r="AI15" s="179">
        <v>55.7</v>
      </c>
      <c r="AS15" s="241"/>
      <c r="BD15" s="253" t="s">
        <v>385</v>
      </c>
      <c r="BE15" s="253" t="s">
        <v>5</v>
      </c>
      <c r="BF15" s="253">
        <v>0</v>
      </c>
      <c r="BG15" s="253">
        <v>0</v>
      </c>
      <c r="BH15" s="253">
        <v>0</v>
      </c>
      <c r="BI15" s="253">
        <v>0</v>
      </c>
      <c r="BJ15" s="253">
        <v>0</v>
      </c>
      <c r="BK15" s="253">
        <v>0</v>
      </c>
      <c r="BL15" s="253">
        <v>0</v>
      </c>
      <c r="BM15" s="253">
        <v>0</v>
      </c>
      <c r="BN15" s="253">
        <v>6</v>
      </c>
      <c r="BO15" s="253">
        <v>0</v>
      </c>
      <c r="BP15" s="253"/>
      <c r="BQ15" s="253"/>
      <c r="EB15" s="231">
        <v>2010</v>
      </c>
      <c r="EC15" s="259">
        <v>0.2</v>
      </c>
      <c r="ED15" s="260">
        <v>0.3</v>
      </c>
      <c r="EE15" s="260">
        <v>1</v>
      </c>
      <c r="EF15" s="261">
        <f t="shared" si="1"/>
        <v>1.5</v>
      </c>
      <c r="EZ15">
        <v>2014</v>
      </c>
      <c r="FA15">
        <v>169</v>
      </c>
      <c r="FB15">
        <v>5</v>
      </c>
      <c r="FC15">
        <f t="shared" si="2"/>
        <v>174</v>
      </c>
      <c r="FD15">
        <v>31</v>
      </c>
      <c r="FE15">
        <v>38</v>
      </c>
      <c r="FF15">
        <f t="shared" si="3"/>
        <v>200</v>
      </c>
      <c r="FH15">
        <f t="shared" si="4"/>
        <v>243</v>
      </c>
      <c r="FI15">
        <f t="shared" si="5"/>
        <v>11568</v>
      </c>
      <c r="FJ15">
        <f t="shared" si="6"/>
        <v>11811</v>
      </c>
      <c r="GI15" s="65"/>
      <c r="GJ15" s="255"/>
      <c r="GO15" s="255"/>
    </row>
    <row r="16" spans="3:197" ht="14.4" customHeight="1" x14ac:dyDescent="0.3">
      <c r="C16" s="176">
        <v>1990</v>
      </c>
      <c r="D16" s="127">
        <v>2668</v>
      </c>
      <c r="E16" s="177" t="s">
        <v>163</v>
      </c>
      <c r="F16" s="178">
        <v>8.5</v>
      </c>
      <c r="G16" s="179">
        <v>0.6</v>
      </c>
      <c r="H16" s="179">
        <v>0.2</v>
      </c>
      <c r="I16" s="179">
        <v>1.6</v>
      </c>
      <c r="J16" s="179">
        <v>0</v>
      </c>
      <c r="K16" s="179">
        <v>2.2999999999999998</v>
      </c>
      <c r="L16" s="179">
        <v>0.6</v>
      </c>
      <c r="M16" s="179">
        <v>0.2</v>
      </c>
      <c r="N16" s="179">
        <v>0.3</v>
      </c>
      <c r="O16" s="179">
        <v>0.3</v>
      </c>
      <c r="P16" s="179">
        <v>0</v>
      </c>
      <c r="Q16" s="179">
        <v>0.1</v>
      </c>
      <c r="R16" s="179">
        <v>0</v>
      </c>
      <c r="S16" s="179">
        <v>1.3</v>
      </c>
      <c r="T16" s="179">
        <v>0.1</v>
      </c>
      <c r="U16" s="179">
        <v>0</v>
      </c>
      <c r="V16" s="179">
        <v>0</v>
      </c>
      <c r="W16" s="179">
        <v>0</v>
      </c>
      <c r="X16" s="180">
        <v>0</v>
      </c>
      <c r="Y16" s="179">
        <v>0</v>
      </c>
      <c r="Z16" s="179">
        <v>0</v>
      </c>
      <c r="AA16" s="179">
        <v>0</v>
      </c>
      <c r="AB16" s="179">
        <v>0</v>
      </c>
      <c r="AC16" s="179">
        <v>0</v>
      </c>
      <c r="AD16" s="179">
        <v>0</v>
      </c>
      <c r="AE16" s="179">
        <v>0</v>
      </c>
      <c r="AF16" s="179">
        <v>16.3</v>
      </c>
      <c r="AG16" s="179">
        <v>27.5</v>
      </c>
      <c r="AH16" s="179">
        <v>0</v>
      </c>
      <c r="AI16" s="179">
        <v>40.200000000000003</v>
      </c>
      <c r="AS16" s="241" t="s">
        <v>61</v>
      </c>
      <c r="BP16" s="253"/>
      <c r="BQ16" s="253"/>
      <c r="EB16" s="231">
        <v>2011</v>
      </c>
      <c r="EC16" s="259">
        <v>0.1</v>
      </c>
      <c r="ED16" s="260">
        <v>0.1</v>
      </c>
      <c r="EE16" s="260">
        <v>1.1000000000000001</v>
      </c>
      <c r="EF16" s="261">
        <f t="shared" si="1"/>
        <v>1.3</v>
      </c>
      <c r="EZ16">
        <v>2013</v>
      </c>
      <c r="FA16">
        <v>157</v>
      </c>
      <c r="FB16">
        <v>16</v>
      </c>
      <c r="FC16">
        <f t="shared" si="2"/>
        <v>173</v>
      </c>
      <c r="FD16">
        <v>40</v>
      </c>
      <c r="FE16">
        <v>27</v>
      </c>
      <c r="FF16">
        <f t="shared" si="3"/>
        <v>197</v>
      </c>
      <c r="FH16">
        <f t="shared" si="4"/>
        <v>240</v>
      </c>
      <c r="FI16">
        <f t="shared" si="5"/>
        <v>10672</v>
      </c>
      <c r="FJ16">
        <f t="shared" si="6"/>
        <v>10912</v>
      </c>
      <c r="GI16" s="65"/>
      <c r="GJ16" s="255"/>
      <c r="GO16" s="255"/>
    </row>
    <row r="17" spans="3:197" ht="14.4" customHeight="1" x14ac:dyDescent="0.3">
      <c r="C17" s="176">
        <v>1991</v>
      </c>
      <c r="D17" s="127">
        <v>2895</v>
      </c>
      <c r="E17" s="177" t="s">
        <v>163</v>
      </c>
      <c r="F17" s="178">
        <v>3.7</v>
      </c>
      <c r="G17" s="179">
        <v>1.5</v>
      </c>
      <c r="H17" s="179">
        <v>0.6</v>
      </c>
      <c r="I17" s="179">
        <v>1.7</v>
      </c>
      <c r="J17" s="179">
        <v>0</v>
      </c>
      <c r="K17" s="179">
        <v>0.3</v>
      </c>
      <c r="L17" s="179">
        <v>0.1</v>
      </c>
      <c r="M17" s="179">
        <v>0</v>
      </c>
      <c r="N17" s="179">
        <v>0.1</v>
      </c>
      <c r="O17" s="179">
        <v>0</v>
      </c>
      <c r="P17" s="179">
        <v>0</v>
      </c>
      <c r="Q17" s="179">
        <v>0</v>
      </c>
      <c r="R17" s="179">
        <v>0.2</v>
      </c>
      <c r="S17" s="179">
        <v>0.5</v>
      </c>
      <c r="T17" s="179">
        <v>0.1</v>
      </c>
      <c r="U17" s="179">
        <v>0</v>
      </c>
      <c r="V17" s="179">
        <v>0</v>
      </c>
      <c r="W17" s="179">
        <v>0</v>
      </c>
      <c r="X17" s="180">
        <v>0</v>
      </c>
      <c r="Y17" s="179">
        <v>0</v>
      </c>
      <c r="Z17" s="179">
        <v>0</v>
      </c>
      <c r="AA17" s="179">
        <v>0</v>
      </c>
      <c r="AB17" s="179">
        <v>0</v>
      </c>
      <c r="AC17" s="179">
        <v>0</v>
      </c>
      <c r="AD17" s="179">
        <v>0</v>
      </c>
      <c r="AE17" s="179">
        <v>0</v>
      </c>
      <c r="AF17" s="179">
        <v>5.8</v>
      </c>
      <c r="AG17" s="179">
        <v>43</v>
      </c>
      <c r="AH17" s="179">
        <v>0</v>
      </c>
      <c r="AI17" s="179">
        <v>42.1</v>
      </c>
      <c r="AS17" s="241" t="s">
        <v>362</v>
      </c>
      <c r="BD17" s="253" t="s">
        <v>386</v>
      </c>
      <c r="BE17" s="253" t="s">
        <v>5</v>
      </c>
      <c r="BF17" s="253">
        <v>28</v>
      </c>
      <c r="BG17" s="253">
        <v>4</v>
      </c>
      <c r="BH17" s="253">
        <v>62</v>
      </c>
      <c r="BI17" s="253">
        <v>135</v>
      </c>
      <c r="BJ17" s="253">
        <v>137</v>
      </c>
      <c r="BK17" s="253">
        <v>79</v>
      </c>
      <c r="BL17" s="253">
        <v>71</v>
      </c>
      <c r="BM17" s="253">
        <v>80</v>
      </c>
      <c r="BN17" s="253">
        <v>89</v>
      </c>
      <c r="BO17" s="253">
        <v>58</v>
      </c>
      <c r="BP17" s="253">
        <f>SUM(BF17:BO17)</f>
        <v>743</v>
      </c>
      <c r="BQ17" s="253">
        <f>+BP17/10</f>
        <v>74.3</v>
      </c>
      <c r="EB17" s="231">
        <v>2012</v>
      </c>
      <c r="EC17" s="259">
        <v>0.2</v>
      </c>
      <c r="ED17" s="260">
        <v>0.3</v>
      </c>
      <c r="EE17" s="260">
        <v>1.3</v>
      </c>
      <c r="EF17" s="261">
        <f t="shared" si="1"/>
        <v>1.8</v>
      </c>
      <c r="EZ17">
        <v>2012</v>
      </c>
      <c r="FA17">
        <v>310</v>
      </c>
      <c r="FB17">
        <v>20</v>
      </c>
      <c r="FC17">
        <f t="shared" si="2"/>
        <v>330</v>
      </c>
      <c r="FD17">
        <v>48</v>
      </c>
      <c r="FE17">
        <v>67</v>
      </c>
      <c r="FF17">
        <f t="shared" si="3"/>
        <v>358</v>
      </c>
      <c r="FH17">
        <f t="shared" si="4"/>
        <v>445</v>
      </c>
      <c r="FI17">
        <f t="shared" si="5"/>
        <v>20891</v>
      </c>
      <c r="FJ17">
        <f t="shared" si="6"/>
        <v>21336</v>
      </c>
      <c r="GI17" s="65"/>
      <c r="GJ17" s="255"/>
      <c r="GO17" s="255"/>
    </row>
    <row r="18" spans="3:197" ht="14.4" customHeight="1" x14ac:dyDescent="0.3">
      <c r="C18" s="176">
        <v>1992</v>
      </c>
      <c r="D18" s="127">
        <v>2721</v>
      </c>
      <c r="E18" s="177" t="s">
        <v>163</v>
      </c>
      <c r="F18" s="178">
        <v>6</v>
      </c>
      <c r="G18" s="179">
        <v>4.5999999999999996</v>
      </c>
      <c r="H18" s="179">
        <v>0.2</v>
      </c>
      <c r="I18" s="179">
        <v>1.4</v>
      </c>
      <c r="J18" s="179">
        <v>0</v>
      </c>
      <c r="K18" s="179">
        <v>2.2999999999999998</v>
      </c>
      <c r="L18" s="179">
        <v>0.1</v>
      </c>
      <c r="M18" s="179">
        <v>0</v>
      </c>
      <c r="N18" s="179">
        <v>0.1</v>
      </c>
      <c r="O18" s="179">
        <v>0.1</v>
      </c>
      <c r="P18" s="179">
        <v>0</v>
      </c>
      <c r="Q18" s="179">
        <v>0</v>
      </c>
      <c r="R18" s="179">
        <v>0</v>
      </c>
      <c r="S18" s="179">
        <v>2.2000000000000002</v>
      </c>
      <c r="T18" s="179">
        <v>0.2</v>
      </c>
      <c r="U18" s="179">
        <v>0</v>
      </c>
      <c r="V18" s="179">
        <v>0.1</v>
      </c>
      <c r="W18" s="179">
        <v>0</v>
      </c>
      <c r="X18" s="180">
        <v>0</v>
      </c>
      <c r="Y18" s="179">
        <v>0.5</v>
      </c>
      <c r="Z18" s="179">
        <v>0</v>
      </c>
      <c r="AA18" s="179">
        <v>0</v>
      </c>
      <c r="AB18" s="179">
        <v>0</v>
      </c>
      <c r="AC18" s="179">
        <v>0</v>
      </c>
      <c r="AD18" s="179">
        <v>0</v>
      </c>
      <c r="AE18" s="179">
        <v>0</v>
      </c>
      <c r="AF18" s="179">
        <v>5.3</v>
      </c>
      <c r="AG18" s="179">
        <v>28.8</v>
      </c>
      <c r="AH18" s="179">
        <v>0</v>
      </c>
      <c r="AI18" s="179">
        <v>48</v>
      </c>
      <c r="AS18" s="241"/>
      <c r="BP18" s="253"/>
      <c r="BQ18" s="253"/>
      <c r="EB18" s="231">
        <v>2013</v>
      </c>
      <c r="EC18" s="259">
        <v>0.1</v>
      </c>
      <c r="ED18" s="260">
        <v>0.2</v>
      </c>
      <c r="EE18" s="260">
        <v>0.8</v>
      </c>
      <c r="EF18" s="261">
        <f t="shared" si="1"/>
        <v>1.1000000000000001</v>
      </c>
      <c r="EZ18">
        <v>2011</v>
      </c>
      <c r="FA18">
        <v>434</v>
      </c>
      <c r="FB18">
        <v>15</v>
      </c>
      <c r="FC18">
        <f t="shared" si="2"/>
        <v>449</v>
      </c>
      <c r="FD18">
        <v>118</v>
      </c>
      <c r="FE18">
        <v>44</v>
      </c>
      <c r="FF18">
        <f t="shared" si="3"/>
        <v>552</v>
      </c>
      <c r="FH18">
        <f t="shared" si="4"/>
        <v>611</v>
      </c>
      <c r="FI18">
        <f t="shared" si="5"/>
        <v>25163</v>
      </c>
      <c r="FJ18">
        <f t="shared" si="6"/>
        <v>25774</v>
      </c>
      <c r="GI18" s="65"/>
      <c r="GJ18" s="255"/>
      <c r="GO18" s="255"/>
    </row>
    <row r="19" spans="3:197" ht="14.4" customHeight="1" x14ac:dyDescent="0.3">
      <c r="C19" s="176">
        <v>1993</v>
      </c>
      <c r="D19" s="127">
        <v>5080</v>
      </c>
      <c r="E19" s="177" t="s">
        <v>163</v>
      </c>
      <c r="F19" s="178">
        <v>11.2</v>
      </c>
      <c r="G19" s="179">
        <v>0</v>
      </c>
      <c r="H19" s="179">
        <v>0</v>
      </c>
      <c r="I19" s="179">
        <v>1.3</v>
      </c>
      <c r="J19" s="179">
        <v>0.1</v>
      </c>
      <c r="K19" s="179">
        <v>1.4</v>
      </c>
      <c r="L19" s="179">
        <v>0.2</v>
      </c>
      <c r="M19" s="179">
        <v>0</v>
      </c>
      <c r="N19" s="179">
        <v>0</v>
      </c>
      <c r="O19" s="179">
        <v>0</v>
      </c>
      <c r="P19" s="179">
        <v>0</v>
      </c>
      <c r="Q19" s="179">
        <v>0</v>
      </c>
      <c r="R19" s="179">
        <v>0</v>
      </c>
      <c r="S19" s="179">
        <v>1.6</v>
      </c>
      <c r="T19" s="179">
        <v>0.1</v>
      </c>
      <c r="U19" s="179">
        <v>0</v>
      </c>
      <c r="V19" s="179">
        <v>0</v>
      </c>
      <c r="W19" s="179">
        <v>0</v>
      </c>
      <c r="X19" s="180">
        <v>0</v>
      </c>
      <c r="Y19" s="179">
        <v>0</v>
      </c>
      <c r="Z19" s="179">
        <v>0</v>
      </c>
      <c r="AA19" s="179">
        <v>0</v>
      </c>
      <c r="AB19" s="179">
        <v>0</v>
      </c>
      <c r="AC19" s="179">
        <v>0</v>
      </c>
      <c r="AD19" s="179">
        <v>0</v>
      </c>
      <c r="AE19" s="179">
        <v>0</v>
      </c>
      <c r="AF19" s="179">
        <v>0.8</v>
      </c>
      <c r="AG19" s="179">
        <v>42</v>
      </c>
      <c r="AH19" s="179">
        <v>0</v>
      </c>
      <c r="AI19" s="179">
        <v>41.3</v>
      </c>
      <c r="AS19" s="241" t="s">
        <v>276</v>
      </c>
      <c r="BD19" s="253" t="s">
        <v>42</v>
      </c>
      <c r="BE19" t="s">
        <v>387</v>
      </c>
      <c r="BF19">
        <v>352</v>
      </c>
      <c r="BG19">
        <v>8</v>
      </c>
      <c r="BH19">
        <v>485</v>
      </c>
      <c r="BI19">
        <v>796</v>
      </c>
      <c r="BJ19">
        <v>634</v>
      </c>
      <c r="BK19">
        <v>592</v>
      </c>
      <c r="BL19">
        <v>293</v>
      </c>
      <c r="BM19">
        <v>1398</v>
      </c>
      <c r="BN19">
        <v>1741</v>
      </c>
      <c r="BO19">
        <v>565</v>
      </c>
      <c r="BP19" s="253"/>
      <c r="BQ19" s="253"/>
      <c r="EB19" s="231">
        <v>2014</v>
      </c>
      <c r="EC19" s="259">
        <v>0.1</v>
      </c>
      <c r="ED19" s="260">
        <v>0.7</v>
      </c>
      <c r="EE19" s="260">
        <v>0.5</v>
      </c>
      <c r="EF19" s="261">
        <f t="shared" si="1"/>
        <v>1.2999999999999998</v>
      </c>
      <c r="EZ19">
        <v>2010</v>
      </c>
      <c r="FA19">
        <v>370</v>
      </c>
      <c r="FB19">
        <v>12</v>
      </c>
      <c r="FC19">
        <f t="shared" si="2"/>
        <v>382</v>
      </c>
      <c r="FD19">
        <v>55</v>
      </c>
      <c r="FE19">
        <v>97</v>
      </c>
      <c r="FF19">
        <f t="shared" si="3"/>
        <v>425</v>
      </c>
      <c r="FH19">
        <f t="shared" si="4"/>
        <v>534</v>
      </c>
      <c r="FI19">
        <f t="shared" si="5"/>
        <v>30757</v>
      </c>
      <c r="FJ19">
        <f t="shared" si="6"/>
        <v>31291</v>
      </c>
      <c r="GI19" s="65"/>
      <c r="GJ19" s="255"/>
      <c r="GO19" s="255"/>
    </row>
    <row r="20" spans="3:197" ht="14.4" customHeight="1" x14ac:dyDescent="0.3">
      <c r="C20" s="176">
        <v>1994</v>
      </c>
      <c r="D20" s="127">
        <v>4910</v>
      </c>
      <c r="E20" s="177" t="s">
        <v>163</v>
      </c>
      <c r="F20" s="178">
        <v>5.4</v>
      </c>
      <c r="G20" s="179">
        <v>0.7</v>
      </c>
      <c r="H20" s="179">
        <v>0.7</v>
      </c>
      <c r="I20" s="179">
        <v>0.8</v>
      </c>
      <c r="J20" s="179">
        <v>0.1</v>
      </c>
      <c r="K20" s="179">
        <v>0.8</v>
      </c>
      <c r="L20" s="179">
        <v>0</v>
      </c>
      <c r="M20" s="179">
        <v>0.2</v>
      </c>
      <c r="N20" s="179">
        <v>0.1</v>
      </c>
      <c r="O20" s="179">
        <v>0</v>
      </c>
      <c r="P20" s="179">
        <v>0</v>
      </c>
      <c r="Q20" s="179">
        <v>0</v>
      </c>
      <c r="R20" s="179">
        <v>0</v>
      </c>
      <c r="S20" s="179">
        <v>0.1</v>
      </c>
      <c r="T20" s="179">
        <v>0</v>
      </c>
      <c r="U20" s="179">
        <v>0.1</v>
      </c>
      <c r="V20" s="179">
        <v>0.1</v>
      </c>
      <c r="W20" s="179">
        <v>0</v>
      </c>
      <c r="X20" s="180">
        <v>0</v>
      </c>
      <c r="Y20" s="179">
        <v>0.1</v>
      </c>
      <c r="Z20" s="179">
        <v>0</v>
      </c>
      <c r="AA20" s="179">
        <v>0</v>
      </c>
      <c r="AB20" s="179">
        <v>0</v>
      </c>
      <c r="AC20" s="179">
        <v>0</v>
      </c>
      <c r="AD20" s="179">
        <v>0</v>
      </c>
      <c r="AE20" s="179">
        <v>0</v>
      </c>
      <c r="AF20" s="179">
        <v>4.9000000000000004</v>
      </c>
      <c r="AG20" s="179">
        <v>38.4</v>
      </c>
      <c r="AH20" s="179">
        <v>0.5</v>
      </c>
      <c r="AI20" s="179">
        <v>47.1</v>
      </c>
      <c r="AS20" s="241" t="s">
        <v>363</v>
      </c>
      <c r="BE20" t="s">
        <v>388</v>
      </c>
      <c r="BF20">
        <v>4</v>
      </c>
      <c r="BG20">
        <v>4</v>
      </c>
      <c r="BH20">
        <v>12</v>
      </c>
      <c r="BI20">
        <v>4</v>
      </c>
      <c r="BJ20">
        <v>10</v>
      </c>
      <c r="BK20">
        <v>4</v>
      </c>
      <c r="BL20">
        <v>0</v>
      </c>
      <c r="BM20">
        <v>0</v>
      </c>
      <c r="BN20">
        <v>6</v>
      </c>
      <c r="BO20">
        <v>0</v>
      </c>
      <c r="BP20" s="253"/>
      <c r="BQ20" s="253"/>
      <c r="EB20" s="231">
        <v>2015</v>
      </c>
      <c r="EC20" s="259">
        <v>0.1</v>
      </c>
      <c r="ED20" s="260">
        <v>0.2</v>
      </c>
      <c r="EE20" s="260">
        <v>0.4</v>
      </c>
      <c r="EF20" s="261">
        <f t="shared" si="1"/>
        <v>0.70000000000000007</v>
      </c>
      <c r="EZ20">
        <v>2009</v>
      </c>
      <c r="FA20">
        <v>122</v>
      </c>
      <c r="FB20">
        <v>7</v>
      </c>
      <c r="FC20">
        <f t="shared" si="2"/>
        <v>129</v>
      </c>
      <c r="FD20">
        <v>2</v>
      </c>
      <c r="FE20">
        <v>25</v>
      </c>
      <c r="FF20">
        <f t="shared" si="3"/>
        <v>124</v>
      </c>
      <c r="FH20">
        <f t="shared" si="4"/>
        <v>156</v>
      </c>
      <c r="FI20">
        <f t="shared" si="5"/>
        <v>5795</v>
      </c>
      <c r="FJ20">
        <f t="shared" si="6"/>
        <v>5951</v>
      </c>
      <c r="GI20" s="65"/>
      <c r="GJ20" s="255"/>
      <c r="GO20" s="255"/>
    </row>
    <row r="21" spans="3:197" ht="14.4" customHeight="1" x14ac:dyDescent="0.3">
      <c r="C21" s="176">
        <v>1995</v>
      </c>
      <c r="D21" s="127">
        <v>4367</v>
      </c>
      <c r="E21" s="177" t="s">
        <v>163</v>
      </c>
      <c r="F21" s="178">
        <v>4.5</v>
      </c>
      <c r="G21" s="179">
        <v>0.1</v>
      </c>
      <c r="H21" s="179">
        <v>0.3</v>
      </c>
      <c r="I21" s="179">
        <v>1.2</v>
      </c>
      <c r="J21" s="179">
        <v>0</v>
      </c>
      <c r="K21" s="179">
        <v>0.5</v>
      </c>
      <c r="L21" s="179">
        <v>0.1</v>
      </c>
      <c r="M21" s="179">
        <v>0</v>
      </c>
      <c r="N21" s="179">
        <v>0.3</v>
      </c>
      <c r="O21" s="179">
        <v>0</v>
      </c>
      <c r="P21" s="179">
        <v>0</v>
      </c>
      <c r="Q21" s="179">
        <v>0</v>
      </c>
      <c r="R21" s="179">
        <v>0</v>
      </c>
      <c r="S21" s="179">
        <v>0</v>
      </c>
      <c r="T21" s="179">
        <v>0</v>
      </c>
      <c r="U21" s="179">
        <v>0</v>
      </c>
      <c r="V21" s="179">
        <v>0</v>
      </c>
      <c r="W21" s="179">
        <v>0</v>
      </c>
      <c r="X21" s="180">
        <v>0</v>
      </c>
      <c r="Y21" s="179">
        <v>0.3</v>
      </c>
      <c r="Z21" s="179">
        <v>0</v>
      </c>
      <c r="AA21" s="179">
        <v>0</v>
      </c>
      <c r="AB21" s="179">
        <v>0</v>
      </c>
      <c r="AC21" s="179">
        <v>0</v>
      </c>
      <c r="AD21" s="179">
        <v>0</v>
      </c>
      <c r="AE21" s="179">
        <v>0</v>
      </c>
      <c r="AF21" s="179">
        <v>0.3</v>
      </c>
      <c r="AG21" s="179">
        <v>42.6</v>
      </c>
      <c r="AH21" s="179">
        <v>0.1</v>
      </c>
      <c r="AI21" s="179">
        <v>49.8</v>
      </c>
      <c r="AS21" s="241"/>
      <c r="BE21" s="253" t="s">
        <v>5</v>
      </c>
      <c r="BF21" s="253">
        <f>SUM(BF19:BF20)</f>
        <v>356</v>
      </c>
      <c r="BG21" s="253">
        <f t="shared" ref="BG21" si="7">SUM(BG19:BG20)</f>
        <v>12</v>
      </c>
      <c r="BH21" s="253">
        <f t="shared" ref="BH21" si="8">SUM(BH19:BH20)</f>
        <v>497</v>
      </c>
      <c r="BI21" s="253">
        <f t="shared" ref="BI21" si="9">SUM(BI19:BI20)</f>
        <v>800</v>
      </c>
      <c r="BJ21" s="253">
        <f t="shared" ref="BJ21" si="10">SUM(BJ19:BJ20)</f>
        <v>644</v>
      </c>
      <c r="BK21" s="253">
        <f t="shared" ref="BK21" si="11">SUM(BK19:BK20)</f>
        <v>596</v>
      </c>
      <c r="BL21" s="253">
        <f t="shared" ref="BL21" si="12">SUM(BL19:BL20)</f>
        <v>293</v>
      </c>
      <c r="BM21" s="253">
        <f t="shared" ref="BM21" si="13">SUM(BM19:BM20)</f>
        <v>1398</v>
      </c>
      <c r="BN21" s="253">
        <f t="shared" ref="BN21" si="14">SUM(BN19:BN20)</f>
        <v>1747</v>
      </c>
      <c r="BO21" s="253">
        <f t="shared" ref="BO21" si="15">SUM(BO19:BO20)</f>
        <v>565</v>
      </c>
      <c r="BP21" s="253">
        <f>SUM(BF21:BO21)</f>
        <v>6908</v>
      </c>
      <c r="BQ21" s="253">
        <f>+BP21/10</f>
        <v>690.8</v>
      </c>
      <c r="EB21" s="231">
        <v>2016</v>
      </c>
      <c r="EC21" s="259">
        <v>0.1</v>
      </c>
      <c r="ED21" s="260">
        <v>0.4</v>
      </c>
      <c r="EE21" s="261">
        <v>0.5</v>
      </c>
      <c r="EF21" s="261">
        <f t="shared" si="1"/>
        <v>1</v>
      </c>
      <c r="EZ21">
        <v>2008</v>
      </c>
      <c r="FA21">
        <v>230</v>
      </c>
      <c r="FB21">
        <v>11</v>
      </c>
      <c r="FC21">
        <f t="shared" si="2"/>
        <v>241</v>
      </c>
      <c r="FD21">
        <v>0</v>
      </c>
      <c r="FE21">
        <v>8</v>
      </c>
      <c r="FF21">
        <f t="shared" si="3"/>
        <v>230</v>
      </c>
      <c r="FH21">
        <f t="shared" si="4"/>
        <v>249</v>
      </c>
      <c r="FI21">
        <f t="shared" si="5"/>
        <v>4790</v>
      </c>
      <c r="FJ21">
        <f t="shared" si="6"/>
        <v>5039</v>
      </c>
      <c r="GI21" s="65"/>
      <c r="GJ21" s="255"/>
      <c r="GO21" s="255"/>
    </row>
    <row r="22" spans="3:197" ht="14.4" customHeight="1" x14ac:dyDescent="0.3">
      <c r="C22" s="176">
        <v>1996</v>
      </c>
      <c r="D22" s="127">
        <v>3645</v>
      </c>
      <c r="E22" s="177" t="s">
        <v>163</v>
      </c>
      <c r="F22" s="178">
        <v>2.2000000000000002</v>
      </c>
      <c r="G22" s="179">
        <v>0</v>
      </c>
      <c r="H22" s="179">
        <v>0</v>
      </c>
      <c r="I22" s="179">
        <v>0.2</v>
      </c>
      <c r="J22" s="179">
        <v>0</v>
      </c>
      <c r="K22" s="179">
        <v>0.1</v>
      </c>
      <c r="L22" s="179">
        <v>0</v>
      </c>
      <c r="M22" s="179">
        <v>0</v>
      </c>
      <c r="N22" s="179">
        <v>0.1</v>
      </c>
      <c r="O22" s="179">
        <v>0</v>
      </c>
      <c r="P22" s="179">
        <v>0</v>
      </c>
      <c r="Q22" s="179">
        <v>0</v>
      </c>
      <c r="R22" s="179">
        <v>0</v>
      </c>
      <c r="S22" s="179">
        <v>0</v>
      </c>
      <c r="T22" s="179">
        <v>0</v>
      </c>
      <c r="U22" s="179">
        <v>0.1</v>
      </c>
      <c r="V22" s="179">
        <v>0</v>
      </c>
      <c r="W22" s="179">
        <v>0</v>
      </c>
      <c r="X22" s="180">
        <v>0</v>
      </c>
      <c r="Y22" s="179">
        <v>0.1</v>
      </c>
      <c r="Z22" s="179">
        <v>0</v>
      </c>
      <c r="AA22" s="179">
        <v>0</v>
      </c>
      <c r="AB22" s="179">
        <v>0</v>
      </c>
      <c r="AC22" s="179">
        <v>0</v>
      </c>
      <c r="AD22" s="179">
        <v>0</v>
      </c>
      <c r="AE22" s="179">
        <v>0</v>
      </c>
      <c r="AF22" s="179">
        <v>0.8</v>
      </c>
      <c r="AG22" s="179">
        <v>33.9</v>
      </c>
      <c r="AH22" s="179">
        <v>0.4</v>
      </c>
      <c r="AI22" s="179">
        <v>62.1</v>
      </c>
      <c r="AS22" s="241" t="s">
        <v>59</v>
      </c>
      <c r="BP22" s="253"/>
      <c r="BQ22" s="253"/>
      <c r="EB22" s="253" t="s">
        <v>429</v>
      </c>
      <c r="EC22" s="262"/>
      <c r="ED22" s="262"/>
      <c r="EE22" s="262"/>
      <c r="EF22" s="262">
        <f>AVERAGE(EF12:EF21)</f>
        <v>1.19</v>
      </c>
      <c r="EZ22">
        <v>2007</v>
      </c>
      <c r="FA22">
        <v>241</v>
      </c>
      <c r="FB22">
        <v>7</v>
      </c>
      <c r="FC22">
        <f t="shared" si="2"/>
        <v>248</v>
      </c>
      <c r="FD22">
        <v>77</v>
      </c>
      <c r="FE22">
        <v>48</v>
      </c>
      <c r="FF22">
        <f t="shared" si="3"/>
        <v>318</v>
      </c>
      <c r="FH22">
        <f t="shared" si="4"/>
        <v>373</v>
      </c>
      <c r="FI22">
        <f t="shared" si="5"/>
        <v>8329</v>
      </c>
      <c r="FJ22">
        <f t="shared" si="6"/>
        <v>8702</v>
      </c>
    </row>
    <row r="23" spans="3:197" ht="14.4" customHeight="1" x14ac:dyDescent="0.3">
      <c r="C23" s="176">
        <v>1997</v>
      </c>
      <c r="D23" s="127">
        <v>2218</v>
      </c>
      <c r="E23" s="177" t="s">
        <v>163</v>
      </c>
      <c r="F23" s="178">
        <v>4.3</v>
      </c>
      <c r="G23" s="179">
        <v>0</v>
      </c>
      <c r="H23" s="179">
        <v>0</v>
      </c>
      <c r="I23" s="179">
        <v>0.3</v>
      </c>
      <c r="J23" s="179">
        <v>0</v>
      </c>
      <c r="K23" s="179">
        <v>0</v>
      </c>
      <c r="L23" s="179">
        <v>0</v>
      </c>
      <c r="M23" s="179">
        <v>0</v>
      </c>
      <c r="N23" s="179">
        <v>0</v>
      </c>
      <c r="O23" s="179">
        <v>0</v>
      </c>
      <c r="P23" s="179">
        <v>0</v>
      </c>
      <c r="Q23" s="179">
        <v>0</v>
      </c>
      <c r="R23" s="179">
        <v>0</v>
      </c>
      <c r="S23" s="179">
        <v>0.1</v>
      </c>
      <c r="T23" s="179">
        <v>0</v>
      </c>
      <c r="U23" s="179">
        <v>0.2</v>
      </c>
      <c r="V23" s="179">
        <v>0</v>
      </c>
      <c r="W23" s="179">
        <v>0</v>
      </c>
      <c r="X23" s="180">
        <v>0</v>
      </c>
      <c r="Y23" s="179">
        <v>0</v>
      </c>
      <c r="Z23" s="179">
        <v>0</v>
      </c>
      <c r="AA23" s="179">
        <v>0</v>
      </c>
      <c r="AB23" s="179">
        <v>0</v>
      </c>
      <c r="AC23" s="179">
        <v>0</v>
      </c>
      <c r="AD23" s="179">
        <v>0</v>
      </c>
      <c r="AE23" s="179">
        <v>0</v>
      </c>
      <c r="AF23" s="179">
        <v>0.8</v>
      </c>
      <c r="AG23" s="179">
        <v>15.7</v>
      </c>
      <c r="AH23" s="179">
        <v>0.1</v>
      </c>
      <c r="AI23" s="179">
        <v>78.400000000000006</v>
      </c>
      <c r="AS23" s="241" t="s">
        <v>392</v>
      </c>
      <c r="BD23" s="253" t="s">
        <v>43</v>
      </c>
      <c r="BE23" t="s">
        <v>389</v>
      </c>
      <c r="BF23">
        <v>333</v>
      </c>
      <c r="BG23">
        <v>67</v>
      </c>
      <c r="BH23">
        <v>731</v>
      </c>
      <c r="BI23">
        <v>2204</v>
      </c>
      <c r="BJ23">
        <v>1372</v>
      </c>
      <c r="BK23">
        <v>1718</v>
      </c>
      <c r="BL23">
        <v>635</v>
      </c>
      <c r="BM23">
        <v>556</v>
      </c>
      <c r="BN23">
        <v>947</v>
      </c>
      <c r="BO23">
        <v>1798</v>
      </c>
      <c r="BP23" s="253"/>
      <c r="BQ23" s="253"/>
    </row>
    <row r="24" spans="3:197" ht="14.4" customHeight="1" x14ac:dyDescent="0.3">
      <c r="C24" s="176">
        <v>1998</v>
      </c>
      <c r="D24" s="127">
        <v>1575</v>
      </c>
      <c r="E24" s="177" t="s">
        <v>163</v>
      </c>
      <c r="F24" s="178">
        <v>5.0999999999999996</v>
      </c>
      <c r="G24" s="179">
        <v>0.2</v>
      </c>
      <c r="H24" s="179">
        <v>0.3</v>
      </c>
      <c r="I24" s="179">
        <v>0</v>
      </c>
      <c r="J24" s="179">
        <v>0</v>
      </c>
      <c r="K24" s="179">
        <v>0.1</v>
      </c>
      <c r="L24" s="179">
        <v>0</v>
      </c>
      <c r="M24" s="179">
        <v>0</v>
      </c>
      <c r="N24" s="179">
        <v>0</v>
      </c>
      <c r="O24" s="179">
        <v>0</v>
      </c>
      <c r="P24" s="179">
        <v>0</v>
      </c>
      <c r="Q24" s="179">
        <v>0</v>
      </c>
      <c r="R24" s="179">
        <v>0</v>
      </c>
      <c r="S24" s="179">
        <v>0.1</v>
      </c>
      <c r="T24" s="179">
        <v>0</v>
      </c>
      <c r="U24" s="179">
        <v>0</v>
      </c>
      <c r="V24" s="179">
        <v>0</v>
      </c>
      <c r="W24" s="179">
        <v>0</v>
      </c>
      <c r="X24" s="180">
        <v>0</v>
      </c>
      <c r="Y24" s="179">
        <v>0.4</v>
      </c>
      <c r="Z24" s="179">
        <v>0</v>
      </c>
      <c r="AA24" s="179">
        <v>0</v>
      </c>
      <c r="AB24" s="179">
        <v>0</v>
      </c>
      <c r="AC24" s="179">
        <v>0</v>
      </c>
      <c r="AD24" s="179">
        <v>0</v>
      </c>
      <c r="AE24" s="179">
        <v>0</v>
      </c>
      <c r="AF24" s="179">
        <v>0.4</v>
      </c>
      <c r="AG24" s="179">
        <v>16.600000000000001</v>
      </c>
      <c r="AH24" s="179">
        <v>0</v>
      </c>
      <c r="AI24" s="179">
        <v>77</v>
      </c>
      <c r="AS24" s="241" t="s">
        <v>364</v>
      </c>
      <c r="BE24" t="s">
        <v>390</v>
      </c>
      <c r="BF24">
        <v>0</v>
      </c>
      <c r="BG24">
        <v>0</v>
      </c>
      <c r="BH24">
        <v>0</v>
      </c>
      <c r="BI24">
        <v>0</v>
      </c>
      <c r="BJ24">
        <v>0</v>
      </c>
      <c r="BK24">
        <v>0</v>
      </c>
      <c r="BL24">
        <v>0</v>
      </c>
      <c r="BM24">
        <v>0</v>
      </c>
      <c r="BN24">
        <v>0</v>
      </c>
      <c r="BO24">
        <v>19</v>
      </c>
      <c r="BP24" s="253"/>
      <c r="BQ24" s="253"/>
      <c r="EB24" s="505" t="s">
        <v>431</v>
      </c>
      <c r="EC24" s="505"/>
      <c r="ED24" s="505"/>
      <c r="EE24" s="505"/>
      <c r="EF24" s="505"/>
      <c r="EY24" t="s">
        <v>454</v>
      </c>
      <c r="FA24" s="65">
        <f>AVERAGE(FA13:FA22)</f>
        <v>240.1</v>
      </c>
      <c r="FB24" s="65"/>
      <c r="FC24" s="65">
        <f>AVERAGE(FC13:FC22)</f>
        <v>250.3</v>
      </c>
      <c r="FD24" s="65">
        <f>AVERAGE(FD13:FD22)</f>
        <v>44.3</v>
      </c>
      <c r="FE24" s="65">
        <f>AVERAGE(FE13:FE22)</f>
        <v>41.2</v>
      </c>
      <c r="FF24" s="65">
        <f>AVERAGE(FF13:FF22)</f>
        <v>284.39999999999998</v>
      </c>
    </row>
    <row r="25" spans="3:197" ht="14.4" customHeight="1" x14ac:dyDescent="0.3">
      <c r="C25" s="176">
        <v>1999</v>
      </c>
      <c r="D25" s="127">
        <v>1787</v>
      </c>
      <c r="E25" s="177" t="s">
        <v>163</v>
      </c>
      <c r="F25" s="178">
        <v>7.4</v>
      </c>
      <c r="G25" s="179">
        <v>0</v>
      </c>
      <c r="H25" s="179">
        <v>0.7</v>
      </c>
      <c r="I25" s="179">
        <v>0</v>
      </c>
      <c r="J25" s="179">
        <v>0</v>
      </c>
      <c r="K25" s="179">
        <v>0</v>
      </c>
      <c r="L25" s="179">
        <v>0.7</v>
      </c>
      <c r="M25" s="179">
        <v>0</v>
      </c>
      <c r="N25" s="179">
        <v>0</v>
      </c>
      <c r="O25" s="179">
        <v>0</v>
      </c>
      <c r="P25" s="179">
        <v>0</v>
      </c>
      <c r="Q25" s="179">
        <v>0</v>
      </c>
      <c r="R25" s="179">
        <v>0</v>
      </c>
      <c r="S25" s="179">
        <v>0</v>
      </c>
      <c r="T25" s="179">
        <v>0</v>
      </c>
      <c r="U25" s="179">
        <v>0</v>
      </c>
      <c r="V25" s="179">
        <v>0.1</v>
      </c>
      <c r="W25" s="179">
        <v>0</v>
      </c>
      <c r="X25" s="180">
        <v>0</v>
      </c>
      <c r="Y25" s="179">
        <v>0</v>
      </c>
      <c r="Z25" s="179">
        <v>0</v>
      </c>
      <c r="AA25" s="179">
        <v>0</v>
      </c>
      <c r="AB25" s="179">
        <v>0</v>
      </c>
      <c r="AC25" s="179">
        <v>0</v>
      </c>
      <c r="AD25" s="179">
        <v>0</v>
      </c>
      <c r="AE25" s="179">
        <v>0</v>
      </c>
      <c r="AF25" s="179">
        <v>0.8</v>
      </c>
      <c r="AG25" s="179">
        <v>14.4</v>
      </c>
      <c r="AH25" s="179">
        <v>0.2</v>
      </c>
      <c r="AI25" s="179">
        <v>75.7</v>
      </c>
      <c r="AS25" s="241"/>
      <c r="BE25" t="s">
        <v>391</v>
      </c>
      <c r="BF25">
        <v>0</v>
      </c>
      <c r="BG25">
        <v>0</v>
      </c>
      <c r="BH25">
        <v>0</v>
      </c>
      <c r="BI25">
        <v>0</v>
      </c>
      <c r="BJ25">
        <v>0</v>
      </c>
      <c r="BK25">
        <v>0</v>
      </c>
      <c r="BL25">
        <v>0</v>
      </c>
      <c r="BM25">
        <v>0</v>
      </c>
      <c r="BN25">
        <v>12</v>
      </c>
      <c r="BO25">
        <v>0</v>
      </c>
      <c r="BP25" s="253"/>
      <c r="BQ25" s="253"/>
      <c r="DB25" t="s">
        <v>62</v>
      </c>
      <c r="EB25" s="258" t="s">
        <v>3</v>
      </c>
      <c r="EC25" s="198" t="s">
        <v>432</v>
      </c>
      <c r="ED25" s="198" t="s">
        <v>433</v>
      </c>
      <c r="EE25" s="198"/>
      <c r="EF25" s="258" t="s">
        <v>5</v>
      </c>
      <c r="FF25" s="198"/>
    </row>
    <row r="26" spans="3:197" ht="14.4" customHeight="1" x14ac:dyDescent="0.3">
      <c r="C26" s="176">
        <v>2000</v>
      </c>
      <c r="D26" s="127">
        <v>6679</v>
      </c>
      <c r="E26" s="177" t="s">
        <v>163</v>
      </c>
      <c r="F26" s="178">
        <v>11.5</v>
      </c>
      <c r="G26" s="179">
        <v>0.1</v>
      </c>
      <c r="H26" s="179">
        <v>0.7</v>
      </c>
      <c r="I26" s="179">
        <v>0.1</v>
      </c>
      <c r="J26" s="179">
        <v>0.4</v>
      </c>
      <c r="K26" s="179">
        <v>0.4</v>
      </c>
      <c r="L26" s="179">
        <v>0.1</v>
      </c>
      <c r="M26" s="179">
        <v>0</v>
      </c>
      <c r="N26" s="179">
        <v>0</v>
      </c>
      <c r="O26" s="179">
        <v>0</v>
      </c>
      <c r="P26" s="179">
        <v>0</v>
      </c>
      <c r="Q26" s="179">
        <v>0</v>
      </c>
      <c r="R26" s="179">
        <v>0.1</v>
      </c>
      <c r="S26" s="179">
        <v>0.1</v>
      </c>
      <c r="T26" s="179">
        <v>0.2</v>
      </c>
      <c r="U26" s="179">
        <v>0.1</v>
      </c>
      <c r="V26" s="179">
        <v>0.1</v>
      </c>
      <c r="W26" s="179">
        <v>0</v>
      </c>
      <c r="X26" s="180">
        <v>0</v>
      </c>
      <c r="Y26" s="179">
        <v>0</v>
      </c>
      <c r="Z26" s="179">
        <v>0</v>
      </c>
      <c r="AA26" s="179">
        <v>0</v>
      </c>
      <c r="AB26" s="179">
        <v>0</v>
      </c>
      <c r="AC26" s="179">
        <v>0</v>
      </c>
      <c r="AD26" s="179">
        <v>0</v>
      </c>
      <c r="AE26" s="179">
        <v>0</v>
      </c>
      <c r="AF26" s="179">
        <v>2.1</v>
      </c>
      <c r="AG26" s="179">
        <v>28.6</v>
      </c>
      <c r="AH26" s="179">
        <v>0</v>
      </c>
      <c r="AI26" s="179">
        <v>55.1</v>
      </c>
      <c r="AS26" s="241" t="s">
        <v>60</v>
      </c>
      <c r="BE26" s="253" t="s">
        <v>5</v>
      </c>
      <c r="BF26" s="253">
        <f>SUM(BF23:BF25)</f>
        <v>333</v>
      </c>
      <c r="BG26" s="253">
        <f t="shared" ref="BG26:BO26" si="16">SUM(BG23:BG25)</f>
        <v>67</v>
      </c>
      <c r="BH26" s="253">
        <f t="shared" si="16"/>
        <v>731</v>
      </c>
      <c r="BI26" s="253">
        <f t="shared" si="16"/>
        <v>2204</v>
      </c>
      <c r="BJ26" s="253">
        <f t="shared" si="16"/>
        <v>1372</v>
      </c>
      <c r="BK26" s="253">
        <f t="shared" si="16"/>
        <v>1718</v>
      </c>
      <c r="BL26" s="253">
        <f t="shared" si="16"/>
        <v>635</v>
      </c>
      <c r="BM26" s="253">
        <f t="shared" si="16"/>
        <v>556</v>
      </c>
      <c r="BN26" s="253">
        <f t="shared" si="16"/>
        <v>959</v>
      </c>
      <c r="BO26" s="253">
        <f t="shared" si="16"/>
        <v>1817</v>
      </c>
      <c r="BP26" s="253">
        <f>SUM(BF26:BO26)</f>
        <v>10392</v>
      </c>
      <c r="BQ26" s="253">
        <f>+BP26/10</f>
        <v>1039.2</v>
      </c>
      <c r="DC26" s="198" t="s">
        <v>413</v>
      </c>
      <c r="DD26" s="198" t="s">
        <v>415</v>
      </c>
      <c r="DE26" s="198" t="s">
        <v>418</v>
      </c>
      <c r="DF26" s="198" t="s">
        <v>416</v>
      </c>
      <c r="DG26" s="198" t="s">
        <v>416</v>
      </c>
      <c r="EB26" s="231">
        <v>2007</v>
      </c>
      <c r="EC26">
        <v>0.1</v>
      </c>
      <c r="ED26">
        <v>4.2</v>
      </c>
      <c r="EF26" s="261">
        <f>SUM(EC26:EE26)</f>
        <v>4.3</v>
      </c>
    </row>
    <row r="27" spans="3:197" ht="14.4" customHeight="1" x14ac:dyDescent="0.3">
      <c r="C27" s="176">
        <v>2001</v>
      </c>
      <c r="D27" s="127">
        <v>34880</v>
      </c>
      <c r="E27" s="177" t="s">
        <v>163</v>
      </c>
      <c r="F27" s="178">
        <v>1.5</v>
      </c>
      <c r="G27" s="179">
        <v>0</v>
      </c>
      <c r="H27" s="179">
        <v>0.1</v>
      </c>
      <c r="I27" s="179">
        <v>0.1</v>
      </c>
      <c r="J27" s="179">
        <v>0.1</v>
      </c>
      <c r="K27" s="179">
        <v>0.4</v>
      </c>
      <c r="L27" s="179">
        <v>0</v>
      </c>
      <c r="M27" s="179">
        <v>0</v>
      </c>
      <c r="N27" s="179">
        <v>0</v>
      </c>
      <c r="O27" s="179">
        <v>0</v>
      </c>
      <c r="P27" s="179">
        <v>0</v>
      </c>
      <c r="Q27" s="179">
        <v>0</v>
      </c>
      <c r="R27" s="179">
        <v>0</v>
      </c>
      <c r="S27" s="179">
        <v>0.1</v>
      </c>
      <c r="T27" s="179">
        <v>0</v>
      </c>
      <c r="U27" s="179">
        <v>0.2</v>
      </c>
      <c r="V27" s="179">
        <v>0</v>
      </c>
      <c r="W27" s="179">
        <v>0</v>
      </c>
      <c r="X27" s="180">
        <v>0</v>
      </c>
      <c r="Y27" s="179">
        <v>0.2</v>
      </c>
      <c r="Z27" s="179">
        <v>0</v>
      </c>
      <c r="AA27" s="179">
        <v>0</v>
      </c>
      <c r="AB27" s="179">
        <v>0</v>
      </c>
      <c r="AC27" s="179">
        <v>0</v>
      </c>
      <c r="AD27" s="179">
        <v>0</v>
      </c>
      <c r="AE27" s="179">
        <v>0</v>
      </c>
      <c r="AF27" s="179">
        <v>3.4</v>
      </c>
      <c r="AG27" s="179">
        <v>24.7</v>
      </c>
      <c r="AH27" s="179">
        <v>0</v>
      </c>
      <c r="AI27" s="179">
        <v>69.099999999999994</v>
      </c>
      <c r="AS27" s="241" t="s">
        <v>365</v>
      </c>
      <c r="BP27" s="253"/>
      <c r="BQ27" s="253"/>
      <c r="DB27" s="198" t="s">
        <v>3</v>
      </c>
      <c r="DC27" s="198" t="s">
        <v>414</v>
      </c>
      <c r="DD27" s="198" t="s">
        <v>141</v>
      </c>
      <c r="DE27" s="198" t="s">
        <v>10</v>
      </c>
      <c r="DF27" s="198" t="s">
        <v>417</v>
      </c>
      <c r="DG27" s="198" t="s">
        <v>421</v>
      </c>
      <c r="EB27" s="231">
        <v>2008</v>
      </c>
      <c r="EC27">
        <v>0.2</v>
      </c>
      <c r="ED27">
        <v>4.8</v>
      </c>
      <c r="EF27" s="261">
        <f t="shared" ref="EF27:EF35" si="17">SUM(EC27:EE27)</f>
        <v>5</v>
      </c>
      <c r="EZ27" s="231" t="s">
        <v>470</v>
      </c>
    </row>
    <row r="28" spans="3:197" ht="14.4" customHeight="1" x14ac:dyDescent="0.3">
      <c r="C28" s="176">
        <v>2002</v>
      </c>
      <c r="D28" s="127">
        <v>20156</v>
      </c>
      <c r="E28" s="177" t="s">
        <v>163</v>
      </c>
      <c r="F28" s="178">
        <v>2</v>
      </c>
      <c r="G28" s="179">
        <v>0.1</v>
      </c>
      <c r="H28" s="179">
        <v>0.1</v>
      </c>
      <c r="I28" s="179">
        <v>1</v>
      </c>
      <c r="J28" s="179">
        <v>0</v>
      </c>
      <c r="K28" s="179">
        <v>0.6</v>
      </c>
      <c r="L28" s="179">
        <v>0</v>
      </c>
      <c r="M28" s="179">
        <v>0</v>
      </c>
      <c r="N28" s="179">
        <v>0</v>
      </c>
      <c r="O28" s="179">
        <v>0</v>
      </c>
      <c r="P28" s="179">
        <v>0</v>
      </c>
      <c r="Q28" s="179">
        <v>0</v>
      </c>
      <c r="R28" s="179">
        <v>0</v>
      </c>
      <c r="S28" s="179">
        <v>0.7</v>
      </c>
      <c r="T28" s="179">
        <v>0.2</v>
      </c>
      <c r="U28" s="179">
        <v>0.2</v>
      </c>
      <c r="V28" s="179">
        <v>0</v>
      </c>
      <c r="W28" s="179">
        <v>0</v>
      </c>
      <c r="X28" s="180">
        <v>0</v>
      </c>
      <c r="Y28" s="179">
        <v>0</v>
      </c>
      <c r="Z28" s="179">
        <v>0</v>
      </c>
      <c r="AA28" s="179">
        <v>0</v>
      </c>
      <c r="AB28" s="179">
        <v>0</v>
      </c>
      <c r="AC28" s="179">
        <v>0</v>
      </c>
      <c r="AD28" s="179">
        <v>0</v>
      </c>
      <c r="AE28" s="179">
        <v>0</v>
      </c>
      <c r="AF28" s="179">
        <v>15.2</v>
      </c>
      <c r="AG28" s="179">
        <v>21.9</v>
      </c>
      <c r="AH28" s="179">
        <v>0</v>
      </c>
      <c r="AI28" s="179">
        <v>57.9</v>
      </c>
      <c r="AS28" s="241" t="s">
        <v>366</v>
      </c>
      <c r="BD28" s="253" t="s">
        <v>44</v>
      </c>
      <c r="BE28" t="s">
        <v>394</v>
      </c>
      <c r="BF28">
        <v>563</v>
      </c>
      <c r="BG28">
        <v>8</v>
      </c>
      <c r="BH28">
        <v>769</v>
      </c>
      <c r="BI28">
        <v>1769</v>
      </c>
      <c r="BJ28">
        <v>1269</v>
      </c>
      <c r="BK28">
        <v>1168</v>
      </c>
      <c r="BL28">
        <v>582</v>
      </c>
      <c r="BM28">
        <v>586</v>
      </c>
      <c r="BN28">
        <v>639</v>
      </c>
      <c r="BO28">
        <v>604</v>
      </c>
      <c r="BP28" s="253"/>
      <c r="BQ28" s="253"/>
      <c r="DB28">
        <v>2002</v>
      </c>
      <c r="DC28">
        <v>80</v>
      </c>
      <c r="DD28">
        <v>1747</v>
      </c>
      <c r="DE28" s="74">
        <f>Spawners!DJ33</f>
        <v>3361</v>
      </c>
      <c r="DF28" s="255">
        <f>DC28/DD28</f>
        <v>4.5792787635947338E-2</v>
      </c>
      <c r="DG28" s="257">
        <f>DC28/DE28</f>
        <v>2.3802439750074383E-2</v>
      </c>
      <c r="EB28" s="231">
        <v>2009</v>
      </c>
      <c r="EC28">
        <v>0.2</v>
      </c>
      <c r="ED28">
        <v>3.6</v>
      </c>
      <c r="EF28" s="261">
        <f t="shared" si="17"/>
        <v>3.8000000000000003</v>
      </c>
      <c r="EZ28" s="231" t="s">
        <v>466</v>
      </c>
    </row>
    <row r="29" spans="3:197" ht="14.4" customHeight="1" x14ac:dyDescent="0.3">
      <c r="C29" s="176">
        <v>2003</v>
      </c>
      <c r="D29" s="127">
        <v>7189</v>
      </c>
      <c r="E29" s="177" t="s">
        <v>163</v>
      </c>
      <c r="F29" s="178">
        <v>5.2</v>
      </c>
      <c r="G29" s="179">
        <v>0</v>
      </c>
      <c r="H29" s="179">
        <v>0.1</v>
      </c>
      <c r="I29" s="179">
        <v>0.4</v>
      </c>
      <c r="J29" s="179">
        <v>0.1</v>
      </c>
      <c r="K29" s="179">
        <v>2.2000000000000002</v>
      </c>
      <c r="L29" s="179">
        <v>0.2</v>
      </c>
      <c r="M29" s="179">
        <v>0</v>
      </c>
      <c r="N29" s="179">
        <v>0</v>
      </c>
      <c r="O29" s="179">
        <v>0.1</v>
      </c>
      <c r="P29" s="179">
        <v>0</v>
      </c>
      <c r="Q29" s="179">
        <v>0</v>
      </c>
      <c r="R29" s="179">
        <v>0</v>
      </c>
      <c r="S29" s="179">
        <v>0.1</v>
      </c>
      <c r="T29" s="179">
        <v>0</v>
      </c>
      <c r="U29" s="179">
        <v>0.2</v>
      </c>
      <c r="V29" s="179">
        <v>0.1</v>
      </c>
      <c r="W29" s="179">
        <v>0</v>
      </c>
      <c r="X29" s="180">
        <v>0</v>
      </c>
      <c r="Y29" s="179">
        <v>0</v>
      </c>
      <c r="Z29" s="179">
        <v>0</v>
      </c>
      <c r="AA29" s="179">
        <v>0</v>
      </c>
      <c r="AB29" s="179">
        <v>0</v>
      </c>
      <c r="AC29" s="179">
        <v>0</v>
      </c>
      <c r="AD29" s="179">
        <v>0</v>
      </c>
      <c r="AE29" s="179">
        <v>0</v>
      </c>
      <c r="AF29" s="179">
        <v>1.4</v>
      </c>
      <c r="AG29" s="179">
        <v>19.899999999999999</v>
      </c>
      <c r="AH29" s="179">
        <v>0</v>
      </c>
      <c r="AI29" s="179">
        <v>70</v>
      </c>
      <c r="AT29" s="241" t="s">
        <v>367</v>
      </c>
      <c r="BE29" t="s">
        <v>395</v>
      </c>
      <c r="BF29">
        <v>4</v>
      </c>
      <c r="BG29">
        <v>8</v>
      </c>
      <c r="BH29">
        <v>27</v>
      </c>
      <c r="BI29">
        <v>25</v>
      </c>
      <c r="BJ29">
        <v>20</v>
      </c>
      <c r="BK29">
        <v>29</v>
      </c>
      <c r="BL29">
        <v>13</v>
      </c>
      <c r="BM29">
        <v>35</v>
      </c>
      <c r="BN29">
        <v>6</v>
      </c>
      <c r="BO29">
        <v>0</v>
      </c>
      <c r="BP29" s="253"/>
      <c r="BQ29" s="253"/>
      <c r="DB29">
        <v>2003</v>
      </c>
      <c r="DC29">
        <v>88</v>
      </c>
      <c r="DD29">
        <v>1242</v>
      </c>
      <c r="DE29" s="74">
        <f>Spawners!DJ32</f>
        <v>4178</v>
      </c>
      <c r="DF29" s="255">
        <f t="shared" ref="DF29:DF42" si="18">DC29/DD29</f>
        <v>7.0853462157809979E-2</v>
      </c>
      <c r="DG29" s="257">
        <f t="shared" ref="DG29:DG42" si="19">DC29/DE29</f>
        <v>2.1062709430349449E-2</v>
      </c>
      <c r="EB29" s="231">
        <v>2010</v>
      </c>
      <c r="EC29">
        <v>0.2</v>
      </c>
      <c r="ED29">
        <v>6.9</v>
      </c>
      <c r="EF29" s="261">
        <f t="shared" si="17"/>
        <v>7.1000000000000005</v>
      </c>
      <c r="EZ29" s="239" t="s">
        <v>467</v>
      </c>
    </row>
    <row r="30" spans="3:197" ht="14.4" customHeight="1" x14ac:dyDescent="0.3">
      <c r="C30" s="176">
        <v>2004</v>
      </c>
      <c r="D30" s="127">
        <v>7210</v>
      </c>
      <c r="E30" s="177" t="s">
        <v>163</v>
      </c>
      <c r="F30" s="178">
        <v>3.5</v>
      </c>
      <c r="G30" s="179">
        <v>0.3</v>
      </c>
      <c r="H30" s="179">
        <v>0.1</v>
      </c>
      <c r="I30" s="179">
        <v>0.7</v>
      </c>
      <c r="J30" s="179">
        <v>0</v>
      </c>
      <c r="K30" s="179">
        <v>5.5</v>
      </c>
      <c r="L30" s="179">
        <v>0</v>
      </c>
      <c r="M30" s="179">
        <v>0</v>
      </c>
      <c r="N30" s="179">
        <v>0</v>
      </c>
      <c r="O30" s="179">
        <v>0</v>
      </c>
      <c r="P30" s="179">
        <v>0</v>
      </c>
      <c r="Q30" s="179">
        <v>0</v>
      </c>
      <c r="R30" s="179">
        <v>0</v>
      </c>
      <c r="S30" s="179">
        <v>0.8</v>
      </c>
      <c r="T30" s="179">
        <v>0</v>
      </c>
      <c r="U30" s="179">
        <v>1</v>
      </c>
      <c r="V30" s="179">
        <v>0</v>
      </c>
      <c r="W30" s="179">
        <v>0</v>
      </c>
      <c r="X30" s="180">
        <v>0</v>
      </c>
      <c r="Y30" s="179">
        <v>0</v>
      </c>
      <c r="Z30" s="179">
        <v>0</v>
      </c>
      <c r="AA30" s="179">
        <v>0</v>
      </c>
      <c r="AB30" s="179">
        <v>0</v>
      </c>
      <c r="AC30" s="179">
        <v>0</v>
      </c>
      <c r="AD30" s="179">
        <v>0</v>
      </c>
      <c r="AE30" s="179">
        <v>0</v>
      </c>
      <c r="AF30" s="179">
        <v>5.8</v>
      </c>
      <c r="AG30" s="179">
        <v>23.7</v>
      </c>
      <c r="AH30" s="179">
        <v>0</v>
      </c>
      <c r="AI30" s="179">
        <v>58.7</v>
      </c>
      <c r="AS30" s="241" t="s">
        <v>368</v>
      </c>
      <c r="BE30" t="s">
        <v>393</v>
      </c>
      <c r="BF30">
        <v>4</v>
      </c>
      <c r="BG30">
        <v>8</v>
      </c>
      <c r="BH30">
        <v>12</v>
      </c>
      <c r="BI30">
        <v>0</v>
      </c>
      <c r="BJ30">
        <v>0</v>
      </c>
      <c r="BK30">
        <v>0</v>
      </c>
      <c r="BL30">
        <v>0</v>
      </c>
      <c r="BM30">
        <v>0</v>
      </c>
      <c r="BN30">
        <v>53</v>
      </c>
      <c r="BO30">
        <v>13</v>
      </c>
      <c r="BP30" s="253"/>
      <c r="BQ30" s="253"/>
      <c r="DB30">
        <v>2004</v>
      </c>
      <c r="DC30">
        <v>237</v>
      </c>
      <c r="DD30">
        <v>2683</v>
      </c>
      <c r="DE30" s="74">
        <f>Spawners!DJ31</f>
        <v>3982</v>
      </c>
      <c r="DF30" s="255">
        <f t="shared" si="18"/>
        <v>8.8333954528512865E-2</v>
      </c>
      <c r="DG30" s="257">
        <f t="shared" si="19"/>
        <v>5.9517830236062282E-2</v>
      </c>
      <c r="EB30" s="231">
        <v>2011</v>
      </c>
      <c r="EC30">
        <v>0.2</v>
      </c>
      <c r="ED30">
        <v>6.2</v>
      </c>
      <c r="EF30" s="261">
        <f t="shared" si="17"/>
        <v>6.4</v>
      </c>
      <c r="EZ30" s="231" t="s">
        <v>468</v>
      </c>
    </row>
    <row r="31" spans="3:197" ht="14.4" customHeight="1" x14ac:dyDescent="0.3">
      <c r="C31" s="176">
        <v>2005</v>
      </c>
      <c r="D31" s="127">
        <v>3190</v>
      </c>
      <c r="E31" s="177" t="s">
        <v>163</v>
      </c>
      <c r="F31" s="178">
        <v>2.8</v>
      </c>
      <c r="G31" s="179">
        <v>0</v>
      </c>
      <c r="H31" s="179">
        <v>0.1</v>
      </c>
      <c r="I31" s="179">
        <v>0.3</v>
      </c>
      <c r="J31" s="179">
        <v>0.3</v>
      </c>
      <c r="K31" s="179">
        <v>5.5</v>
      </c>
      <c r="L31" s="179">
        <v>0</v>
      </c>
      <c r="M31" s="179">
        <v>0</v>
      </c>
      <c r="N31" s="179">
        <v>0</v>
      </c>
      <c r="O31" s="179">
        <v>0</v>
      </c>
      <c r="P31" s="179">
        <v>0</v>
      </c>
      <c r="Q31" s="179">
        <v>0</v>
      </c>
      <c r="R31" s="179">
        <v>0</v>
      </c>
      <c r="S31" s="179">
        <v>0.6</v>
      </c>
      <c r="T31" s="179">
        <v>0.1</v>
      </c>
      <c r="U31" s="179">
        <v>0.3</v>
      </c>
      <c r="V31" s="179">
        <v>0</v>
      </c>
      <c r="W31" s="179">
        <v>0</v>
      </c>
      <c r="X31" s="180">
        <v>0</v>
      </c>
      <c r="Y31" s="179">
        <v>0.1</v>
      </c>
      <c r="Z31" s="179">
        <v>0</v>
      </c>
      <c r="AA31" s="179">
        <v>0</v>
      </c>
      <c r="AB31" s="179">
        <v>0</v>
      </c>
      <c r="AC31" s="179">
        <v>0</v>
      </c>
      <c r="AD31" s="179">
        <v>0</v>
      </c>
      <c r="AE31" s="179">
        <v>0</v>
      </c>
      <c r="AF31" s="179">
        <v>4.7</v>
      </c>
      <c r="AG31" s="179">
        <v>20.7</v>
      </c>
      <c r="AH31" s="179">
        <v>0</v>
      </c>
      <c r="AI31" s="179">
        <v>64.599999999999994</v>
      </c>
      <c r="AS31" s="241"/>
      <c r="BE31" s="253" t="s">
        <v>5</v>
      </c>
      <c r="BF31" s="253">
        <f>SUM(BF28:BF30)</f>
        <v>571</v>
      </c>
      <c r="BG31" s="253">
        <f t="shared" ref="BG31" si="20">SUM(BG28:BG30)</f>
        <v>24</v>
      </c>
      <c r="BH31" s="253">
        <f t="shared" ref="BH31" si="21">SUM(BH28:BH30)</f>
        <v>808</v>
      </c>
      <c r="BI31" s="253">
        <f t="shared" ref="BI31" si="22">SUM(BI28:BI30)</f>
        <v>1794</v>
      </c>
      <c r="BJ31" s="253">
        <f t="shared" ref="BJ31" si="23">SUM(BJ28:BJ30)</f>
        <v>1289</v>
      </c>
      <c r="BK31" s="253">
        <f t="shared" ref="BK31" si="24">SUM(BK28:BK30)</f>
        <v>1197</v>
      </c>
      <c r="BL31" s="253">
        <f t="shared" ref="BL31" si="25">SUM(BL28:BL30)</f>
        <v>595</v>
      </c>
      <c r="BM31" s="253">
        <f t="shared" ref="BM31" si="26">SUM(BM28:BM30)</f>
        <v>621</v>
      </c>
      <c r="BN31" s="253">
        <f t="shared" ref="BN31" si="27">SUM(BN28:BN30)</f>
        <v>698</v>
      </c>
      <c r="BO31" s="253">
        <f t="shared" ref="BO31" si="28">SUM(BO28:BO30)</f>
        <v>617</v>
      </c>
      <c r="BP31" s="253">
        <f>SUM(BF31:BO31)</f>
        <v>8214</v>
      </c>
      <c r="BQ31" s="253">
        <f>+BP31/10</f>
        <v>821.4</v>
      </c>
      <c r="DB31">
        <v>2005</v>
      </c>
      <c r="DC31">
        <v>51</v>
      </c>
      <c r="DD31">
        <v>655</v>
      </c>
      <c r="DE31" s="74">
        <f>Spawners!DJ30</f>
        <v>2135</v>
      </c>
      <c r="DF31" s="255">
        <f t="shared" si="18"/>
        <v>7.786259541984733E-2</v>
      </c>
      <c r="DG31" s="257">
        <f t="shared" si="19"/>
        <v>2.3887587822014052E-2</v>
      </c>
      <c r="EB31" s="231">
        <v>2012</v>
      </c>
      <c r="EC31">
        <v>0.3</v>
      </c>
      <c r="ED31">
        <v>4.5</v>
      </c>
      <c r="EF31" s="261">
        <f t="shared" si="17"/>
        <v>4.8</v>
      </c>
      <c r="EZ31" s="231"/>
    </row>
    <row r="32" spans="3:197" ht="14.4" customHeight="1" x14ac:dyDescent="0.3">
      <c r="C32" s="176">
        <v>2006</v>
      </c>
      <c r="D32" s="127">
        <v>1992</v>
      </c>
      <c r="E32" s="177" t="s">
        <v>163</v>
      </c>
      <c r="F32" s="178">
        <v>3.6</v>
      </c>
      <c r="G32" s="179">
        <v>0</v>
      </c>
      <c r="H32" s="179">
        <v>0</v>
      </c>
      <c r="I32" s="179">
        <v>0.4</v>
      </c>
      <c r="J32" s="179">
        <v>0.7</v>
      </c>
      <c r="K32" s="179">
        <v>4.3</v>
      </c>
      <c r="L32" s="179">
        <v>0</v>
      </c>
      <c r="M32" s="179">
        <v>0</v>
      </c>
      <c r="N32" s="179">
        <v>0</v>
      </c>
      <c r="O32" s="179">
        <v>0</v>
      </c>
      <c r="P32" s="179">
        <v>0</v>
      </c>
      <c r="Q32" s="179">
        <v>0</v>
      </c>
      <c r="R32" s="179">
        <v>0</v>
      </c>
      <c r="S32" s="179">
        <v>1.3</v>
      </c>
      <c r="T32" s="179">
        <v>0</v>
      </c>
      <c r="U32" s="179">
        <v>0</v>
      </c>
      <c r="V32" s="179">
        <v>0</v>
      </c>
      <c r="W32" s="179">
        <v>0</v>
      </c>
      <c r="X32" s="180">
        <v>0</v>
      </c>
      <c r="Y32" s="179">
        <v>0.4</v>
      </c>
      <c r="Z32" s="179">
        <v>0</v>
      </c>
      <c r="AA32" s="179">
        <v>0</v>
      </c>
      <c r="AB32" s="179">
        <v>0</v>
      </c>
      <c r="AC32" s="179">
        <v>0</v>
      </c>
      <c r="AD32" s="179">
        <v>0</v>
      </c>
      <c r="AE32" s="179">
        <v>0</v>
      </c>
      <c r="AF32" s="179">
        <v>7.6</v>
      </c>
      <c r="AG32" s="179">
        <v>26.3</v>
      </c>
      <c r="AH32" s="179">
        <v>0</v>
      </c>
      <c r="AI32" s="179">
        <v>55.5</v>
      </c>
      <c r="AS32" s="241" t="s">
        <v>62</v>
      </c>
      <c r="BP32" s="253"/>
      <c r="BQ32" s="253"/>
      <c r="DB32">
        <v>2006</v>
      </c>
      <c r="DC32">
        <v>67</v>
      </c>
      <c r="DD32">
        <v>1086</v>
      </c>
      <c r="DE32" s="74">
        <f>Spawners!DJ29</f>
        <v>2050</v>
      </c>
      <c r="DF32" s="255">
        <f t="shared" si="18"/>
        <v>6.1694290976058934E-2</v>
      </c>
      <c r="DG32" s="257">
        <f t="shared" si="19"/>
        <v>3.2682926829268294E-2</v>
      </c>
      <c r="EB32" s="231">
        <v>2013</v>
      </c>
      <c r="EC32">
        <v>0.3</v>
      </c>
      <c r="ED32">
        <v>2.8</v>
      </c>
      <c r="EF32" s="261">
        <f t="shared" si="17"/>
        <v>3.0999999999999996</v>
      </c>
      <c r="FA32" s="198" t="s">
        <v>535</v>
      </c>
      <c r="FB32" s="198" t="s">
        <v>535</v>
      </c>
      <c r="FC32" s="198" t="s">
        <v>537</v>
      </c>
      <c r="FD32" s="198" t="s">
        <v>87</v>
      </c>
      <c r="FE32" s="198" t="s">
        <v>87</v>
      </c>
      <c r="FF32" s="198" t="s">
        <v>540</v>
      </c>
      <c r="FG32" s="198" t="s">
        <v>87</v>
      </c>
      <c r="FH32" s="198" t="s">
        <v>14</v>
      </c>
      <c r="FI32" s="198"/>
      <c r="FJ32" s="198"/>
    </row>
    <row r="33" spans="3:166" ht="14.4" customHeight="1" x14ac:dyDescent="0.3">
      <c r="C33" s="176">
        <v>2007</v>
      </c>
      <c r="D33" s="127">
        <v>1575</v>
      </c>
      <c r="E33" s="177" t="s">
        <v>163</v>
      </c>
      <c r="F33" s="178">
        <v>4.8</v>
      </c>
      <c r="G33" s="179">
        <v>0.2</v>
      </c>
      <c r="H33" s="179">
        <v>0</v>
      </c>
      <c r="I33" s="179">
        <v>0</v>
      </c>
      <c r="J33" s="179">
        <v>0</v>
      </c>
      <c r="K33" s="179">
        <v>1.3</v>
      </c>
      <c r="L33" s="179">
        <v>0</v>
      </c>
      <c r="M33" s="179">
        <v>0</v>
      </c>
      <c r="N33" s="179">
        <v>0</v>
      </c>
      <c r="O33" s="179">
        <v>0</v>
      </c>
      <c r="P33" s="179">
        <v>0</v>
      </c>
      <c r="Q33" s="179">
        <v>0</v>
      </c>
      <c r="R33" s="179">
        <v>0</v>
      </c>
      <c r="S33" s="179">
        <v>0.7</v>
      </c>
      <c r="T33" s="179">
        <v>0</v>
      </c>
      <c r="U33" s="179">
        <v>0</v>
      </c>
      <c r="V33" s="179">
        <v>0</v>
      </c>
      <c r="W33" s="179">
        <v>0</v>
      </c>
      <c r="X33" s="180">
        <v>0</v>
      </c>
      <c r="Y33" s="179">
        <v>0</v>
      </c>
      <c r="Z33" s="179">
        <v>0</v>
      </c>
      <c r="AA33" s="179">
        <v>0</v>
      </c>
      <c r="AB33" s="179">
        <v>0</v>
      </c>
      <c r="AC33" s="179">
        <v>0</v>
      </c>
      <c r="AD33" s="179">
        <v>0</v>
      </c>
      <c r="AE33" s="179">
        <v>0</v>
      </c>
      <c r="AF33" s="179">
        <v>4.7</v>
      </c>
      <c r="AG33" s="179">
        <v>18.3</v>
      </c>
      <c r="AH33" s="179">
        <v>0.2</v>
      </c>
      <c r="AI33" s="179">
        <v>69.8</v>
      </c>
      <c r="AS33" s="241" t="s">
        <v>369</v>
      </c>
      <c r="BD33" s="253" t="s">
        <v>396</v>
      </c>
      <c r="BE33" t="s">
        <v>397</v>
      </c>
      <c r="BF33">
        <v>0</v>
      </c>
      <c r="BG33">
        <v>0</v>
      </c>
      <c r="BH33">
        <v>0</v>
      </c>
      <c r="BI33">
        <v>7</v>
      </c>
      <c r="BJ33">
        <v>0</v>
      </c>
      <c r="BK33">
        <v>4</v>
      </c>
      <c r="BL33">
        <v>4</v>
      </c>
      <c r="BM33">
        <v>5</v>
      </c>
      <c r="BN33">
        <v>0</v>
      </c>
      <c r="BO33">
        <v>0</v>
      </c>
      <c r="BP33" s="253"/>
      <c r="BQ33" s="253"/>
      <c r="DB33">
        <v>2007</v>
      </c>
      <c r="DC33">
        <v>70</v>
      </c>
      <c r="DD33">
        <v>567</v>
      </c>
      <c r="DE33" s="74">
        <f>Spawners!DJ28</f>
        <v>2562</v>
      </c>
      <c r="DF33" s="255">
        <f t="shared" si="18"/>
        <v>0.12345679012345678</v>
      </c>
      <c r="DG33" s="257">
        <f t="shared" si="19"/>
        <v>2.7322404371584699E-2</v>
      </c>
      <c r="EB33" s="231">
        <v>2014</v>
      </c>
      <c r="EC33">
        <v>0.1</v>
      </c>
      <c r="ED33">
        <v>3.9</v>
      </c>
      <c r="EF33" s="261">
        <f t="shared" si="17"/>
        <v>4</v>
      </c>
      <c r="EZ33" s="198" t="s">
        <v>3</v>
      </c>
      <c r="FA33" s="198" t="s">
        <v>536</v>
      </c>
      <c r="FB33" s="198" t="s">
        <v>533</v>
      </c>
      <c r="FC33" s="198" t="s">
        <v>536</v>
      </c>
      <c r="FD33" s="198" t="s">
        <v>538</v>
      </c>
      <c r="FE33" s="198" t="s">
        <v>539</v>
      </c>
      <c r="FF33" s="198" t="s">
        <v>5</v>
      </c>
      <c r="FG33" s="198" t="s">
        <v>582</v>
      </c>
      <c r="FH33" s="198" t="s">
        <v>544</v>
      </c>
      <c r="FI33" s="198"/>
      <c r="FJ33" s="198"/>
    </row>
    <row r="34" spans="3:166" ht="14.4" customHeight="1" x14ac:dyDescent="0.3">
      <c r="C34" s="176">
        <v>2008</v>
      </c>
      <c r="D34" s="127">
        <v>2192</v>
      </c>
      <c r="E34" s="177" t="s">
        <v>163</v>
      </c>
      <c r="F34" s="178">
        <v>1.8</v>
      </c>
      <c r="G34" s="179">
        <v>0.1</v>
      </c>
      <c r="H34" s="179">
        <v>0</v>
      </c>
      <c r="I34" s="179">
        <v>0.5</v>
      </c>
      <c r="J34" s="179">
        <v>0</v>
      </c>
      <c r="K34" s="179">
        <v>0.9</v>
      </c>
      <c r="L34" s="179">
        <v>0</v>
      </c>
      <c r="M34" s="179">
        <v>0</v>
      </c>
      <c r="N34" s="179">
        <v>0</v>
      </c>
      <c r="O34" s="179">
        <v>0</v>
      </c>
      <c r="P34" s="179">
        <v>0</v>
      </c>
      <c r="Q34" s="179">
        <v>0</v>
      </c>
      <c r="R34" s="179">
        <v>0.4</v>
      </c>
      <c r="S34" s="179">
        <v>0.1</v>
      </c>
      <c r="T34" s="179">
        <v>0</v>
      </c>
      <c r="U34" s="179">
        <v>0</v>
      </c>
      <c r="V34" s="179">
        <v>0</v>
      </c>
      <c r="W34" s="179">
        <v>0</v>
      </c>
      <c r="X34" s="180">
        <v>0</v>
      </c>
      <c r="Y34" s="179">
        <v>0</v>
      </c>
      <c r="Z34" s="179">
        <v>0</v>
      </c>
      <c r="AA34" s="179">
        <v>0</v>
      </c>
      <c r="AB34" s="179">
        <v>0</v>
      </c>
      <c r="AC34" s="179">
        <v>0</v>
      </c>
      <c r="AD34" s="179">
        <v>0</v>
      </c>
      <c r="AE34" s="179">
        <v>0</v>
      </c>
      <c r="AF34" s="179">
        <v>19.2</v>
      </c>
      <c r="AG34" s="179">
        <v>12.5</v>
      </c>
      <c r="AH34" s="179">
        <v>0.3</v>
      </c>
      <c r="AI34" s="179">
        <v>64.099999999999994</v>
      </c>
      <c r="AS34" s="241" t="s">
        <v>370</v>
      </c>
      <c r="BE34" t="s">
        <v>398</v>
      </c>
      <c r="BF34">
        <v>0</v>
      </c>
      <c r="BG34">
        <v>4</v>
      </c>
      <c r="BH34">
        <v>4</v>
      </c>
      <c r="BI34">
        <v>4</v>
      </c>
      <c r="BJ34">
        <v>0</v>
      </c>
      <c r="BK34">
        <v>4</v>
      </c>
      <c r="BL34">
        <v>4</v>
      </c>
      <c r="BM34">
        <v>10</v>
      </c>
      <c r="BN34">
        <v>0</v>
      </c>
      <c r="BO34">
        <v>0</v>
      </c>
      <c r="BP34" s="253"/>
      <c r="BQ34" s="253"/>
      <c r="DB34">
        <v>2008</v>
      </c>
      <c r="DC34">
        <v>2</v>
      </c>
      <c r="DD34">
        <v>16</v>
      </c>
      <c r="DE34" s="74">
        <f>Spawners!DJ27</f>
        <v>1388</v>
      </c>
      <c r="DF34" s="255">
        <f t="shared" si="18"/>
        <v>0.125</v>
      </c>
      <c r="DG34" s="257">
        <f t="shared" si="19"/>
        <v>1.440922190201729E-3</v>
      </c>
      <c r="EB34" s="231">
        <v>2015</v>
      </c>
      <c r="EC34">
        <v>0.1</v>
      </c>
      <c r="ED34">
        <v>4</v>
      </c>
      <c r="EF34" s="261">
        <f t="shared" si="17"/>
        <v>4.0999999999999996</v>
      </c>
      <c r="EZ34">
        <v>2016</v>
      </c>
      <c r="FA34">
        <v>361</v>
      </c>
      <c r="FB34">
        <v>561</v>
      </c>
      <c r="FC34">
        <v>1385</v>
      </c>
      <c r="FD34">
        <v>5747</v>
      </c>
      <c r="FE34">
        <v>42</v>
      </c>
      <c r="FF34">
        <f t="shared" ref="FF34:FF43" si="29">SUM(FA34:FB34)</f>
        <v>922</v>
      </c>
      <c r="FG34">
        <f t="shared" ref="FG34:FG43" si="30">SUM(FD34:FE34)</f>
        <v>5789</v>
      </c>
      <c r="FH34">
        <f>FA34+FB34+FC34+FD34</f>
        <v>8054</v>
      </c>
    </row>
    <row r="35" spans="3:166" ht="14.4" customHeight="1" x14ac:dyDescent="0.3">
      <c r="C35" s="176">
        <v>2009</v>
      </c>
      <c r="D35" s="127">
        <v>4131</v>
      </c>
      <c r="E35" s="177" t="s">
        <v>163</v>
      </c>
      <c r="F35" s="178">
        <v>3.3</v>
      </c>
      <c r="G35" s="179">
        <v>0</v>
      </c>
      <c r="H35" s="179">
        <v>0</v>
      </c>
      <c r="I35" s="179">
        <v>0.2</v>
      </c>
      <c r="J35" s="179">
        <v>0.1</v>
      </c>
      <c r="K35" s="179">
        <v>0.7</v>
      </c>
      <c r="L35" s="179">
        <v>1.8</v>
      </c>
      <c r="M35" s="179">
        <v>0</v>
      </c>
      <c r="N35" s="179">
        <v>0</v>
      </c>
      <c r="O35" s="179">
        <v>0.1</v>
      </c>
      <c r="P35" s="179">
        <v>0</v>
      </c>
      <c r="Q35" s="179">
        <v>0</v>
      </c>
      <c r="R35" s="179">
        <v>0.8</v>
      </c>
      <c r="S35" s="179">
        <v>0.3</v>
      </c>
      <c r="T35" s="179">
        <v>0.1</v>
      </c>
      <c r="U35" s="179">
        <v>0</v>
      </c>
      <c r="V35" s="179">
        <v>0</v>
      </c>
      <c r="W35" s="179">
        <v>0</v>
      </c>
      <c r="X35" s="180">
        <v>0</v>
      </c>
      <c r="Y35" s="179">
        <v>0.3</v>
      </c>
      <c r="Z35" s="179">
        <v>0</v>
      </c>
      <c r="AA35" s="179">
        <v>0</v>
      </c>
      <c r="AB35" s="179">
        <v>0</v>
      </c>
      <c r="AC35" s="179">
        <v>0</v>
      </c>
      <c r="AD35" s="179">
        <v>0</v>
      </c>
      <c r="AE35" s="179">
        <v>0</v>
      </c>
      <c r="AF35" s="179">
        <v>7.5</v>
      </c>
      <c r="AG35" s="179">
        <v>20.5</v>
      </c>
      <c r="AH35" s="179">
        <v>0</v>
      </c>
      <c r="AI35" s="179">
        <v>64.099999999999994</v>
      </c>
      <c r="AS35" s="241" t="s">
        <v>371</v>
      </c>
      <c r="BE35" t="s">
        <v>399</v>
      </c>
      <c r="BF35">
        <v>20</v>
      </c>
      <c r="BG35">
        <v>4</v>
      </c>
      <c r="BH35">
        <v>47</v>
      </c>
      <c r="BI35">
        <v>49</v>
      </c>
      <c r="BJ35">
        <v>16</v>
      </c>
      <c r="BK35">
        <v>54</v>
      </c>
      <c r="BL35">
        <v>36</v>
      </c>
      <c r="BM35">
        <v>85</v>
      </c>
      <c r="BN35">
        <v>59</v>
      </c>
      <c r="BO35">
        <v>97</v>
      </c>
      <c r="BP35" s="253"/>
      <c r="BQ35" s="253"/>
      <c r="DB35">
        <v>2009</v>
      </c>
      <c r="DC35">
        <v>53</v>
      </c>
      <c r="DD35">
        <v>796</v>
      </c>
      <c r="DE35" s="74">
        <f>Spawners!DJ26</f>
        <v>1193</v>
      </c>
      <c r="DF35" s="255">
        <f t="shared" si="18"/>
        <v>6.6582914572864318E-2</v>
      </c>
      <c r="DG35" s="257">
        <f t="shared" si="19"/>
        <v>4.4425817267393128E-2</v>
      </c>
      <c r="EB35" s="231">
        <v>2016</v>
      </c>
      <c r="EC35">
        <v>0.1</v>
      </c>
      <c r="ED35">
        <v>2.2000000000000002</v>
      </c>
      <c r="EF35" s="261">
        <f t="shared" si="17"/>
        <v>2.3000000000000003</v>
      </c>
      <c r="EZ35">
        <v>2015</v>
      </c>
      <c r="FA35">
        <v>1262</v>
      </c>
      <c r="FB35">
        <v>1232</v>
      </c>
      <c r="FC35">
        <v>3403</v>
      </c>
      <c r="FD35">
        <v>13235</v>
      </c>
      <c r="FE35">
        <v>412</v>
      </c>
      <c r="FF35">
        <f t="shared" si="29"/>
        <v>2494</v>
      </c>
      <c r="FG35">
        <f t="shared" si="30"/>
        <v>13647</v>
      </c>
      <c r="FH35">
        <f t="shared" ref="FH35:FH43" si="31">FA35+FB35+FC35+FD35</f>
        <v>19132</v>
      </c>
    </row>
    <row r="36" spans="3:166" ht="14.4" customHeight="1" x14ac:dyDescent="0.3">
      <c r="C36" s="176">
        <v>2010</v>
      </c>
      <c r="D36" s="127">
        <v>11584</v>
      </c>
      <c r="E36" s="177" t="s">
        <v>163</v>
      </c>
      <c r="F36" s="178">
        <v>2.9</v>
      </c>
      <c r="G36" s="179">
        <v>0</v>
      </c>
      <c r="H36" s="179">
        <v>0.1</v>
      </c>
      <c r="I36" s="179">
        <v>0.5</v>
      </c>
      <c r="J36" s="179">
        <v>0.2</v>
      </c>
      <c r="K36" s="179">
        <v>0.5</v>
      </c>
      <c r="L36" s="179">
        <v>0.1</v>
      </c>
      <c r="M36" s="179">
        <v>0</v>
      </c>
      <c r="N36" s="179">
        <v>0</v>
      </c>
      <c r="O36" s="179">
        <v>0.1</v>
      </c>
      <c r="P36" s="179">
        <v>0</v>
      </c>
      <c r="Q36" s="179">
        <v>0</v>
      </c>
      <c r="R36" s="179">
        <v>0</v>
      </c>
      <c r="S36" s="179">
        <v>1.9</v>
      </c>
      <c r="T36" s="179">
        <v>0.2</v>
      </c>
      <c r="U36" s="179">
        <v>0.1</v>
      </c>
      <c r="V36" s="179">
        <v>0</v>
      </c>
      <c r="W36" s="179">
        <v>0</v>
      </c>
      <c r="X36" s="180">
        <v>0</v>
      </c>
      <c r="Y36" s="179">
        <v>0.1</v>
      </c>
      <c r="Z36" s="179">
        <v>0</v>
      </c>
      <c r="AA36" s="179">
        <v>0</v>
      </c>
      <c r="AB36" s="179">
        <v>0</v>
      </c>
      <c r="AC36" s="179">
        <v>0</v>
      </c>
      <c r="AD36" s="179">
        <v>0</v>
      </c>
      <c r="AE36" s="179">
        <v>0</v>
      </c>
      <c r="AF36" s="179">
        <v>3.7</v>
      </c>
      <c r="AG36" s="179">
        <v>33</v>
      </c>
      <c r="AH36" s="179">
        <v>0.1</v>
      </c>
      <c r="AI36" s="179">
        <v>56.7</v>
      </c>
      <c r="AS36" s="241"/>
      <c r="BE36" t="s">
        <v>396</v>
      </c>
      <c r="BF36">
        <v>737</v>
      </c>
      <c r="BG36">
        <v>8</v>
      </c>
      <c r="BH36">
        <v>780</v>
      </c>
      <c r="BI36">
        <v>3817</v>
      </c>
      <c r="BJ36">
        <v>833</v>
      </c>
      <c r="BK36">
        <v>780</v>
      </c>
      <c r="BL36">
        <v>502</v>
      </c>
      <c r="BM36">
        <v>416</v>
      </c>
      <c r="BN36">
        <v>1859</v>
      </c>
      <c r="BO36">
        <v>681</v>
      </c>
      <c r="BP36" s="253"/>
      <c r="BQ36" s="253"/>
      <c r="DB36">
        <v>2010</v>
      </c>
      <c r="DC36">
        <v>52</v>
      </c>
      <c r="DD36">
        <v>1794</v>
      </c>
      <c r="DE36" s="74">
        <f>Spawners!DJ25</f>
        <v>1265</v>
      </c>
      <c r="DF36" s="255">
        <f t="shared" si="18"/>
        <v>2.8985507246376812E-2</v>
      </c>
      <c r="DG36" s="257">
        <f t="shared" si="19"/>
        <v>4.1106719367588931E-2</v>
      </c>
      <c r="EB36" s="253" t="s">
        <v>429</v>
      </c>
      <c r="EC36" s="253"/>
      <c r="ED36" s="253"/>
      <c r="EE36" s="253"/>
      <c r="EF36" s="262">
        <f>AVERAGE(EF26:EF35)</f>
        <v>4.49</v>
      </c>
      <c r="EZ36">
        <v>2014</v>
      </c>
      <c r="FA36">
        <v>573</v>
      </c>
      <c r="FB36">
        <v>655</v>
      </c>
      <c r="FC36">
        <v>2230</v>
      </c>
      <c r="FD36">
        <v>7803</v>
      </c>
      <c r="FE36">
        <v>307</v>
      </c>
      <c r="FF36">
        <f t="shared" si="29"/>
        <v>1228</v>
      </c>
      <c r="FG36">
        <f t="shared" si="30"/>
        <v>8110</v>
      </c>
      <c r="FH36">
        <f t="shared" si="31"/>
        <v>11261</v>
      </c>
    </row>
    <row r="37" spans="3:166" ht="14.4" customHeight="1" x14ac:dyDescent="0.3">
      <c r="C37" s="176">
        <v>2011</v>
      </c>
      <c r="D37" s="127">
        <v>7812</v>
      </c>
      <c r="E37" s="177" t="s">
        <v>163</v>
      </c>
      <c r="F37" s="178">
        <v>4.0999999999999996</v>
      </c>
      <c r="G37" s="179">
        <v>0</v>
      </c>
      <c r="H37" s="179">
        <v>0.2</v>
      </c>
      <c r="I37" s="179">
        <v>0.8</v>
      </c>
      <c r="J37" s="179">
        <v>0.2</v>
      </c>
      <c r="K37" s="179">
        <v>1.1000000000000001</v>
      </c>
      <c r="L37" s="179">
        <v>0.1</v>
      </c>
      <c r="M37" s="179">
        <v>0</v>
      </c>
      <c r="N37" s="179">
        <v>0</v>
      </c>
      <c r="O37" s="179">
        <v>0.1</v>
      </c>
      <c r="P37" s="179">
        <v>0</v>
      </c>
      <c r="Q37" s="179">
        <v>0</v>
      </c>
      <c r="R37" s="179">
        <v>0.1</v>
      </c>
      <c r="S37" s="179">
        <v>0.9</v>
      </c>
      <c r="T37" s="179">
        <v>0.2</v>
      </c>
      <c r="U37" s="179">
        <v>0.2</v>
      </c>
      <c r="V37" s="179">
        <v>0</v>
      </c>
      <c r="W37" s="179">
        <v>0</v>
      </c>
      <c r="X37" s="180">
        <v>0</v>
      </c>
      <c r="Y37" s="179">
        <v>0.2</v>
      </c>
      <c r="Z37" s="179">
        <v>0</v>
      </c>
      <c r="AA37" s="179">
        <v>0</v>
      </c>
      <c r="AB37" s="179">
        <v>0</v>
      </c>
      <c r="AC37" s="179">
        <v>0</v>
      </c>
      <c r="AD37" s="179">
        <v>0</v>
      </c>
      <c r="AE37" s="179">
        <v>0</v>
      </c>
      <c r="AF37" s="179">
        <v>5.0999999999999996</v>
      </c>
      <c r="AG37" s="179">
        <v>41.2</v>
      </c>
      <c r="AH37" s="179">
        <v>0.2</v>
      </c>
      <c r="AI37" s="179">
        <v>45.6</v>
      </c>
      <c r="AS37" s="241" t="s">
        <v>64</v>
      </c>
      <c r="BE37" t="s">
        <v>400</v>
      </c>
      <c r="BF37">
        <v>0</v>
      </c>
      <c r="BG37">
        <v>0</v>
      </c>
      <c r="BH37">
        <v>0</v>
      </c>
      <c r="BI37">
        <v>0</v>
      </c>
      <c r="BJ37">
        <v>0</v>
      </c>
      <c r="BK37">
        <v>0</v>
      </c>
      <c r="BL37">
        <v>0</v>
      </c>
      <c r="BM37">
        <v>0</v>
      </c>
      <c r="BN37">
        <v>18</v>
      </c>
      <c r="BO37">
        <v>0</v>
      </c>
      <c r="BP37" s="253"/>
      <c r="BQ37" s="253"/>
      <c r="DB37">
        <v>2011</v>
      </c>
      <c r="DC37">
        <v>77</v>
      </c>
      <c r="DD37">
        <v>1289</v>
      </c>
      <c r="DE37" s="74">
        <f>Spawners!DJ24</f>
        <v>2511</v>
      </c>
      <c r="DF37" s="255">
        <f t="shared" si="18"/>
        <v>5.973622963537626E-2</v>
      </c>
      <c r="DG37" s="257">
        <f t="shared" si="19"/>
        <v>3.0665073675826365E-2</v>
      </c>
      <c r="EZ37">
        <v>2013</v>
      </c>
      <c r="FA37">
        <v>515</v>
      </c>
      <c r="FB37">
        <v>1212</v>
      </c>
      <c r="FC37">
        <v>1652</v>
      </c>
      <c r="FD37">
        <v>6925</v>
      </c>
      <c r="FE37">
        <v>368</v>
      </c>
      <c r="FF37">
        <f t="shared" si="29"/>
        <v>1727</v>
      </c>
      <c r="FG37">
        <f t="shared" si="30"/>
        <v>7293</v>
      </c>
      <c r="FH37">
        <f t="shared" si="31"/>
        <v>10304</v>
      </c>
    </row>
    <row r="38" spans="3:166" ht="14.4" customHeight="1" x14ac:dyDescent="0.3">
      <c r="C38" s="176">
        <v>2012</v>
      </c>
      <c r="D38" s="127">
        <v>5979</v>
      </c>
      <c r="E38" s="177" t="s">
        <v>163</v>
      </c>
      <c r="F38" s="178">
        <v>6.4</v>
      </c>
      <c r="G38" s="179">
        <v>0</v>
      </c>
      <c r="H38" s="179">
        <v>0.3</v>
      </c>
      <c r="I38" s="179">
        <v>0.3</v>
      </c>
      <c r="J38" s="179">
        <v>0.2</v>
      </c>
      <c r="K38" s="179">
        <v>3.2</v>
      </c>
      <c r="L38" s="179">
        <v>0.1</v>
      </c>
      <c r="M38" s="179">
        <v>0</v>
      </c>
      <c r="N38" s="179">
        <v>0</v>
      </c>
      <c r="O38" s="179">
        <v>0</v>
      </c>
      <c r="P38" s="179">
        <v>0</v>
      </c>
      <c r="Q38" s="179">
        <v>0</v>
      </c>
      <c r="R38" s="179">
        <v>0</v>
      </c>
      <c r="S38" s="179">
        <v>1.4</v>
      </c>
      <c r="T38" s="179">
        <v>0.8</v>
      </c>
      <c r="U38" s="179">
        <v>0.4</v>
      </c>
      <c r="V38" s="179">
        <v>0</v>
      </c>
      <c r="W38" s="179">
        <v>0</v>
      </c>
      <c r="X38" s="180">
        <v>0</v>
      </c>
      <c r="Y38" s="179">
        <v>0.4</v>
      </c>
      <c r="Z38" s="179">
        <v>0</v>
      </c>
      <c r="AA38" s="179">
        <v>0</v>
      </c>
      <c r="AB38" s="179">
        <v>0</v>
      </c>
      <c r="AC38" s="179">
        <v>0</v>
      </c>
      <c r="AD38" s="179">
        <v>0</v>
      </c>
      <c r="AE38" s="179">
        <v>0</v>
      </c>
      <c r="AF38" s="179">
        <v>4.8</v>
      </c>
      <c r="AG38" s="179">
        <v>37.1</v>
      </c>
      <c r="AH38" s="179">
        <v>0.6</v>
      </c>
      <c r="AI38" s="179">
        <v>44</v>
      </c>
      <c r="AS38" s="241" t="s">
        <v>372</v>
      </c>
      <c r="BE38" t="s">
        <v>401</v>
      </c>
      <c r="BF38">
        <v>0</v>
      </c>
      <c r="BG38">
        <v>0</v>
      </c>
      <c r="BH38">
        <v>8</v>
      </c>
      <c r="BI38">
        <v>15</v>
      </c>
      <c r="BJ38">
        <v>21</v>
      </c>
      <c r="BK38">
        <v>4</v>
      </c>
      <c r="BL38">
        <v>9</v>
      </c>
      <c r="BM38">
        <v>15</v>
      </c>
      <c r="BN38">
        <v>397</v>
      </c>
      <c r="BO38">
        <v>71</v>
      </c>
      <c r="BP38" s="253"/>
      <c r="BQ38" s="253"/>
      <c r="DB38">
        <v>2012</v>
      </c>
      <c r="DC38">
        <v>92</v>
      </c>
      <c r="DD38">
        <v>1197</v>
      </c>
      <c r="DE38" s="74">
        <f>Spawners!DJ23</f>
        <v>1769</v>
      </c>
      <c r="DF38" s="255">
        <f t="shared" si="18"/>
        <v>7.685881370091896E-2</v>
      </c>
      <c r="DG38" s="257">
        <f t="shared" si="19"/>
        <v>5.2006783493499152E-2</v>
      </c>
      <c r="EB38" s="505" t="s">
        <v>434</v>
      </c>
      <c r="EC38" s="505"/>
      <c r="ED38" s="505"/>
      <c r="EE38" s="505"/>
      <c r="EF38" s="505"/>
      <c r="EZ38">
        <v>2012</v>
      </c>
      <c r="FA38">
        <v>1536</v>
      </c>
      <c r="FB38">
        <v>706</v>
      </c>
      <c r="FC38">
        <v>3008</v>
      </c>
      <c r="FD38">
        <v>15096</v>
      </c>
      <c r="FE38">
        <v>545</v>
      </c>
      <c r="FF38">
        <f t="shared" si="29"/>
        <v>2242</v>
      </c>
      <c r="FG38">
        <f t="shared" si="30"/>
        <v>15641</v>
      </c>
      <c r="FH38">
        <f t="shared" si="31"/>
        <v>20346</v>
      </c>
    </row>
    <row r="39" spans="3:166" ht="14.4" customHeight="1" x14ac:dyDescent="0.3">
      <c r="C39" s="176">
        <v>2013</v>
      </c>
      <c r="D39" s="127">
        <v>6206</v>
      </c>
      <c r="E39" s="177" t="s">
        <v>163</v>
      </c>
      <c r="F39" s="178">
        <v>2.4</v>
      </c>
      <c r="G39" s="179">
        <v>0</v>
      </c>
      <c r="H39" s="179">
        <v>0.6</v>
      </c>
      <c r="I39" s="179">
        <v>0.4</v>
      </c>
      <c r="J39" s="179">
        <v>0.1</v>
      </c>
      <c r="K39" s="179">
        <v>0.7</v>
      </c>
      <c r="L39" s="179">
        <v>0.3</v>
      </c>
      <c r="M39" s="179">
        <v>0</v>
      </c>
      <c r="N39" s="179">
        <v>0</v>
      </c>
      <c r="O39" s="179">
        <v>0.1</v>
      </c>
      <c r="P39" s="179">
        <v>0</v>
      </c>
      <c r="Q39" s="179">
        <v>0</v>
      </c>
      <c r="R39" s="179">
        <v>0.3</v>
      </c>
      <c r="S39" s="179">
        <v>1</v>
      </c>
      <c r="T39" s="179">
        <v>0.3</v>
      </c>
      <c r="U39" s="179">
        <v>0.3</v>
      </c>
      <c r="V39" s="179">
        <v>0.1</v>
      </c>
      <c r="W39" s="179">
        <v>0</v>
      </c>
      <c r="X39" s="180">
        <v>0</v>
      </c>
      <c r="Y39" s="179">
        <v>0</v>
      </c>
      <c r="Z39" s="179">
        <v>0</v>
      </c>
      <c r="AA39" s="179">
        <v>0</v>
      </c>
      <c r="AB39" s="179">
        <v>0</v>
      </c>
      <c r="AC39" s="179">
        <v>0</v>
      </c>
      <c r="AD39" s="179">
        <v>0</v>
      </c>
      <c r="AE39" s="179">
        <v>0</v>
      </c>
      <c r="AF39" s="179">
        <v>4.5</v>
      </c>
      <c r="AG39" s="179">
        <v>28.6</v>
      </c>
      <c r="AH39" s="179">
        <v>0</v>
      </c>
      <c r="AI39" s="179">
        <v>60.1</v>
      </c>
      <c r="AT39" s="241" t="s">
        <v>373</v>
      </c>
      <c r="BC39" s="253"/>
      <c r="BE39" s="253" t="s">
        <v>5</v>
      </c>
      <c r="BF39" s="253">
        <f>SUM(BF33:BF38)</f>
        <v>757</v>
      </c>
      <c r="BG39" s="253">
        <f t="shared" ref="BG39:BO39" si="32">SUM(BG33:BG38)</f>
        <v>16</v>
      </c>
      <c r="BH39" s="253">
        <f t="shared" si="32"/>
        <v>839</v>
      </c>
      <c r="BI39" s="253">
        <f t="shared" si="32"/>
        <v>3892</v>
      </c>
      <c r="BJ39" s="253">
        <f t="shared" si="32"/>
        <v>870</v>
      </c>
      <c r="BK39" s="253">
        <f t="shared" si="32"/>
        <v>846</v>
      </c>
      <c r="BL39" s="253">
        <f t="shared" si="32"/>
        <v>555</v>
      </c>
      <c r="BM39" s="253">
        <f t="shared" si="32"/>
        <v>531</v>
      </c>
      <c r="BN39" s="253">
        <f t="shared" si="32"/>
        <v>2333</v>
      </c>
      <c r="BO39" s="253">
        <f t="shared" si="32"/>
        <v>849</v>
      </c>
      <c r="BP39" s="253">
        <f>SUM(BF39:BO39)</f>
        <v>11488</v>
      </c>
      <c r="BQ39" s="253">
        <f>+BP39/10</f>
        <v>1148.8</v>
      </c>
      <c r="DB39">
        <v>2013</v>
      </c>
      <c r="DC39">
        <v>42</v>
      </c>
      <c r="DD39">
        <v>613</v>
      </c>
      <c r="DE39" s="74">
        <f>Spawners!DJ22</f>
        <v>1202</v>
      </c>
      <c r="DF39" s="255">
        <f t="shared" si="18"/>
        <v>6.8515497553017946E-2</v>
      </c>
      <c r="DG39" s="257">
        <f t="shared" si="19"/>
        <v>3.4941763727121461E-2</v>
      </c>
      <c r="EB39" s="258" t="s">
        <v>3</v>
      </c>
      <c r="EC39" s="198" t="s">
        <v>435</v>
      </c>
      <c r="ED39" s="198"/>
      <c r="EE39" s="198"/>
      <c r="EF39" s="258" t="s">
        <v>5</v>
      </c>
      <c r="EZ39">
        <v>2011</v>
      </c>
      <c r="FA39">
        <v>1093</v>
      </c>
      <c r="FB39">
        <v>1025</v>
      </c>
      <c r="FC39">
        <v>1975</v>
      </c>
      <c r="FD39">
        <v>20582</v>
      </c>
      <c r="FE39">
        <v>488</v>
      </c>
      <c r="FF39">
        <f t="shared" si="29"/>
        <v>2118</v>
      </c>
      <c r="FG39">
        <f t="shared" si="30"/>
        <v>21070</v>
      </c>
      <c r="FH39">
        <f t="shared" si="31"/>
        <v>24675</v>
      </c>
    </row>
    <row r="40" spans="3:166" ht="14.4" customHeight="1" x14ac:dyDescent="0.3">
      <c r="C40" s="176">
        <v>2014</v>
      </c>
      <c r="D40" s="127">
        <v>14516</v>
      </c>
      <c r="E40" s="177" t="s">
        <v>163</v>
      </c>
      <c r="F40" s="178">
        <v>4.5999999999999996</v>
      </c>
      <c r="G40" s="179">
        <v>0.2</v>
      </c>
      <c r="H40" s="179">
        <v>0.2</v>
      </c>
      <c r="I40" s="179">
        <v>0.7</v>
      </c>
      <c r="J40" s="179">
        <v>0.1</v>
      </c>
      <c r="K40" s="179">
        <v>3</v>
      </c>
      <c r="L40" s="179">
        <v>0</v>
      </c>
      <c r="M40" s="179">
        <v>0</v>
      </c>
      <c r="N40" s="179">
        <v>0</v>
      </c>
      <c r="O40" s="179">
        <v>0.1</v>
      </c>
      <c r="P40" s="179">
        <v>0</v>
      </c>
      <c r="Q40" s="179">
        <v>0</v>
      </c>
      <c r="R40" s="179">
        <v>0</v>
      </c>
      <c r="S40" s="179">
        <v>1.6</v>
      </c>
      <c r="T40" s="179">
        <v>0.4</v>
      </c>
      <c r="U40" s="179">
        <v>0.4</v>
      </c>
      <c r="V40" s="179">
        <v>0</v>
      </c>
      <c r="W40" s="179">
        <v>0</v>
      </c>
      <c r="X40" s="180">
        <v>0</v>
      </c>
      <c r="Y40" s="179">
        <v>0</v>
      </c>
      <c r="Z40" s="179">
        <v>0</v>
      </c>
      <c r="AA40" s="179">
        <v>0</v>
      </c>
      <c r="AB40" s="179">
        <v>0</v>
      </c>
      <c r="AC40" s="179">
        <v>0</v>
      </c>
      <c r="AD40" s="179">
        <v>0</v>
      </c>
      <c r="AE40" s="179">
        <v>0</v>
      </c>
      <c r="AF40" s="179">
        <v>3</v>
      </c>
      <c r="AG40" s="179">
        <v>20.5</v>
      </c>
      <c r="AH40" s="179">
        <v>0</v>
      </c>
      <c r="AI40" s="179">
        <v>65.099999999999994</v>
      </c>
      <c r="AS40" s="241" t="s">
        <v>374</v>
      </c>
      <c r="DB40">
        <v>2014</v>
      </c>
      <c r="DC40">
        <v>28</v>
      </c>
      <c r="DD40">
        <v>656</v>
      </c>
      <c r="DE40" s="74">
        <f>Spawners!DJ21</f>
        <v>1004</v>
      </c>
      <c r="DF40" s="255">
        <f t="shared" si="18"/>
        <v>4.2682926829268296E-2</v>
      </c>
      <c r="DG40" s="257">
        <f t="shared" si="19"/>
        <v>2.7888446215139442E-2</v>
      </c>
      <c r="EB40" s="231">
        <v>2007</v>
      </c>
      <c r="EC40">
        <v>0.8</v>
      </c>
      <c r="EF40" s="261">
        <f>SUM(EC40:EE40)</f>
        <v>0.8</v>
      </c>
      <c r="EZ40">
        <v>2010</v>
      </c>
      <c r="FA40">
        <v>1532</v>
      </c>
      <c r="FB40">
        <v>1660</v>
      </c>
      <c r="FC40">
        <v>5255</v>
      </c>
      <c r="FD40">
        <v>21611</v>
      </c>
      <c r="FE40">
        <v>699</v>
      </c>
      <c r="FF40">
        <f t="shared" si="29"/>
        <v>3192</v>
      </c>
      <c r="FG40">
        <f t="shared" si="30"/>
        <v>22310</v>
      </c>
      <c r="FH40">
        <f t="shared" si="31"/>
        <v>30058</v>
      </c>
    </row>
    <row r="41" spans="3:166" ht="14.4" customHeight="1" x14ac:dyDescent="0.3">
      <c r="C41" s="181">
        <v>2015</v>
      </c>
      <c r="D41" s="182" t="s">
        <v>164</v>
      </c>
      <c r="E41" s="113"/>
      <c r="F41" s="183" t="s">
        <v>165</v>
      </c>
      <c r="G41" s="182" t="s">
        <v>165</v>
      </c>
      <c r="H41" s="182" t="s">
        <v>165</v>
      </c>
      <c r="I41" s="182" t="s">
        <v>165</v>
      </c>
      <c r="J41" s="182" t="s">
        <v>165</v>
      </c>
      <c r="K41" s="182" t="s">
        <v>165</v>
      </c>
      <c r="L41" s="182" t="s">
        <v>165</v>
      </c>
      <c r="M41" s="182" t="s">
        <v>165</v>
      </c>
      <c r="N41" s="182" t="s">
        <v>165</v>
      </c>
      <c r="O41" s="182" t="s">
        <v>165</v>
      </c>
      <c r="P41" s="182" t="s">
        <v>165</v>
      </c>
      <c r="Q41" s="182" t="s">
        <v>165</v>
      </c>
      <c r="R41" s="182" t="s">
        <v>165</v>
      </c>
      <c r="S41" s="182" t="s">
        <v>165</v>
      </c>
      <c r="T41" s="182" t="s">
        <v>165</v>
      </c>
      <c r="U41" s="182" t="s">
        <v>165</v>
      </c>
      <c r="V41" s="182" t="s">
        <v>165</v>
      </c>
      <c r="W41" s="182" t="s">
        <v>165</v>
      </c>
      <c r="X41" s="184" t="s">
        <v>165</v>
      </c>
      <c r="Y41" s="182" t="s">
        <v>165</v>
      </c>
      <c r="Z41" s="182" t="s">
        <v>165</v>
      </c>
      <c r="AA41" s="182" t="s">
        <v>165</v>
      </c>
      <c r="AB41" s="182" t="s">
        <v>165</v>
      </c>
      <c r="AC41" s="182" t="s">
        <v>165</v>
      </c>
      <c r="AD41" s="182" t="s">
        <v>165</v>
      </c>
      <c r="AE41" s="182" t="s">
        <v>165</v>
      </c>
      <c r="AF41" s="182" t="s">
        <v>165</v>
      </c>
      <c r="AG41" s="182" t="s">
        <v>165</v>
      </c>
      <c r="AH41" s="182" t="s">
        <v>165</v>
      </c>
      <c r="AI41" s="182" t="s">
        <v>165</v>
      </c>
      <c r="AT41" s="241" t="s">
        <v>373</v>
      </c>
      <c r="BD41" s="253" t="s">
        <v>404</v>
      </c>
      <c r="BE41" s="253"/>
      <c r="BF41" s="253">
        <f t="shared" ref="BF41:BM41" si="33">+BF13+BF15+BF17+BF21+BF26+BF31+BF39</f>
        <v>2083</v>
      </c>
      <c r="BG41" s="253">
        <f t="shared" si="33"/>
        <v>131</v>
      </c>
      <c r="BH41" s="253">
        <f t="shared" si="33"/>
        <v>2949</v>
      </c>
      <c r="BI41" s="253">
        <f t="shared" si="33"/>
        <v>9006</v>
      </c>
      <c r="BJ41" s="253">
        <f t="shared" si="33"/>
        <v>4346</v>
      </c>
      <c r="BK41" s="253">
        <f t="shared" si="33"/>
        <v>4540</v>
      </c>
      <c r="BL41" s="253">
        <f t="shared" si="33"/>
        <v>2193</v>
      </c>
      <c r="BM41" s="253">
        <f t="shared" si="33"/>
        <v>3191</v>
      </c>
      <c r="BN41" s="253">
        <f>+BN13+BN15+BN17+BN21+BN26+BN31+BN39</f>
        <v>5897</v>
      </c>
      <c r="BO41" s="253">
        <f>+BO13+BO15+BO17+BO21+BO26+BO31+BO39</f>
        <v>3951</v>
      </c>
      <c r="BP41" s="253">
        <f>AVERAGE(BF41:BO41)</f>
        <v>3828.7</v>
      </c>
      <c r="BQ41" s="253">
        <f>+BQ13+BQ15+BQ17+BQ21+BQ26+BQ31+BQ39</f>
        <v>3828.1000000000004</v>
      </c>
      <c r="DB41">
        <v>2015</v>
      </c>
      <c r="DC41">
        <v>23</v>
      </c>
      <c r="DD41">
        <v>914</v>
      </c>
      <c r="DE41" s="74">
        <f>Spawners!DJ20</f>
        <v>1608</v>
      </c>
      <c r="DF41" s="255">
        <f t="shared" si="18"/>
        <v>2.5164113785557989E-2</v>
      </c>
      <c r="DG41" s="257">
        <f t="shared" si="19"/>
        <v>1.4303482587064677E-2</v>
      </c>
      <c r="EB41" s="231">
        <v>2008</v>
      </c>
      <c r="EC41">
        <v>0.2</v>
      </c>
      <c r="EF41" s="261">
        <f t="shared" ref="EF41:EF49" si="34">SUM(EC41:EE41)</f>
        <v>0.2</v>
      </c>
      <c r="EZ41">
        <v>2009</v>
      </c>
      <c r="FA41">
        <v>38</v>
      </c>
      <c r="FB41">
        <v>283</v>
      </c>
      <c r="FC41">
        <v>1302</v>
      </c>
      <c r="FD41">
        <v>3988</v>
      </c>
      <c r="FE41">
        <v>184</v>
      </c>
      <c r="FF41">
        <f t="shared" si="29"/>
        <v>321</v>
      </c>
      <c r="FG41">
        <f t="shared" si="30"/>
        <v>4172</v>
      </c>
      <c r="FH41">
        <f t="shared" si="31"/>
        <v>5611</v>
      </c>
    </row>
    <row r="42" spans="3:166" ht="15.6" x14ac:dyDescent="0.3">
      <c r="AS42" s="241" t="s">
        <v>375</v>
      </c>
      <c r="DB42">
        <v>2016</v>
      </c>
      <c r="DC42">
        <v>30</v>
      </c>
      <c r="DD42">
        <v>728</v>
      </c>
      <c r="DE42" s="74">
        <f>Spawners!DJ19</f>
        <v>1716</v>
      </c>
      <c r="DF42" s="255">
        <f t="shared" si="18"/>
        <v>4.1208791208791208E-2</v>
      </c>
      <c r="DG42" s="257">
        <f t="shared" si="19"/>
        <v>1.7482517482517484E-2</v>
      </c>
      <c r="EB42" s="231">
        <v>2009</v>
      </c>
      <c r="EC42">
        <v>0.8</v>
      </c>
      <c r="EF42" s="261">
        <f t="shared" si="34"/>
        <v>0.8</v>
      </c>
      <c r="EZ42">
        <v>2008</v>
      </c>
      <c r="FA42">
        <v>1</v>
      </c>
      <c r="FB42">
        <v>95</v>
      </c>
      <c r="FC42">
        <v>195</v>
      </c>
      <c r="FD42">
        <v>4301</v>
      </c>
      <c r="FE42">
        <v>198</v>
      </c>
      <c r="FF42">
        <f t="shared" si="29"/>
        <v>96</v>
      </c>
      <c r="FG42">
        <f t="shared" si="30"/>
        <v>4499</v>
      </c>
      <c r="FH42">
        <f t="shared" si="31"/>
        <v>4592</v>
      </c>
    </row>
    <row r="43" spans="3:166" ht="14.4" customHeight="1" x14ac:dyDescent="0.3">
      <c r="F43" s="189">
        <f>AVERAGE(F31:F40)</f>
        <v>3.6699999999999995</v>
      </c>
      <c r="G43" s="189">
        <f t="shared" ref="G43:AI43" si="35">AVERAGE(G31:G40)</f>
        <v>0.05</v>
      </c>
      <c r="H43" s="189">
        <f t="shared" si="35"/>
        <v>0.14999999999999997</v>
      </c>
      <c r="I43" s="189">
        <f t="shared" si="35"/>
        <v>0.41</v>
      </c>
      <c r="J43" s="189">
        <f t="shared" si="35"/>
        <v>0.19</v>
      </c>
      <c r="K43" s="189">
        <f t="shared" si="35"/>
        <v>2.12</v>
      </c>
      <c r="L43" s="189">
        <f t="shared" si="35"/>
        <v>0.24</v>
      </c>
      <c r="M43" s="189">
        <f t="shared" si="35"/>
        <v>0</v>
      </c>
      <c r="N43" s="189">
        <f t="shared" si="35"/>
        <v>0</v>
      </c>
      <c r="O43" s="189">
        <f t="shared" si="35"/>
        <v>0.05</v>
      </c>
      <c r="P43" s="189">
        <f t="shared" si="35"/>
        <v>0</v>
      </c>
      <c r="Q43" s="189">
        <f t="shared" si="35"/>
        <v>0</v>
      </c>
      <c r="R43" s="189">
        <f t="shared" si="35"/>
        <v>0.16000000000000003</v>
      </c>
      <c r="S43" s="189">
        <f t="shared" si="35"/>
        <v>0.97999999999999987</v>
      </c>
      <c r="T43" s="189">
        <f t="shared" si="35"/>
        <v>0.21000000000000002</v>
      </c>
      <c r="U43" s="189">
        <f t="shared" si="35"/>
        <v>0.17</v>
      </c>
      <c r="V43" s="189">
        <f t="shared" si="35"/>
        <v>0.01</v>
      </c>
      <c r="W43" s="189">
        <f t="shared" si="35"/>
        <v>0</v>
      </c>
      <c r="X43" s="189">
        <f t="shared" si="35"/>
        <v>0</v>
      </c>
      <c r="Y43" s="189">
        <f t="shared" si="35"/>
        <v>0.15</v>
      </c>
      <c r="Z43" s="189">
        <f t="shared" si="35"/>
        <v>0</v>
      </c>
      <c r="AA43" s="189">
        <f t="shared" si="35"/>
        <v>0</v>
      </c>
      <c r="AB43" s="189">
        <f t="shared" si="35"/>
        <v>0</v>
      </c>
      <c r="AC43" s="189">
        <f t="shared" si="35"/>
        <v>0</v>
      </c>
      <c r="AD43" s="189">
        <f t="shared" si="35"/>
        <v>0</v>
      </c>
      <c r="AE43" s="189">
        <f t="shared" si="35"/>
        <v>0</v>
      </c>
      <c r="AF43" s="189">
        <f t="shared" si="35"/>
        <v>6.4800000000000013</v>
      </c>
      <c r="AG43" s="189">
        <f t="shared" si="35"/>
        <v>25.869999999999997</v>
      </c>
      <c r="AH43" s="189">
        <f t="shared" si="35"/>
        <v>0.13999999999999999</v>
      </c>
      <c r="AI43" s="189">
        <f t="shared" si="35"/>
        <v>58.96</v>
      </c>
      <c r="AS43" s="252" t="s">
        <v>376</v>
      </c>
      <c r="BD43" t="s">
        <v>405</v>
      </c>
      <c r="BF43">
        <v>2130</v>
      </c>
      <c r="BG43">
        <v>279</v>
      </c>
      <c r="BH43">
        <v>3110</v>
      </c>
      <c r="BI43">
        <v>9484</v>
      </c>
      <c r="BJ43">
        <v>4857</v>
      </c>
      <c r="BK43">
        <v>4900</v>
      </c>
      <c r="BL43">
        <v>2271</v>
      </c>
      <c r="BM43">
        <v>3467</v>
      </c>
      <c r="BN43">
        <v>5737</v>
      </c>
      <c r="BO43">
        <v>3168</v>
      </c>
      <c r="BP43">
        <f>AVERAGE(BF43:BO43)</f>
        <v>3940.3</v>
      </c>
      <c r="DB43" t="s">
        <v>419</v>
      </c>
      <c r="DC43" t="s">
        <v>420</v>
      </c>
      <c r="DF43" s="255">
        <f>AVERAGE(DF28:DF42)</f>
        <v>6.6848578358253682E-2</v>
      </c>
      <c r="DG43" s="255">
        <f>AVERAGE(DG28:DG42)</f>
        <v>3.0169161629713701E-2</v>
      </c>
      <c r="EB43" s="231">
        <v>2010</v>
      </c>
      <c r="EC43">
        <v>1.8</v>
      </c>
      <c r="EF43" s="261">
        <f t="shared" si="34"/>
        <v>1.8</v>
      </c>
      <c r="EZ43">
        <v>2007</v>
      </c>
      <c r="FA43">
        <v>875</v>
      </c>
      <c r="FB43">
        <v>317</v>
      </c>
      <c r="FC43">
        <v>1554</v>
      </c>
      <c r="FD43">
        <v>5382</v>
      </c>
      <c r="FE43">
        <v>201</v>
      </c>
      <c r="FF43">
        <f t="shared" si="29"/>
        <v>1192</v>
      </c>
      <c r="FG43">
        <f t="shared" si="30"/>
        <v>5583</v>
      </c>
      <c r="FH43">
        <f t="shared" si="31"/>
        <v>8128</v>
      </c>
    </row>
    <row r="44" spans="3:166" ht="15.6" x14ac:dyDescent="0.3">
      <c r="AS44" s="241" t="s">
        <v>377</v>
      </c>
      <c r="BD44" t="s">
        <v>406</v>
      </c>
      <c r="BF44">
        <f t="shared" ref="BF44:BO44" si="36">BF43-BF41</f>
        <v>47</v>
      </c>
      <c r="BG44">
        <f t="shared" si="36"/>
        <v>148</v>
      </c>
      <c r="BH44">
        <f t="shared" si="36"/>
        <v>161</v>
      </c>
      <c r="BI44">
        <f t="shared" si="36"/>
        <v>478</v>
      </c>
      <c r="BJ44">
        <f t="shared" si="36"/>
        <v>511</v>
      </c>
      <c r="BK44">
        <f t="shared" si="36"/>
        <v>360</v>
      </c>
      <c r="BL44">
        <f t="shared" si="36"/>
        <v>78</v>
      </c>
      <c r="BM44">
        <f t="shared" si="36"/>
        <v>276</v>
      </c>
      <c r="BN44">
        <f t="shared" si="36"/>
        <v>-160</v>
      </c>
      <c r="BO44">
        <f t="shared" si="36"/>
        <v>-783</v>
      </c>
      <c r="DB44" t="s">
        <v>346</v>
      </c>
      <c r="DC44" t="s">
        <v>420</v>
      </c>
      <c r="DF44" s="255">
        <f>AVERAGE(DF33:DF42)</f>
        <v>6.5819158465562855E-2</v>
      </c>
      <c r="DG44" s="255">
        <f>AVERAGE(DG33:DG42)</f>
        <v>2.9158393037793707E-2</v>
      </c>
      <c r="EB44" s="231">
        <v>2011</v>
      </c>
      <c r="EC44">
        <v>0.6</v>
      </c>
      <c r="EF44" s="261">
        <f t="shared" si="34"/>
        <v>0.6</v>
      </c>
    </row>
    <row r="45" spans="3:166" ht="15.6" x14ac:dyDescent="0.3">
      <c r="F45" s="116" t="s">
        <v>170</v>
      </c>
      <c r="AS45" s="252" t="s">
        <v>378</v>
      </c>
      <c r="BD45" t="s">
        <v>487</v>
      </c>
      <c r="BF45" s="256">
        <f t="shared" ref="BF45:BO45" si="37">47/BF43</f>
        <v>2.2065727699530517E-2</v>
      </c>
      <c r="BG45" s="256">
        <f t="shared" si="37"/>
        <v>0.16845878136200718</v>
      </c>
      <c r="BH45" s="256">
        <f t="shared" si="37"/>
        <v>1.5112540192926046E-2</v>
      </c>
      <c r="BI45" s="256">
        <f t="shared" si="37"/>
        <v>4.9557148882328128E-3</v>
      </c>
      <c r="BJ45" s="256">
        <f t="shared" si="37"/>
        <v>9.6767551986823141E-3</v>
      </c>
      <c r="BK45" s="256">
        <f t="shared" si="37"/>
        <v>9.5918367346938781E-3</v>
      </c>
      <c r="BL45" s="256">
        <f t="shared" si="37"/>
        <v>2.0695728753852928E-2</v>
      </c>
      <c r="BM45" s="256">
        <f t="shared" si="37"/>
        <v>1.3556388808768388E-2</v>
      </c>
      <c r="BN45" s="256">
        <f t="shared" si="37"/>
        <v>8.1924350705943876E-3</v>
      </c>
      <c r="BO45" s="256">
        <f t="shared" si="37"/>
        <v>1.4835858585858586E-2</v>
      </c>
      <c r="DB45" t="s">
        <v>422</v>
      </c>
      <c r="DC45" t="s">
        <v>420</v>
      </c>
      <c r="DF45" s="255">
        <f>AVERAGE(DF35:DF42)</f>
        <v>5.1216849316521477E-2</v>
      </c>
      <c r="DG45" s="255">
        <f>AVERAGE(DG35:DG42)</f>
        <v>3.2852575477018829E-2</v>
      </c>
      <c r="EB45" s="231">
        <v>2012</v>
      </c>
      <c r="EC45">
        <v>1</v>
      </c>
      <c r="EF45" s="261">
        <f t="shared" si="34"/>
        <v>1</v>
      </c>
      <c r="EZ45" t="s">
        <v>454</v>
      </c>
      <c r="FA45" s="65"/>
      <c r="FB45" s="65"/>
      <c r="FC45" s="65">
        <f>AVERAGE(FC34:FC44)</f>
        <v>2195.9</v>
      </c>
      <c r="FD45" s="65">
        <f>AVERAGE(FD34:FD43)</f>
        <v>10467</v>
      </c>
      <c r="FE45" s="65"/>
      <c r="FF45" s="65">
        <f>AVERAGE(FF34:FF44)</f>
        <v>1553.2</v>
      </c>
      <c r="FG45" s="65">
        <f>AVERAGE(FG34:FG44)</f>
        <v>10811.4</v>
      </c>
      <c r="FH45" s="65">
        <f>AVERAGE(FH34:FH43)</f>
        <v>14216.1</v>
      </c>
      <c r="FI45" s="65"/>
      <c r="FJ45" s="65"/>
    </row>
    <row r="46" spans="3:166" ht="15.75" customHeight="1" x14ac:dyDescent="0.3">
      <c r="C46" s="190" t="s">
        <v>23</v>
      </c>
      <c r="F46" s="319">
        <f>F43+G43</f>
        <v>3.7199999999999993</v>
      </c>
      <c r="AS46" s="241" t="s">
        <v>402</v>
      </c>
      <c r="DD46" s="476" t="s">
        <v>424</v>
      </c>
      <c r="DE46" s="476" t="s">
        <v>423</v>
      </c>
      <c r="EB46" s="231">
        <v>2013</v>
      </c>
      <c r="EC46">
        <v>0.5</v>
      </c>
      <c r="EF46" s="261">
        <f t="shared" si="34"/>
        <v>0.5</v>
      </c>
      <c r="FH46" s="198"/>
      <c r="FI46" s="198"/>
      <c r="FJ46" s="198"/>
    </row>
    <row r="47" spans="3:166" ht="15.6" x14ac:dyDescent="0.3">
      <c r="C47" s="190" t="s">
        <v>24</v>
      </c>
      <c r="F47" s="319">
        <f>I43+J43+K43+L43+M43+N43+O43+P43+Q43+R43</f>
        <v>3.17</v>
      </c>
      <c r="AS47" s="252" t="s">
        <v>378</v>
      </c>
      <c r="DD47" s="476"/>
      <c r="DE47" s="476"/>
      <c r="EB47" s="231">
        <v>2014</v>
      </c>
      <c r="EC47">
        <v>0.9</v>
      </c>
      <c r="EF47" s="261">
        <f t="shared" si="34"/>
        <v>0.9</v>
      </c>
    </row>
    <row r="48" spans="3:166" ht="15.6" x14ac:dyDescent="0.3">
      <c r="C48" s="190" t="s">
        <v>25</v>
      </c>
      <c r="F48" s="319">
        <f>SUM(S43:Y43)</f>
        <v>1.5199999999999998</v>
      </c>
      <c r="AS48" s="241" t="s">
        <v>379</v>
      </c>
      <c r="DD48" s="476"/>
      <c r="DE48" s="476"/>
      <c r="EB48" s="231">
        <v>2015</v>
      </c>
      <c r="EC48">
        <v>0.7</v>
      </c>
      <c r="EF48" s="261">
        <f t="shared" si="34"/>
        <v>0.7</v>
      </c>
      <c r="EX48" t="s">
        <v>491</v>
      </c>
    </row>
    <row r="49" spans="3:163" ht="15.6" x14ac:dyDescent="0.3">
      <c r="C49" t="s">
        <v>200</v>
      </c>
      <c r="F49" s="319">
        <f>AG43</f>
        <v>25.869999999999997</v>
      </c>
      <c r="AS49" s="252" t="s">
        <v>380</v>
      </c>
      <c r="EB49" s="231">
        <v>2016</v>
      </c>
      <c r="EC49">
        <v>0.3</v>
      </c>
      <c r="EF49" s="261">
        <f t="shared" si="34"/>
        <v>0.3</v>
      </c>
      <c r="EX49" t="s">
        <v>488</v>
      </c>
    </row>
    <row r="50" spans="3:163" ht="15.6" x14ac:dyDescent="0.3">
      <c r="C50" t="s">
        <v>27</v>
      </c>
      <c r="F50" s="319">
        <f>AF43</f>
        <v>6.4800000000000013</v>
      </c>
      <c r="AS50" s="241"/>
      <c r="DB50" t="s">
        <v>59</v>
      </c>
      <c r="EB50" s="253" t="s">
        <v>429</v>
      </c>
      <c r="EC50" s="253"/>
      <c r="ED50" s="253"/>
      <c r="EE50" s="253"/>
      <c r="EF50" s="262">
        <f>AVERAGE(EF40:EF49)</f>
        <v>0.76</v>
      </c>
      <c r="EX50" t="s">
        <v>489</v>
      </c>
    </row>
    <row r="51" spans="3:163" x14ac:dyDescent="0.3">
      <c r="C51" s="190" t="s">
        <v>28</v>
      </c>
      <c r="F51" s="320"/>
      <c r="DC51" s="198" t="s">
        <v>413</v>
      </c>
      <c r="DD51" s="198" t="s">
        <v>415</v>
      </c>
      <c r="DE51" s="198" t="s">
        <v>418</v>
      </c>
      <c r="DF51" s="198" t="s">
        <v>416</v>
      </c>
      <c r="DG51" s="198" t="s">
        <v>416</v>
      </c>
      <c r="EX51" t="s">
        <v>490</v>
      </c>
    </row>
    <row r="52" spans="3:163" x14ac:dyDescent="0.3">
      <c r="C52" s="190" t="s">
        <v>29</v>
      </c>
      <c r="F52" s="320"/>
      <c r="DB52" s="198" t="s">
        <v>3</v>
      </c>
      <c r="DC52" s="198" t="s">
        <v>414</v>
      </c>
      <c r="DD52" s="198" t="s">
        <v>141</v>
      </c>
      <c r="DE52" s="198" t="s">
        <v>10</v>
      </c>
      <c r="DF52" s="198" t="s">
        <v>417</v>
      </c>
      <c r="DG52" s="198" t="s">
        <v>421</v>
      </c>
      <c r="EB52" s="505" t="s">
        <v>436</v>
      </c>
      <c r="EC52" s="505"/>
      <c r="ED52" s="505"/>
      <c r="EE52" s="505"/>
      <c r="EF52" s="505"/>
      <c r="EX52" t="s">
        <v>497</v>
      </c>
    </row>
    <row r="53" spans="3:163" ht="15.6" x14ac:dyDescent="0.3">
      <c r="F53" s="319">
        <f>SUM(F46:F52)</f>
        <v>40.76</v>
      </c>
      <c r="DB53">
        <v>2002</v>
      </c>
      <c r="DC53">
        <v>21</v>
      </c>
      <c r="DD53">
        <v>2714</v>
      </c>
      <c r="DE53">
        <f>Spawners!CZ33</f>
        <v>106</v>
      </c>
      <c r="DF53" s="255">
        <f>DC53/DD53</f>
        <v>7.7376565954310984E-3</v>
      </c>
      <c r="DG53" s="257">
        <f>DC53/DE53</f>
        <v>0.19811320754716982</v>
      </c>
      <c r="EB53" s="258" t="s">
        <v>3</v>
      </c>
      <c r="EC53" s="198" t="s">
        <v>435</v>
      </c>
      <c r="ED53" s="198"/>
      <c r="EE53" s="198"/>
      <c r="EF53" s="258" t="s">
        <v>5</v>
      </c>
    </row>
    <row r="54" spans="3:163" ht="15.6" x14ac:dyDescent="0.3">
      <c r="DB54">
        <v>2003</v>
      </c>
      <c r="DC54">
        <v>103</v>
      </c>
      <c r="DD54">
        <v>4903</v>
      </c>
      <c r="DE54">
        <f>Spawners!CZ32</f>
        <v>68</v>
      </c>
      <c r="DF54" s="255">
        <f t="shared" ref="DF54:DF67" si="38">DC54/DD54</f>
        <v>2.1007546400163165E-2</v>
      </c>
      <c r="DG54" s="257">
        <f t="shared" ref="DG54:DG67" si="39">DC54/DE54</f>
        <v>1.5147058823529411</v>
      </c>
      <c r="EB54" s="231">
        <v>2007</v>
      </c>
      <c r="EC54">
        <v>2.7</v>
      </c>
      <c r="EF54" s="261">
        <f>SUM(EC54:EE54)</f>
        <v>2.7</v>
      </c>
      <c r="EY54" s="486" t="s">
        <v>498</v>
      </c>
      <c r="EZ54" s="486"/>
      <c r="FA54" s="486"/>
      <c r="FB54" s="486"/>
      <c r="FC54" s="198" t="s">
        <v>569</v>
      </c>
      <c r="FD54" s="486" t="s">
        <v>499</v>
      </c>
      <c r="FE54" s="486"/>
      <c r="FF54" s="486"/>
      <c r="FG54" s="486"/>
    </row>
    <row r="55" spans="3:163" ht="15.6" x14ac:dyDescent="0.3">
      <c r="DB55">
        <v>2004</v>
      </c>
      <c r="DC55">
        <v>48</v>
      </c>
      <c r="DD55">
        <v>2973</v>
      </c>
      <c r="DE55">
        <f>Spawners!CZ31</f>
        <v>127</v>
      </c>
      <c r="DF55" s="255">
        <f t="shared" si="38"/>
        <v>1.6145307769929364E-2</v>
      </c>
      <c r="DG55" s="257">
        <f t="shared" si="39"/>
        <v>0.37795275590551181</v>
      </c>
      <c r="EB55" s="231">
        <v>2008</v>
      </c>
      <c r="EC55">
        <v>0.5</v>
      </c>
      <c r="EF55" s="261">
        <f t="shared" ref="EF55:EF63" si="40">SUM(EC55:EE55)</f>
        <v>0.5</v>
      </c>
      <c r="EX55" s="198" t="s">
        <v>3</v>
      </c>
      <c r="EY55" s="198" t="s">
        <v>492</v>
      </c>
      <c r="EZ55" s="198" t="s">
        <v>493</v>
      </c>
      <c r="FA55" s="198" t="s">
        <v>494</v>
      </c>
      <c r="FB55" s="198" t="s">
        <v>495</v>
      </c>
      <c r="FC55" s="198" t="s">
        <v>496</v>
      </c>
      <c r="FD55" s="198" t="s">
        <v>492</v>
      </c>
      <c r="FE55" s="198" t="s">
        <v>493</v>
      </c>
      <c r="FF55" s="198" t="s">
        <v>494</v>
      </c>
      <c r="FG55" s="198" t="s">
        <v>495</v>
      </c>
    </row>
    <row r="56" spans="3:163" ht="15.6" x14ac:dyDescent="0.3">
      <c r="DB56">
        <v>2005</v>
      </c>
      <c r="DC56">
        <v>8</v>
      </c>
      <c r="DD56">
        <v>441</v>
      </c>
      <c r="DE56">
        <f>Spawners!CZ30</f>
        <v>247</v>
      </c>
      <c r="DF56" s="255">
        <f t="shared" si="38"/>
        <v>1.8140589569160998E-2</v>
      </c>
      <c r="DG56" s="257">
        <f t="shared" si="39"/>
        <v>3.2388663967611336E-2</v>
      </c>
      <c r="EB56" s="231">
        <v>2009</v>
      </c>
      <c r="EC56">
        <v>1.5</v>
      </c>
      <c r="EF56" s="261">
        <f t="shared" si="40"/>
        <v>1.5</v>
      </c>
      <c r="EX56">
        <v>2016</v>
      </c>
      <c r="EY56">
        <f>FC34</f>
        <v>1385</v>
      </c>
      <c r="EZ56">
        <f>FF34</f>
        <v>922</v>
      </c>
      <c r="FA56">
        <f>FD34</f>
        <v>5747</v>
      </c>
      <c r="FB56">
        <f>BO41</f>
        <v>3951</v>
      </c>
      <c r="FC56" s="65">
        <f>Run!FV60</f>
        <v>33815</v>
      </c>
      <c r="FD56" s="264">
        <f>EY56/FC56</f>
        <v>4.0958154665089459E-2</v>
      </c>
      <c r="FE56" s="264">
        <f>EZ56/FC56</f>
        <v>2.7266006210261717E-2</v>
      </c>
      <c r="FF56" s="264">
        <f>FA56/FC56</f>
        <v>0.16995416235398492</v>
      </c>
      <c r="FG56" s="264">
        <f>FB56/FC56</f>
        <v>0.1168416383261866</v>
      </c>
    </row>
    <row r="57" spans="3:163" ht="15.6" x14ac:dyDescent="0.3">
      <c r="DB57">
        <v>2006</v>
      </c>
      <c r="DC57">
        <v>5</v>
      </c>
      <c r="DD57">
        <v>673</v>
      </c>
      <c r="DE57">
        <f>Spawners!CZ29</f>
        <v>201</v>
      </c>
      <c r="DF57" s="255">
        <f t="shared" si="38"/>
        <v>7.429420505200594E-3</v>
      </c>
      <c r="DG57" s="257">
        <f t="shared" si="39"/>
        <v>2.4875621890547265E-2</v>
      </c>
      <c r="EB57" s="231">
        <v>2010</v>
      </c>
      <c r="EC57">
        <v>6</v>
      </c>
      <c r="EF57" s="261">
        <f t="shared" si="40"/>
        <v>6</v>
      </c>
      <c r="EX57">
        <v>2015</v>
      </c>
      <c r="EY57">
        <f t="shared" ref="EY57:EY65" si="41">FC35</f>
        <v>3403</v>
      </c>
      <c r="EZ57">
        <f t="shared" ref="EZ57" si="42">FF35</f>
        <v>2494</v>
      </c>
      <c r="FA57">
        <f t="shared" ref="FA57:FA65" si="43">FD35</f>
        <v>13235</v>
      </c>
      <c r="FB57">
        <f>BN41</f>
        <v>5897</v>
      </c>
      <c r="FC57" s="65">
        <f>Run!FV59</f>
        <v>67038</v>
      </c>
      <c r="FD57" s="264">
        <f t="shared" ref="FD57:FD65" si="44">EY57/FC57</f>
        <v>5.0762254243861687E-2</v>
      </c>
      <c r="FE57" s="264">
        <f t="shared" ref="FE57:FE65" si="45">EZ57/FC57</f>
        <v>3.7202780512545122E-2</v>
      </c>
      <c r="FF57" s="264">
        <f t="shared" ref="FF57:FF65" si="46">FA57/FC57</f>
        <v>0.19742534085145738</v>
      </c>
      <c r="FG57" s="264">
        <f t="shared" ref="FG57:FG65" si="47">FB57/FC57</f>
        <v>8.796503475640681E-2</v>
      </c>
    </row>
    <row r="58" spans="3:163" ht="15.6" x14ac:dyDescent="0.3">
      <c r="DB58">
        <v>2007</v>
      </c>
      <c r="DC58">
        <v>3</v>
      </c>
      <c r="DD58">
        <v>256</v>
      </c>
      <c r="DE58">
        <f>Spawners!CZ28</f>
        <v>309</v>
      </c>
      <c r="DF58" s="255">
        <f t="shared" si="38"/>
        <v>1.171875E-2</v>
      </c>
      <c r="DG58" s="257">
        <f t="shared" si="39"/>
        <v>9.7087378640776691E-3</v>
      </c>
      <c r="EB58" s="231">
        <v>2011</v>
      </c>
      <c r="EC58">
        <v>4.7</v>
      </c>
      <c r="EF58" s="261">
        <f t="shared" si="40"/>
        <v>4.7</v>
      </c>
      <c r="EX58">
        <v>2014</v>
      </c>
      <c r="EY58">
        <f t="shared" si="41"/>
        <v>2230</v>
      </c>
      <c r="EZ58">
        <f t="shared" ref="EZ58" si="48">FF36</f>
        <v>1228</v>
      </c>
      <c r="FA58">
        <f t="shared" si="43"/>
        <v>7803</v>
      </c>
      <c r="FB58">
        <f>BM41</f>
        <v>3191</v>
      </c>
      <c r="FC58" s="65">
        <f>Run!FV58</f>
        <v>39393</v>
      </c>
      <c r="FD58" s="264">
        <f t="shared" si="44"/>
        <v>5.6609042215622067E-2</v>
      </c>
      <c r="FE58" s="264">
        <f t="shared" si="45"/>
        <v>3.1173051049678876E-2</v>
      </c>
      <c r="FF58" s="264">
        <f t="shared" si="46"/>
        <v>0.19808087731322824</v>
      </c>
      <c r="FG58" s="264">
        <f t="shared" si="47"/>
        <v>8.1004239331860989E-2</v>
      </c>
    </row>
    <row r="59" spans="3:163" ht="15.6" x14ac:dyDescent="0.3">
      <c r="DB59">
        <v>2008</v>
      </c>
      <c r="DC59">
        <v>0</v>
      </c>
      <c r="DD59">
        <v>12</v>
      </c>
      <c r="DE59">
        <f>Spawners!CZ27</f>
        <v>412</v>
      </c>
      <c r="DF59" s="255">
        <f t="shared" si="38"/>
        <v>0</v>
      </c>
      <c r="DG59" s="257">
        <f t="shared" si="39"/>
        <v>0</v>
      </c>
      <c r="EB59" s="231">
        <v>2012</v>
      </c>
      <c r="EC59">
        <v>2.5</v>
      </c>
      <c r="EF59" s="261">
        <f t="shared" si="40"/>
        <v>2.5</v>
      </c>
      <c r="EX59">
        <v>2013</v>
      </c>
      <c r="EY59">
        <f t="shared" si="41"/>
        <v>1652</v>
      </c>
      <c r="EZ59">
        <f t="shared" ref="EZ59" si="49">FF37</f>
        <v>1727</v>
      </c>
      <c r="FA59">
        <f t="shared" si="43"/>
        <v>6925</v>
      </c>
      <c r="FB59">
        <f>BL41</f>
        <v>2193</v>
      </c>
      <c r="FC59" s="65">
        <f>Run!FV57</f>
        <v>34795</v>
      </c>
      <c r="FD59" s="264">
        <f t="shared" si="44"/>
        <v>4.7478085931886765E-2</v>
      </c>
      <c r="FE59" s="264">
        <f t="shared" si="45"/>
        <v>4.9633568041385259E-2</v>
      </c>
      <c r="FF59" s="264">
        <f t="shared" si="46"/>
        <v>0.1990228481103607</v>
      </c>
      <c r="FG59" s="264">
        <f t="shared" si="47"/>
        <v>6.3026296881735888E-2</v>
      </c>
    </row>
    <row r="60" spans="3:163" ht="15.6" x14ac:dyDescent="0.3">
      <c r="DB60">
        <v>2009</v>
      </c>
      <c r="DC60">
        <v>4</v>
      </c>
      <c r="DD60">
        <v>497</v>
      </c>
      <c r="DE60">
        <f>Spawners!CZ26</f>
        <v>358</v>
      </c>
      <c r="DF60" s="255">
        <f t="shared" si="38"/>
        <v>8.0482897384305842E-3</v>
      </c>
      <c r="DG60" s="257">
        <f t="shared" si="39"/>
        <v>1.11731843575419E-2</v>
      </c>
      <c r="EB60" s="231">
        <v>2013</v>
      </c>
      <c r="EC60">
        <v>4.5999999999999996</v>
      </c>
      <c r="EF60" s="261">
        <f t="shared" si="40"/>
        <v>4.5999999999999996</v>
      </c>
      <c r="EX60">
        <v>2012</v>
      </c>
      <c r="EY60">
        <f t="shared" si="41"/>
        <v>3008</v>
      </c>
      <c r="EZ60">
        <f t="shared" ref="EZ60" si="50">FF38</f>
        <v>2242</v>
      </c>
      <c r="FA60">
        <f t="shared" si="43"/>
        <v>15096</v>
      </c>
      <c r="FB60">
        <f>BK41</f>
        <v>4540</v>
      </c>
      <c r="FC60" s="65">
        <f>Run!FV56</f>
        <v>51777</v>
      </c>
      <c r="FD60" s="264">
        <f t="shared" si="44"/>
        <v>5.8095293276937639E-2</v>
      </c>
      <c r="FE60" s="264">
        <f t="shared" si="45"/>
        <v>4.3301079629951521E-2</v>
      </c>
      <c r="FF60" s="264">
        <f t="shared" si="46"/>
        <v>0.291558027695695</v>
      </c>
      <c r="FG60" s="264">
        <f t="shared" si="47"/>
        <v>8.7683720570909868E-2</v>
      </c>
    </row>
    <row r="61" spans="3:163" ht="15.6" x14ac:dyDescent="0.3">
      <c r="DB61">
        <v>2010</v>
      </c>
      <c r="DC61">
        <v>13</v>
      </c>
      <c r="DD61">
        <v>800</v>
      </c>
      <c r="DE61">
        <f>Spawners!CZ25</f>
        <v>292</v>
      </c>
      <c r="DF61" s="255">
        <f t="shared" si="38"/>
        <v>1.6250000000000001E-2</v>
      </c>
      <c r="DG61" s="257">
        <f t="shared" si="39"/>
        <v>4.4520547945205477E-2</v>
      </c>
      <c r="EB61" s="231">
        <v>2014</v>
      </c>
      <c r="EC61">
        <v>3</v>
      </c>
      <c r="EF61" s="261">
        <f t="shared" si="40"/>
        <v>3</v>
      </c>
      <c r="EX61">
        <v>2011</v>
      </c>
      <c r="EY61">
        <f t="shared" si="41"/>
        <v>1975</v>
      </c>
      <c r="EZ61">
        <f t="shared" ref="EZ61" si="51">FF39</f>
        <v>2118</v>
      </c>
      <c r="FA61">
        <f t="shared" si="43"/>
        <v>20582</v>
      </c>
      <c r="FB61">
        <f>BJ41</f>
        <v>4346</v>
      </c>
      <c r="FC61" s="65">
        <f>Run!FV55</f>
        <v>64074.73182040028</v>
      </c>
      <c r="FD61" s="264">
        <f t="shared" si="44"/>
        <v>3.0823383007452469E-2</v>
      </c>
      <c r="FE61" s="264">
        <f t="shared" si="45"/>
        <v>3.305515200495409E-2</v>
      </c>
      <c r="FF61" s="264">
        <f t="shared" si="46"/>
        <v>0.32121866787817049</v>
      </c>
      <c r="FG61" s="264">
        <f t="shared" si="47"/>
        <v>6.7827049392601743E-2</v>
      </c>
    </row>
    <row r="62" spans="3:163" ht="15.6" x14ac:dyDescent="0.3">
      <c r="DB62">
        <v>2011</v>
      </c>
      <c r="DC62">
        <v>6</v>
      </c>
      <c r="DD62">
        <v>644</v>
      </c>
      <c r="DE62">
        <f>Spawners!CZ24</f>
        <v>553</v>
      </c>
      <c r="DF62" s="255">
        <f t="shared" si="38"/>
        <v>9.316770186335404E-3</v>
      </c>
      <c r="DG62" s="257">
        <f t="shared" si="39"/>
        <v>1.0849909584086799E-2</v>
      </c>
      <c r="EB62" s="231">
        <v>2015</v>
      </c>
      <c r="EC62">
        <v>3.4</v>
      </c>
      <c r="EF62" s="261">
        <f t="shared" si="40"/>
        <v>3.4</v>
      </c>
      <c r="EX62">
        <v>2010</v>
      </c>
      <c r="EY62">
        <f t="shared" si="41"/>
        <v>5255</v>
      </c>
      <c r="EZ62">
        <f t="shared" ref="EZ62" si="52">FF40</f>
        <v>3192</v>
      </c>
      <c r="FA62">
        <f t="shared" si="43"/>
        <v>21611</v>
      </c>
      <c r="FB62">
        <f>BI41</f>
        <v>9006</v>
      </c>
      <c r="FC62" s="65">
        <f>Run!FV54</f>
        <v>91013.219227150854</v>
      </c>
      <c r="FD62" s="264">
        <f t="shared" si="44"/>
        <v>5.773886523983475E-2</v>
      </c>
      <c r="FE62" s="264">
        <f t="shared" si="45"/>
        <v>3.5071828324558046E-2</v>
      </c>
      <c r="FF62" s="264">
        <f t="shared" si="46"/>
        <v>0.23744902315852878</v>
      </c>
      <c r="FG62" s="264">
        <f t="shared" si="47"/>
        <v>9.8952658487145906E-2</v>
      </c>
    </row>
    <row r="63" spans="3:163" ht="15.6" x14ac:dyDescent="0.3">
      <c r="DB63">
        <v>2012</v>
      </c>
      <c r="DC63">
        <v>22</v>
      </c>
      <c r="DD63">
        <v>596</v>
      </c>
      <c r="DE63">
        <f>Spawners!CZ23</f>
        <v>348</v>
      </c>
      <c r="DF63" s="255">
        <f t="shared" si="38"/>
        <v>3.6912751677852351E-2</v>
      </c>
      <c r="DG63" s="257">
        <f t="shared" si="39"/>
        <v>6.3218390804597707E-2</v>
      </c>
      <c r="EB63" s="231">
        <v>2016</v>
      </c>
      <c r="EC63">
        <v>1.6</v>
      </c>
      <c r="EF63" s="261">
        <f t="shared" si="40"/>
        <v>1.6</v>
      </c>
      <c r="EX63">
        <v>2009</v>
      </c>
      <c r="EY63">
        <f t="shared" si="41"/>
        <v>1302</v>
      </c>
      <c r="EZ63">
        <f t="shared" ref="EZ63" si="53">FF41</f>
        <v>321</v>
      </c>
      <c r="FA63">
        <f t="shared" si="43"/>
        <v>3988</v>
      </c>
      <c r="FB63">
        <f>BH41</f>
        <v>2949</v>
      </c>
      <c r="FC63" s="65">
        <f>Run!FV53</f>
        <v>28941.580536418242</v>
      </c>
      <c r="FD63" s="264">
        <f t="shared" si="44"/>
        <v>4.4987176783992368E-2</v>
      </c>
      <c r="FE63" s="264">
        <f t="shared" si="45"/>
        <v>1.1091308561952035E-2</v>
      </c>
      <c r="FF63" s="264">
        <f t="shared" si="46"/>
        <v>0.13779482412792746</v>
      </c>
      <c r="FG63" s="264">
        <f t="shared" si="47"/>
        <v>0.10189491884484907</v>
      </c>
    </row>
    <row r="64" spans="3:163" x14ac:dyDescent="0.3">
      <c r="DB64">
        <v>2013</v>
      </c>
      <c r="DC64">
        <v>12</v>
      </c>
      <c r="DD64">
        <v>293</v>
      </c>
      <c r="DE64">
        <f>Spawners!CZ22</f>
        <v>341</v>
      </c>
      <c r="DF64" s="255">
        <f t="shared" si="38"/>
        <v>4.0955631399317405E-2</v>
      </c>
      <c r="DG64" s="257">
        <f t="shared" si="39"/>
        <v>3.519061583577713E-2</v>
      </c>
      <c r="EB64" s="253" t="s">
        <v>429</v>
      </c>
      <c r="EC64" s="253"/>
      <c r="ED64" s="253"/>
      <c r="EE64" s="253"/>
      <c r="EF64" s="262">
        <f>AVERAGE(EF54:EF63)</f>
        <v>3.05</v>
      </c>
      <c r="EX64">
        <v>2008</v>
      </c>
      <c r="EY64">
        <f t="shared" si="41"/>
        <v>195</v>
      </c>
      <c r="EZ64">
        <f t="shared" ref="EZ64" si="54">FF42</f>
        <v>96</v>
      </c>
      <c r="FA64">
        <f t="shared" si="43"/>
        <v>4301</v>
      </c>
      <c r="FB64">
        <f>BG41</f>
        <v>131</v>
      </c>
      <c r="FC64" s="65">
        <f>Run!FV52</f>
        <v>21876.935265394633</v>
      </c>
      <c r="FD64" s="264">
        <f t="shared" si="44"/>
        <v>8.9134971436540672E-3</v>
      </c>
      <c r="FE64" s="264">
        <f t="shared" si="45"/>
        <v>4.3881832091835406E-3</v>
      </c>
      <c r="FF64" s="264">
        <f t="shared" si="46"/>
        <v>0.1965997498197751</v>
      </c>
      <c r="FG64" s="264">
        <f t="shared" si="47"/>
        <v>5.9880416708650401E-3</v>
      </c>
    </row>
    <row r="65" spans="106:163" x14ac:dyDescent="0.3">
      <c r="DB65">
        <v>2014</v>
      </c>
      <c r="DC65">
        <v>42</v>
      </c>
      <c r="DD65">
        <v>1403</v>
      </c>
      <c r="DE65">
        <f>Spawners!CZ21</f>
        <v>366</v>
      </c>
      <c r="DF65" s="255">
        <f t="shared" si="38"/>
        <v>2.993585174625802E-2</v>
      </c>
      <c r="DG65" s="257">
        <f t="shared" si="39"/>
        <v>0.11475409836065574</v>
      </c>
      <c r="EX65">
        <v>2007</v>
      </c>
      <c r="EY65">
        <f t="shared" si="41"/>
        <v>1554</v>
      </c>
      <c r="EZ65">
        <f t="shared" ref="EZ65" si="55">FF43</f>
        <v>1192</v>
      </c>
      <c r="FA65">
        <f t="shared" si="43"/>
        <v>5382</v>
      </c>
      <c r="FB65">
        <f>BF41</f>
        <v>2083</v>
      </c>
      <c r="FC65" s="65">
        <f>Run!FV51</f>
        <v>33791.181403654984</v>
      </c>
      <c r="FD65" s="264">
        <f t="shared" si="44"/>
        <v>4.5988329956167598E-2</v>
      </c>
      <c r="FE65" s="264">
        <f t="shared" si="45"/>
        <v>3.5275475745014016E-2</v>
      </c>
      <c r="FF65" s="264">
        <f t="shared" si="46"/>
        <v>0.15927232421112872</v>
      </c>
      <c r="FG65" s="264">
        <f t="shared" si="47"/>
        <v>6.1643301994013584E-2</v>
      </c>
    </row>
    <row r="66" spans="106:163" x14ac:dyDescent="0.3">
      <c r="DB66">
        <v>2015</v>
      </c>
      <c r="DC66">
        <v>34</v>
      </c>
      <c r="DD66">
        <v>2239</v>
      </c>
      <c r="DE66">
        <f>Spawners!CZ20</f>
        <v>361</v>
      </c>
      <c r="DF66" s="255">
        <f t="shared" si="38"/>
        <v>1.5185350602947744E-2</v>
      </c>
      <c r="DG66" s="257">
        <f t="shared" si="39"/>
        <v>9.4182825484764546E-2</v>
      </c>
      <c r="EB66" s="505" t="s">
        <v>437</v>
      </c>
      <c r="EC66" s="505"/>
      <c r="ED66" s="505"/>
      <c r="EE66" s="505"/>
      <c r="EF66" s="505"/>
    </row>
    <row r="67" spans="106:163" ht="15.6" x14ac:dyDescent="0.3">
      <c r="DB67">
        <v>2016</v>
      </c>
      <c r="DC67">
        <v>27</v>
      </c>
      <c r="DD67">
        <v>1312</v>
      </c>
      <c r="DE67">
        <f>Spawners!CZ19</f>
        <v>327</v>
      </c>
      <c r="DF67" s="255">
        <f t="shared" si="38"/>
        <v>2.0579268292682928E-2</v>
      </c>
      <c r="DG67" s="257">
        <f t="shared" si="39"/>
        <v>8.2568807339449546E-2</v>
      </c>
      <c r="EB67" s="258" t="s">
        <v>3</v>
      </c>
      <c r="EC67" s="198"/>
      <c r="ED67" s="198"/>
      <c r="EE67" s="198"/>
      <c r="EF67" s="258" t="s">
        <v>5</v>
      </c>
      <c r="EX67" t="s">
        <v>500</v>
      </c>
      <c r="FC67" s="65">
        <f>AVERAGE(FC56:FC65)</f>
        <v>46651.564825301895</v>
      </c>
      <c r="FD67" s="264">
        <f>AVERAGE(FD56:FD65)</f>
        <v>4.4235408246449885E-2</v>
      </c>
      <c r="FE67" s="264">
        <f t="shared" ref="FE67:FG67" si="56">AVERAGE(FE56:FE65)</f>
        <v>3.0745843328948429E-2</v>
      </c>
      <c r="FF67" s="264">
        <f t="shared" si="56"/>
        <v>0.2108375845520257</v>
      </c>
      <c r="FG67" s="264">
        <f t="shared" si="56"/>
        <v>7.7282690025657561E-2</v>
      </c>
    </row>
    <row r="68" spans="106:163" ht="15.6" x14ac:dyDescent="0.3">
      <c r="DB68" t="s">
        <v>419</v>
      </c>
      <c r="DC68" t="s">
        <v>420</v>
      </c>
      <c r="DF68" s="255">
        <f>AVERAGE(DF53:DF67)</f>
        <v>1.7290878965580642E-2</v>
      </c>
      <c r="DG68" s="255">
        <f>AVERAGE(DG53:DG67)</f>
        <v>0.17428021661599585</v>
      </c>
      <c r="EB68" s="231">
        <v>2007</v>
      </c>
      <c r="EF68" s="261">
        <f>EF12+EF26+EF40+EF54</f>
        <v>9.3000000000000007</v>
      </c>
    </row>
    <row r="69" spans="106:163" ht="15.6" x14ac:dyDescent="0.3">
      <c r="DB69" t="s">
        <v>346</v>
      </c>
      <c r="DC69" t="s">
        <v>420</v>
      </c>
      <c r="DF69" s="255">
        <f>AVERAGE(DF58:DF67)</f>
        <v>1.889026636438244E-2</v>
      </c>
      <c r="DG69" s="255">
        <f>AVERAGE(DG58:DG67)</f>
        <v>4.6616711757615649E-2</v>
      </c>
      <c r="EB69" s="231">
        <v>2008</v>
      </c>
      <c r="EF69" s="261">
        <f t="shared" ref="EF69:EF77" si="57">EF13+EF27+EF41+EF55</f>
        <v>5.9</v>
      </c>
    </row>
    <row r="70" spans="106:163" ht="15.6" x14ac:dyDescent="0.3">
      <c r="DB70" t="s">
        <v>422</v>
      </c>
      <c r="DC70" t="s">
        <v>420</v>
      </c>
      <c r="DF70" s="255">
        <f>AVERAGE(DF60:DF67)</f>
        <v>2.2147989205478051E-2</v>
      </c>
      <c r="DG70" s="255">
        <f>AVERAGE(DG60:DG67)</f>
        <v>5.7057297464009851E-2</v>
      </c>
      <c r="EB70" s="231">
        <v>2009</v>
      </c>
      <c r="EF70" s="261">
        <f t="shared" si="57"/>
        <v>7.6000000000000005</v>
      </c>
      <c r="EX70" t="s">
        <v>572</v>
      </c>
    </row>
    <row r="71" spans="106:163" ht="15.6" x14ac:dyDescent="0.3">
      <c r="DD71" s="476" t="s">
        <v>424</v>
      </c>
      <c r="DE71" s="476" t="s">
        <v>423</v>
      </c>
      <c r="EB71" s="231">
        <v>2010</v>
      </c>
      <c r="EF71" s="261">
        <f t="shared" si="57"/>
        <v>16.400000000000002</v>
      </c>
      <c r="EX71" t="s">
        <v>488</v>
      </c>
    </row>
    <row r="72" spans="106:163" ht="15.6" x14ac:dyDescent="0.3">
      <c r="DD72" s="476"/>
      <c r="DE72" s="476"/>
      <c r="EB72" s="231">
        <v>2011</v>
      </c>
      <c r="EF72" s="261">
        <f t="shared" si="57"/>
        <v>13</v>
      </c>
      <c r="EX72" t="s">
        <v>489</v>
      </c>
    </row>
    <row r="73" spans="106:163" ht="15.6" x14ac:dyDescent="0.3">
      <c r="DD73" s="476"/>
      <c r="DE73" s="476"/>
      <c r="EB73" s="231">
        <v>2012</v>
      </c>
      <c r="EF73" s="261">
        <f t="shared" si="57"/>
        <v>10.1</v>
      </c>
      <c r="EX73" t="s">
        <v>580</v>
      </c>
    </row>
    <row r="74" spans="106:163" ht="15.6" x14ac:dyDescent="0.3">
      <c r="EB74" s="231">
        <v>2013</v>
      </c>
      <c r="EF74" s="261">
        <f t="shared" si="57"/>
        <v>9.2999999999999989</v>
      </c>
      <c r="EX74" t="s">
        <v>497</v>
      </c>
    </row>
    <row r="75" spans="106:163" ht="15.6" x14ac:dyDescent="0.3">
      <c r="DB75" t="s">
        <v>425</v>
      </c>
      <c r="DE75" s="255">
        <f>(DF44+DF69)/2</f>
        <v>4.2354712414972649E-2</v>
      </c>
      <c r="EB75" s="231">
        <v>2014</v>
      </c>
      <c r="EF75" s="261">
        <f t="shared" si="57"/>
        <v>9.1999999999999993</v>
      </c>
    </row>
    <row r="76" spans="106:163" ht="15.6" x14ac:dyDescent="0.3">
      <c r="EB76" s="231">
        <v>2015</v>
      </c>
      <c r="EF76" s="261">
        <f t="shared" si="57"/>
        <v>8.9</v>
      </c>
      <c r="EY76" s="486" t="s">
        <v>498</v>
      </c>
      <c r="EZ76" s="486"/>
      <c r="FA76" s="486"/>
      <c r="FC76" s="486" t="s">
        <v>499</v>
      </c>
      <c r="FD76" s="486"/>
      <c r="FE76" s="486"/>
      <c r="FF76" s="486" t="s">
        <v>430</v>
      </c>
      <c r="FG76" s="486"/>
    </row>
    <row r="77" spans="106:163" ht="15.6" x14ac:dyDescent="0.3">
      <c r="DB77" s="198"/>
      <c r="DC77" s="198" t="s">
        <v>415</v>
      </c>
      <c r="DD77" s="198" t="s">
        <v>417</v>
      </c>
      <c r="DE77" s="198" t="s">
        <v>413</v>
      </c>
      <c r="EB77" s="231">
        <v>2016</v>
      </c>
      <c r="EF77" s="261">
        <f t="shared" si="57"/>
        <v>5.2</v>
      </c>
      <c r="EX77" s="198" t="s">
        <v>3</v>
      </c>
      <c r="EY77" s="198" t="s">
        <v>492</v>
      </c>
      <c r="EZ77" s="198" t="s">
        <v>493</v>
      </c>
      <c r="FA77" s="198" t="s">
        <v>494</v>
      </c>
      <c r="FB77" s="198" t="s">
        <v>496</v>
      </c>
      <c r="FC77" s="198" t="s">
        <v>492</v>
      </c>
      <c r="FD77" s="198" t="s">
        <v>493</v>
      </c>
      <c r="FE77" s="198" t="s">
        <v>494</v>
      </c>
      <c r="FF77" s="198" t="s">
        <v>141</v>
      </c>
      <c r="FG77" s="198" t="s">
        <v>579</v>
      </c>
    </row>
    <row r="78" spans="106:163" x14ac:dyDescent="0.3">
      <c r="DB78" s="198" t="s">
        <v>3</v>
      </c>
      <c r="DC78" s="198" t="s">
        <v>141</v>
      </c>
      <c r="DD78" s="198" t="s">
        <v>416</v>
      </c>
      <c r="DE78" s="198" t="s">
        <v>426</v>
      </c>
      <c r="EB78" s="253"/>
      <c r="EC78" s="253"/>
      <c r="ED78" s="253"/>
      <c r="EE78" s="253"/>
      <c r="EF78" s="262"/>
      <c r="EX78">
        <v>2016</v>
      </c>
      <c r="EY78">
        <f>FE13</f>
        <v>19</v>
      </c>
      <c r="EZ78">
        <f>FD13</f>
        <v>24</v>
      </c>
      <c r="FA78">
        <f>FC13</f>
        <v>145</v>
      </c>
      <c r="FB78" s="65">
        <f>Run!FW60</f>
        <v>10309</v>
      </c>
      <c r="FC78" s="255">
        <f>EY78/FB78</f>
        <v>1.8430497623435833E-3</v>
      </c>
      <c r="FD78" s="255">
        <f>EZ78/FB78</f>
        <v>2.3280628576971578E-3</v>
      </c>
      <c r="FE78" s="255">
        <f>FA78/FB78</f>
        <v>1.4065379765253662E-2</v>
      </c>
      <c r="FF78">
        <f t="shared" ref="FF78:FF87" si="58">FC97</f>
        <v>76</v>
      </c>
      <c r="FG78" s="255">
        <f>FF78/FB78</f>
        <v>7.372199049374333E-3</v>
      </c>
    </row>
    <row r="79" spans="106:163" x14ac:dyDescent="0.3">
      <c r="DB79">
        <v>2007</v>
      </c>
      <c r="DC79">
        <v>2130</v>
      </c>
      <c r="DD79" s="255">
        <v>4.2000000000000003E-2</v>
      </c>
      <c r="DE79">
        <f t="shared" ref="DE79:DE88" si="59">DC79*DD79</f>
        <v>89.460000000000008</v>
      </c>
      <c r="EX79">
        <v>2015</v>
      </c>
      <c r="EY79">
        <f t="shared" ref="EY79:EY87" si="60">FE14</f>
        <v>39</v>
      </c>
      <c r="EZ79">
        <f t="shared" ref="EZ79:EZ87" si="61">FD14</f>
        <v>48</v>
      </c>
      <c r="FA79">
        <f t="shared" ref="FA79:FA87" si="62">FC14</f>
        <v>232</v>
      </c>
      <c r="FB79" s="65">
        <f>Run!FW59</f>
        <v>11588</v>
      </c>
      <c r="FC79" s="255">
        <f t="shared" ref="FC79:FC87" si="63">EY79/FB79</f>
        <v>3.3655505695547117E-3</v>
      </c>
      <c r="FD79" s="255">
        <f t="shared" ref="FD79:FD87" si="64">EZ79/FB79</f>
        <v>4.1422160856057991E-3</v>
      </c>
      <c r="FE79" s="255">
        <f t="shared" ref="FE79:FE87" si="65">FA79/FB79</f>
        <v>2.0020711080428029E-2</v>
      </c>
      <c r="FF79">
        <f t="shared" si="58"/>
        <v>8</v>
      </c>
      <c r="FG79" s="255">
        <f t="shared" ref="FG79:FG87" si="66">FF79/FB79</f>
        <v>6.9036934760096649E-4</v>
      </c>
    </row>
    <row r="80" spans="106:163" x14ac:dyDescent="0.3">
      <c r="DB80">
        <v>2008</v>
      </c>
      <c r="DC80">
        <v>279</v>
      </c>
      <c r="DD80">
        <v>4.2000000000000003E-2</v>
      </c>
      <c r="DE80">
        <f t="shared" si="59"/>
        <v>11.718</v>
      </c>
      <c r="EX80">
        <v>2014</v>
      </c>
      <c r="EY80">
        <f t="shared" si="60"/>
        <v>38</v>
      </c>
      <c r="EZ80">
        <f t="shared" si="61"/>
        <v>31</v>
      </c>
      <c r="FA80">
        <f t="shared" si="62"/>
        <v>174</v>
      </c>
      <c r="FB80" s="65">
        <f>Run!FW58</f>
        <v>7562</v>
      </c>
      <c r="FC80" s="255">
        <f t="shared" si="63"/>
        <v>5.0251256281407036E-3</v>
      </c>
      <c r="FD80" s="255">
        <f t="shared" si="64"/>
        <v>4.0994445913779421E-3</v>
      </c>
      <c r="FE80" s="255">
        <f t="shared" si="65"/>
        <v>2.3009785770960064E-2</v>
      </c>
      <c r="FF80">
        <f t="shared" si="58"/>
        <v>51</v>
      </c>
      <c r="FG80" s="255">
        <f t="shared" si="66"/>
        <v>6.74424755355726E-3</v>
      </c>
    </row>
    <row r="81" spans="106:163" x14ac:dyDescent="0.3">
      <c r="DB81">
        <v>2009</v>
      </c>
      <c r="DC81">
        <v>3110</v>
      </c>
      <c r="DD81">
        <v>4.2000000000000003E-2</v>
      </c>
      <c r="DE81">
        <f t="shared" si="59"/>
        <v>130.62</v>
      </c>
      <c r="EX81">
        <v>2013</v>
      </c>
      <c r="EY81">
        <f t="shared" si="60"/>
        <v>27</v>
      </c>
      <c r="EZ81">
        <f t="shared" si="61"/>
        <v>40</v>
      </c>
      <c r="FA81">
        <f t="shared" si="62"/>
        <v>173</v>
      </c>
      <c r="FB81" s="65">
        <f>Run!FW57</f>
        <v>9425</v>
      </c>
      <c r="FC81" s="255">
        <f t="shared" si="63"/>
        <v>2.8647214854111407E-3</v>
      </c>
      <c r="FD81" s="255">
        <f t="shared" si="64"/>
        <v>4.2440318302387264E-3</v>
      </c>
      <c r="FE81" s="255">
        <f t="shared" si="65"/>
        <v>1.8355437665782494E-2</v>
      </c>
      <c r="FF81">
        <f t="shared" si="58"/>
        <v>74</v>
      </c>
      <c r="FG81" s="255">
        <f t="shared" si="66"/>
        <v>7.8514588859416451E-3</v>
      </c>
    </row>
    <row r="82" spans="106:163" x14ac:dyDescent="0.3">
      <c r="DB82">
        <v>2010</v>
      </c>
      <c r="DC82">
        <v>9484</v>
      </c>
      <c r="DD82">
        <v>4.2000000000000003E-2</v>
      </c>
      <c r="DE82">
        <f t="shared" si="59"/>
        <v>398.32800000000003</v>
      </c>
      <c r="EX82">
        <v>2012</v>
      </c>
      <c r="EY82">
        <f t="shared" si="60"/>
        <v>67</v>
      </c>
      <c r="EZ82">
        <f t="shared" si="61"/>
        <v>48</v>
      </c>
      <c r="FA82">
        <f t="shared" si="62"/>
        <v>330</v>
      </c>
      <c r="FB82" s="65">
        <f>Run!FW56</f>
        <v>10552</v>
      </c>
      <c r="FC82" s="255">
        <f t="shared" si="63"/>
        <v>6.3495072024260801E-3</v>
      </c>
      <c r="FD82" s="255">
        <f t="shared" si="64"/>
        <v>4.5489006823351023E-3</v>
      </c>
      <c r="FE82" s="255">
        <f t="shared" si="65"/>
        <v>3.1273692191053831E-2</v>
      </c>
      <c r="FF82">
        <f t="shared" si="58"/>
        <v>93</v>
      </c>
      <c r="FG82" s="255">
        <f t="shared" si="66"/>
        <v>8.8134950720242609E-3</v>
      </c>
    </row>
    <row r="83" spans="106:163" x14ac:dyDescent="0.3">
      <c r="DB83">
        <v>2011</v>
      </c>
      <c r="DC83">
        <v>4857</v>
      </c>
      <c r="DD83">
        <v>4.2000000000000003E-2</v>
      </c>
      <c r="DE83">
        <f t="shared" si="59"/>
        <v>203.994</v>
      </c>
      <c r="EX83">
        <v>2011</v>
      </c>
      <c r="EY83">
        <f t="shared" si="60"/>
        <v>44</v>
      </c>
      <c r="EZ83">
        <f t="shared" si="61"/>
        <v>118</v>
      </c>
      <c r="FA83">
        <f t="shared" si="62"/>
        <v>449</v>
      </c>
      <c r="FB83" s="65">
        <f>Run!FW55</f>
        <v>11475.268179599718</v>
      </c>
      <c r="FC83" s="255">
        <f t="shared" si="63"/>
        <v>3.8343330466316661E-3</v>
      </c>
      <c r="FD83" s="255">
        <f t="shared" si="64"/>
        <v>1.0282984079603106E-2</v>
      </c>
      <c r="FE83" s="255">
        <f t="shared" si="65"/>
        <v>3.9127625862218594E-2</v>
      </c>
      <c r="FF83">
        <f t="shared" si="58"/>
        <v>126</v>
      </c>
      <c r="FG83" s="255">
        <f t="shared" si="66"/>
        <v>1.0980135542627044E-2</v>
      </c>
    </row>
    <row r="84" spans="106:163" x14ac:dyDescent="0.3">
      <c r="DB84">
        <v>2012</v>
      </c>
      <c r="DC84">
        <v>4900</v>
      </c>
      <c r="DD84">
        <v>4.2000000000000003E-2</v>
      </c>
      <c r="DE84">
        <f t="shared" si="59"/>
        <v>205.8</v>
      </c>
      <c r="EX84">
        <v>2010</v>
      </c>
      <c r="EY84">
        <f t="shared" si="60"/>
        <v>97</v>
      </c>
      <c r="EZ84">
        <f t="shared" si="61"/>
        <v>55</v>
      </c>
      <c r="FA84">
        <f t="shared" si="62"/>
        <v>382</v>
      </c>
      <c r="FB84" s="65">
        <f>Run!FW54</f>
        <v>15415.780772849144</v>
      </c>
      <c r="FC84" s="255">
        <f t="shared" si="63"/>
        <v>6.2922534660612237E-3</v>
      </c>
      <c r="FD84" s="255">
        <f t="shared" si="64"/>
        <v>3.5677725838491477E-3</v>
      </c>
      <c r="FE84" s="255">
        <f t="shared" si="65"/>
        <v>2.4779802309643169E-2</v>
      </c>
      <c r="FF84">
        <f t="shared" si="58"/>
        <v>59</v>
      </c>
      <c r="FG84" s="255">
        <f t="shared" si="66"/>
        <v>3.8272469535836312E-3</v>
      </c>
    </row>
    <row r="85" spans="106:163" x14ac:dyDescent="0.3">
      <c r="DB85">
        <v>2013</v>
      </c>
      <c r="DC85">
        <v>2271</v>
      </c>
      <c r="DD85">
        <v>4.2000000000000003E-2</v>
      </c>
      <c r="DE85">
        <f t="shared" si="59"/>
        <v>95.382000000000005</v>
      </c>
      <c r="EX85">
        <v>2009</v>
      </c>
      <c r="EY85">
        <f t="shared" si="60"/>
        <v>25</v>
      </c>
      <c r="EZ85">
        <f t="shared" si="61"/>
        <v>2</v>
      </c>
      <c r="FA85">
        <f t="shared" si="62"/>
        <v>129</v>
      </c>
      <c r="FB85" s="65">
        <f>Run!FW53</f>
        <v>6192.4194635817566</v>
      </c>
      <c r="FC85" s="255">
        <f t="shared" si="63"/>
        <v>4.0371942093114848E-3</v>
      </c>
      <c r="FD85" s="255">
        <f t="shared" si="64"/>
        <v>3.2297553674491878E-4</v>
      </c>
      <c r="FE85" s="255">
        <f t="shared" si="65"/>
        <v>2.0831922120047263E-2</v>
      </c>
      <c r="FF85">
        <f t="shared" si="58"/>
        <v>75</v>
      </c>
      <c r="FG85" s="255">
        <f t="shared" si="66"/>
        <v>1.2111582627934455E-2</v>
      </c>
    </row>
    <row r="86" spans="106:163" x14ac:dyDescent="0.3">
      <c r="DB86">
        <v>2014</v>
      </c>
      <c r="DC86">
        <v>3467</v>
      </c>
      <c r="DD86">
        <v>4.2000000000000003E-2</v>
      </c>
      <c r="DE86">
        <f t="shared" si="59"/>
        <v>145.614</v>
      </c>
      <c r="EX86">
        <v>2008</v>
      </c>
      <c r="EY86">
        <f t="shared" si="60"/>
        <v>8</v>
      </c>
      <c r="EZ86">
        <f t="shared" si="61"/>
        <v>0</v>
      </c>
      <c r="FA86">
        <f t="shared" si="62"/>
        <v>241</v>
      </c>
      <c r="FB86" s="65">
        <f>Run!FW52</f>
        <v>4534.0647346053665</v>
      </c>
      <c r="FC86" s="255">
        <f t="shared" si="63"/>
        <v>1.7644212132529907E-3</v>
      </c>
      <c r="FD86" s="255">
        <f t="shared" si="64"/>
        <v>0</v>
      </c>
      <c r="FE86" s="255">
        <f t="shared" si="65"/>
        <v>5.3153189049246347E-2</v>
      </c>
      <c r="FF86">
        <f t="shared" si="58"/>
        <v>62</v>
      </c>
      <c r="FG86" s="255">
        <f t="shared" si="66"/>
        <v>1.3674264402710678E-2</v>
      </c>
    </row>
    <row r="87" spans="106:163" x14ac:dyDescent="0.3">
      <c r="DB87">
        <v>2015</v>
      </c>
      <c r="DC87">
        <v>5737</v>
      </c>
      <c r="DD87">
        <v>4.2000000000000003E-2</v>
      </c>
      <c r="DE87">
        <f t="shared" si="59"/>
        <v>240.95400000000001</v>
      </c>
      <c r="EX87">
        <v>2007</v>
      </c>
      <c r="EY87">
        <f t="shared" si="60"/>
        <v>48</v>
      </c>
      <c r="EZ87">
        <f t="shared" si="61"/>
        <v>77</v>
      </c>
      <c r="FA87">
        <f t="shared" si="62"/>
        <v>248</v>
      </c>
      <c r="FB87" s="65">
        <f>Run!FW51</f>
        <v>6461.8185963450169</v>
      </c>
      <c r="FC87" s="255">
        <f t="shared" si="63"/>
        <v>7.4282493827898741E-3</v>
      </c>
      <c r="FD87" s="255">
        <f t="shared" si="64"/>
        <v>1.1916150051558756E-2</v>
      </c>
      <c r="FE87" s="255">
        <f t="shared" si="65"/>
        <v>3.8379288477747679E-2</v>
      </c>
      <c r="FF87">
        <f t="shared" si="58"/>
        <v>61</v>
      </c>
      <c r="FG87" s="255">
        <f t="shared" si="66"/>
        <v>9.4400669239621312E-3</v>
      </c>
    </row>
    <row r="88" spans="106:163" x14ac:dyDescent="0.3">
      <c r="DB88">
        <v>2016</v>
      </c>
      <c r="DC88">
        <v>3168</v>
      </c>
      <c r="DD88">
        <v>4.2000000000000003E-2</v>
      </c>
      <c r="DE88">
        <f t="shared" si="59"/>
        <v>133.05600000000001</v>
      </c>
    </row>
    <row r="89" spans="106:163" x14ac:dyDescent="0.3">
      <c r="DB89" t="s">
        <v>403</v>
      </c>
      <c r="DE89">
        <f>AVERAGE(DE79:DE88)</f>
        <v>165.49260000000001</v>
      </c>
      <c r="EX89" t="s">
        <v>500</v>
      </c>
      <c r="FC89" s="255">
        <f>AVERAGE(FC78:FC87)</f>
        <v>4.2804405965923466E-3</v>
      </c>
      <c r="FD89" s="255">
        <f t="shared" ref="FD89:FE89" si="67">AVERAGE(FD78:FD87)</f>
        <v>4.5452538299010654E-3</v>
      </c>
      <c r="FE89" s="255">
        <f t="shared" si="67"/>
        <v>2.8299683429238109E-2</v>
      </c>
      <c r="FF89">
        <f>AVERAGE(FF78:FF87)</f>
        <v>68.5</v>
      </c>
      <c r="FG89" s="255">
        <f>AVERAGE(FG78:FG87)</f>
        <v>8.150506635931639E-3</v>
      </c>
    </row>
    <row r="90" spans="106:163" x14ac:dyDescent="0.3">
      <c r="DB90" t="s">
        <v>403</v>
      </c>
      <c r="DC90">
        <f>AVERAGE(DC79:DC88)</f>
        <v>3940.3</v>
      </c>
      <c r="DD90">
        <v>4.2000000000000003E-2</v>
      </c>
      <c r="DE90">
        <f>DC90*DD90</f>
        <v>165.49260000000001</v>
      </c>
    </row>
    <row r="93" spans="106:163" ht="15.6" x14ac:dyDescent="0.3">
      <c r="EX93" s="231" t="s">
        <v>472</v>
      </c>
    </row>
    <row r="95" spans="106:163" x14ac:dyDescent="0.3">
      <c r="EY95" s="486" t="s">
        <v>473</v>
      </c>
      <c r="EZ95" s="486"/>
      <c r="FA95" s="486"/>
      <c r="FB95" s="486"/>
      <c r="FC95" s="486"/>
      <c r="FD95" s="198" t="s">
        <v>5</v>
      </c>
      <c r="FE95" s="198" t="s">
        <v>14</v>
      </c>
    </row>
    <row r="96" spans="106:163" x14ac:dyDescent="0.3">
      <c r="EX96" s="198" t="s">
        <v>3</v>
      </c>
      <c r="EY96" s="198" t="s">
        <v>474</v>
      </c>
      <c r="EZ96" s="198" t="s">
        <v>44</v>
      </c>
      <c r="FA96" s="198" t="s">
        <v>475</v>
      </c>
      <c r="FB96" s="198" t="s">
        <v>476</v>
      </c>
      <c r="FC96" s="198" t="s">
        <v>5</v>
      </c>
      <c r="FD96" s="198" t="s">
        <v>477</v>
      </c>
      <c r="FE96" s="198" t="s">
        <v>478</v>
      </c>
    </row>
    <row r="97" spans="154:161" x14ac:dyDescent="0.3">
      <c r="EX97">
        <v>2007</v>
      </c>
      <c r="EY97">
        <v>3</v>
      </c>
      <c r="EZ97">
        <v>70</v>
      </c>
      <c r="FA97">
        <v>0</v>
      </c>
      <c r="FB97">
        <v>3</v>
      </c>
      <c r="FC97">
        <f>SUM(EY97:FB97)</f>
        <v>76</v>
      </c>
      <c r="FD97">
        <v>4085</v>
      </c>
      <c r="FE97" s="255">
        <f>FC97/FD97</f>
        <v>1.8604651162790697E-2</v>
      </c>
    </row>
    <row r="98" spans="154:161" x14ac:dyDescent="0.3">
      <c r="EX98">
        <v>2008</v>
      </c>
      <c r="EY98">
        <v>0</v>
      </c>
      <c r="EZ98">
        <v>2</v>
      </c>
      <c r="FA98">
        <v>0</v>
      </c>
      <c r="FB98">
        <v>6</v>
      </c>
      <c r="FC98">
        <f t="shared" ref="FC98:FC106" si="68">SUM(EY98:FB98)</f>
        <v>8</v>
      </c>
      <c r="FD98">
        <v>3257</v>
      </c>
      <c r="FE98" s="255">
        <f t="shared" ref="FE98:FE106" si="69">FC98/FD98</f>
        <v>2.4562480810561868E-3</v>
      </c>
    </row>
    <row r="99" spans="154:161" x14ac:dyDescent="0.3">
      <c r="EX99">
        <v>2009</v>
      </c>
      <c r="EY99">
        <v>4</v>
      </c>
      <c r="EZ99">
        <v>43</v>
      </c>
      <c r="FA99">
        <v>0</v>
      </c>
      <c r="FB99">
        <v>4</v>
      </c>
      <c r="FC99">
        <f t="shared" si="68"/>
        <v>51</v>
      </c>
      <c r="FD99">
        <v>2541</v>
      </c>
      <c r="FE99" s="255">
        <f t="shared" si="69"/>
        <v>2.0070838252656435E-2</v>
      </c>
    </row>
    <row r="100" spans="154:161" x14ac:dyDescent="0.3">
      <c r="EX100">
        <v>2010</v>
      </c>
      <c r="EY100">
        <v>13</v>
      </c>
      <c r="EZ100">
        <v>52</v>
      </c>
      <c r="FA100">
        <v>1</v>
      </c>
      <c r="FB100">
        <v>8</v>
      </c>
      <c r="FC100">
        <f t="shared" si="68"/>
        <v>74</v>
      </c>
      <c r="FD100">
        <v>3444</v>
      </c>
      <c r="FE100" s="255">
        <f t="shared" si="69"/>
        <v>2.148664343786295E-2</v>
      </c>
    </row>
    <row r="101" spans="154:161" x14ac:dyDescent="0.3">
      <c r="EX101">
        <v>2011</v>
      </c>
      <c r="EY101">
        <v>6</v>
      </c>
      <c r="EZ101">
        <v>77</v>
      </c>
      <c r="FA101">
        <v>1</v>
      </c>
      <c r="FB101">
        <v>9</v>
      </c>
      <c r="FC101">
        <f t="shared" si="68"/>
        <v>93</v>
      </c>
      <c r="FD101">
        <v>4512</v>
      </c>
      <c r="FE101" s="255">
        <f t="shared" si="69"/>
        <v>2.0611702127659573E-2</v>
      </c>
    </row>
    <row r="102" spans="154:161" x14ac:dyDescent="0.3">
      <c r="EX102">
        <v>2012</v>
      </c>
      <c r="EY102">
        <v>22</v>
      </c>
      <c r="EZ102">
        <v>92</v>
      </c>
      <c r="FA102">
        <v>1</v>
      </c>
      <c r="FB102">
        <v>11</v>
      </c>
      <c r="FC102">
        <f t="shared" si="68"/>
        <v>126</v>
      </c>
      <c r="FD102">
        <v>4681</v>
      </c>
      <c r="FE102" s="255">
        <f t="shared" si="69"/>
        <v>2.6917325357829525E-2</v>
      </c>
    </row>
    <row r="103" spans="154:161" x14ac:dyDescent="0.3">
      <c r="EX103">
        <v>2013</v>
      </c>
      <c r="EY103">
        <v>12</v>
      </c>
      <c r="EZ103">
        <v>42</v>
      </c>
      <c r="FA103">
        <v>2</v>
      </c>
      <c r="FB103">
        <v>3</v>
      </c>
      <c r="FC103">
        <f t="shared" si="68"/>
        <v>59</v>
      </c>
      <c r="FD103">
        <v>2993</v>
      </c>
      <c r="FE103" s="255">
        <f t="shared" si="69"/>
        <v>1.971266288005346E-2</v>
      </c>
    </row>
    <row r="104" spans="154:161" x14ac:dyDescent="0.3">
      <c r="EX104">
        <v>2014</v>
      </c>
      <c r="EY104">
        <v>42</v>
      </c>
      <c r="EZ104">
        <v>28</v>
      </c>
      <c r="FA104">
        <v>1</v>
      </c>
      <c r="FB104">
        <v>4</v>
      </c>
      <c r="FC104">
        <f t="shared" si="68"/>
        <v>75</v>
      </c>
      <c r="FD104">
        <v>3068</v>
      </c>
      <c r="FE104" s="255">
        <f t="shared" si="69"/>
        <v>2.4445893089960886E-2</v>
      </c>
    </row>
    <row r="105" spans="154:161" x14ac:dyDescent="0.3">
      <c r="EX105">
        <v>2015</v>
      </c>
      <c r="EY105">
        <v>34</v>
      </c>
      <c r="EZ105">
        <v>23</v>
      </c>
      <c r="FA105">
        <v>1</v>
      </c>
      <c r="FB105">
        <v>4</v>
      </c>
      <c r="FC105">
        <f t="shared" si="68"/>
        <v>62</v>
      </c>
      <c r="FD105">
        <v>2868</v>
      </c>
      <c r="FE105" s="255">
        <f t="shared" si="69"/>
        <v>2.1617852161785217E-2</v>
      </c>
    </row>
    <row r="106" spans="154:161" x14ac:dyDescent="0.3">
      <c r="EX106">
        <v>2016</v>
      </c>
      <c r="EY106">
        <v>27</v>
      </c>
      <c r="EZ106">
        <v>30</v>
      </c>
      <c r="FA106">
        <v>1</v>
      </c>
      <c r="FB106">
        <v>3</v>
      </c>
      <c r="FC106">
        <f t="shared" si="68"/>
        <v>61</v>
      </c>
      <c r="FD106">
        <v>2696</v>
      </c>
      <c r="FE106" s="255">
        <f t="shared" si="69"/>
        <v>2.2626112759643918E-2</v>
      </c>
    </row>
    <row r="108" spans="154:161" x14ac:dyDescent="0.3">
      <c r="EX108" t="s">
        <v>454</v>
      </c>
      <c r="FC108">
        <f>AVERAGE(FC97:FC106)</f>
        <v>68.5</v>
      </c>
    </row>
    <row r="186" spans="3:35" ht="15.6" x14ac:dyDescent="0.3">
      <c r="D186" s="116" t="s">
        <v>509</v>
      </c>
      <c r="G186" s="116" t="s">
        <v>330</v>
      </c>
      <c r="H186" s="241" t="s">
        <v>508</v>
      </c>
      <c r="O186" s="116" t="s">
        <v>510</v>
      </c>
    </row>
    <row r="188" spans="3:35" x14ac:dyDescent="0.3">
      <c r="F188" s="185" t="s">
        <v>166</v>
      </c>
      <c r="G188" s="185"/>
      <c r="H188" s="185"/>
      <c r="I188" s="185"/>
      <c r="J188" s="185"/>
      <c r="K188" s="185"/>
      <c r="L188" s="185"/>
      <c r="M188" s="186" t="s">
        <v>167</v>
      </c>
      <c r="N188" s="186"/>
      <c r="O188" s="186"/>
      <c r="P188" s="186"/>
      <c r="Q188" s="186"/>
      <c r="R188" s="186"/>
      <c r="S188" s="186"/>
      <c r="T188" s="186"/>
      <c r="U188" s="186"/>
      <c r="V188" s="186"/>
      <c r="W188" s="186"/>
      <c r="X188" s="186"/>
      <c r="Y188" s="186"/>
      <c r="Z188" s="187" t="s">
        <v>168</v>
      </c>
      <c r="AA188" s="187"/>
      <c r="AB188" s="187"/>
      <c r="AC188" s="187"/>
      <c r="AD188" s="187"/>
      <c r="AE188" s="187"/>
      <c r="AF188" s="187"/>
      <c r="AG188" s="187"/>
      <c r="AH188" s="116" t="s">
        <v>169</v>
      </c>
    </row>
    <row r="189" spans="3:35" x14ac:dyDescent="0.3">
      <c r="C189" s="156" t="s">
        <v>141</v>
      </c>
      <c r="D189" s="157" t="s">
        <v>142</v>
      </c>
      <c r="E189" s="503" t="s">
        <v>143</v>
      </c>
      <c r="F189" s="154"/>
      <c r="G189" s="158" t="s">
        <v>144</v>
      </c>
      <c r="H189" s="155"/>
      <c r="I189" s="500" t="s">
        <v>145</v>
      </c>
      <c r="J189" s="501"/>
      <c r="K189" s="500" t="s">
        <v>146</v>
      </c>
      <c r="L189" s="501"/>
      <c r="M189" s="500" t="s">
        <v>147</v>
      </c>
      <c r="N189" s="502"/>
      <c r="O189" s="501"/>
      <c r="P189" s="500" t="s">
        <v>148</v>
      </c>
      <c r="Q189" s="502"/>
      <c r="R189" s="501"/>
      <c r="S189" s="498" t="s">
        <v>149</v>
      </c>
      <c r="T189" s="499"/>
      <c r="U189" s="498" t="s">
        <v>150</v>
      </c>
      <c r="V189" s="499"/>
      <c r="W189" s="159" t="s">
        <v>151</v>
      </c>
      <c r="X189" s="498" t="s">
        <v>152</v>
      </c>
      <c r="Y189" s="499"/>
      <c r="Z189" s="154"/>
      <c r="AA189" s="158" t="s">
        <v>144</v>
      </c>
      <c r="AB189" s="155"/>
      <c r="AC189" s="500" t="s">
        <v>153</v>
      </c>
      <c r="AD189" s="501"/>
      <c r="AE189" s="500" t="s">
        <v>154</v>
      </c>
      <c r="AF189" s="502"/>
      <c r="AG189" s="501"/>
      <c r="AH189" s="496" t="s">
        <v>155</v>
      </c>
      <c r="AI189" s="496" t="s">
        <v>156</v>
      </c>
    </row>
    <row r="190" spans="3:35" x14ac:dyDescent="0.3">
      <c r="C190" s="160" t="s">
        <v>3</v>
      </c>
      <c r="D190" s="161" t="s">
        <v>157</v>
      </c>
      <c r="E190" s="504"/>
      <c r="F190" s="162" t="s">
        <v>158</v>
      </c>
      <c r="G190" s="163" t="s">
        <v>159</v>
      </c>
      <c r="H190" s="164" t="s">
        <v>160</v>
      </c>
      <c r="I190" s="162" t="s">
        <v>158</v>
      </c>
      <c r="J190" s="164" t="s">
        <v>160</v>
      </c>
      <c r="K190" s="165" t="s">
        <v>158</v>
      </c>
      <c r="L190" s="164" t="s">
        <v>160</v>
      </c>
      <c r="M190" s="162" t="s">
        <v>158</v>
      </c>
      <c r="N190" s="163" t="s">
        <v>159</v>
      </c>
      <c r="O190" s="166" t="s">
        <v>160</v>
      </c>
      <c r="P190" s="165" t="s">
        <v>158</v>
      </c>
      <c r="Q190" s="163" t="s">
        <v>159</v>
      </c>
      <c r="R190" s="164" t="s">
        <v>160</v>
      </c>
      <c r="S190" s="165" t="s">
        <v>158</v>
      </c>
      <c r="T190" s="164" t="s">
        <v>160</v>
      </c>
      <c r="U190" s="162" t="s">
        <v>158</v>
      </c>
      <c r="V190" s="166" t="s">
        <v>160</v>
      </c>
      <c r="W190" s="167" t="s">
        <v>159</v>
      </c>
      <c r="X190" s="168" t="s">
        <v>159</v>
      </c>
      <c r="Y190" s="166" t="s">
        <v>160</v>
      </c>
      <c r="Z190" s="162" t="s">
        <v>158</v>
      </c>
      <c r="AA190" s="163" t="s">
        <v>159</v>
      </c>
      <c r="AB190" s="164" t="s">
        <v>160</v>
      </c>
      <c r="AC190" s="165" t="s">
        <v>159</v>
      </c>
      <c r="AD190" s="164" t="s">
        <v>160</v>
      </c>
      <c r="AE190" s="165" t="s">
        <v>158</v>
      </c>
      <c r="AF190" s="169" t="s">
        <v>159</v>
      </c>
      <c r="AG190" s="166" t="s">
        <v>160</v>
      </c>
      <c r="AH190" s="497"/>
      <c r="AI190" s="497"/>
    </row>
    <row r="192" spans="3:35" x14ac:dyDescent="0.3">
      <c r="C192" t="s">
        <v>501</v>
      </c>
      <c r="D192">
        <v>4861</v>
      </c>
      <c r="F192">
        <v>7.2</v>
      </c>
      <c r="G192">
        <v>0.3</v>
      </c>
      <c r="H192">
        <v>0.2</v>
      </c>
      <c r="I192">
        <v>6.1</v>
      </c>
      <c r="J192">
        <v>0</v>
      </c>
      <c r="K192">
        <v>2.2999999999999998</v>
      </c>
      <c r="L192">
        <v>0</v>
      </c>
      <c r="M192">
        <v>0.2</v>
      </c>
      <c r="N192">
        <v>0.2</v>
      </c>
      <c r="O192">
        <v>0</v>
      </c>
      <c r="P192">
        <v>0.1</v>
      </c>
      <c r="Q192">
        <v>0</v>
      </c>
      <c r="R192">
        <v>0.1</v>
      </c>
      <c r="S192">
        <v>0.9</v>
      </c>
      <c r="T192">
        <v>0.5</v>
      </c>
      <c r="U192">
        <v>0.1</v>
      </c>
      <c r="V192">
        <v>0</v>
      </c>
      <c r="W192">
        <v>0</v>
      </c>
      <c r="X192">
        <v>0</v>
      </c>
      <c r="Y192">
        <v>0.2</v>
      </c>
      <c r="Z192">
        <v>0</v>
      </c>
      <c r="AA192">
        <v>0</v>
      </c>
      <c r="AB192">
        <v>0</v>
      </c>
      <c r="AC192">
        <v>0</v>
      </c>
      <c r="AD192">
        <v>0</v>
      </c>
      <c r="AE192">
        <v>0</v>
      </c>
      <c r="AF192">
        <v>4.2</v>
      </c>
      <c r="AG192">
        <v>18.3</v>
      </c>
      <c r="AH192">
        <v>0</v>
      </c>
      <c r="AI192">
        <v>59.2</v>
      </c>
    </row>
    <row r="193" spans="3:35" x14ac:dyDescent="0.3">
      <c r="C193">
        <v>1985</v>
      </c>
      <c r="D193">
        <v>2549</v>
      </c>
      <c r="E193" t="s">
        <v>163</v>
      </c>
      <c r="F193">
        <v>7</v>
      </c>
      <c r="G193">
        <v>0.2</v>
      </c>
      <c r="H193">
        <v>0</v>
      </c>
      <c r="I193">
        <v>0.5</v>
      </c>
      <c r="J193">
        <v>0</v>
      </c>
      <c r="K193">
        <v>0.5</v>
      </c>
      <c r="L193">
        <v>0</v>
      </c>
      <c r="M193">
        <v>0.2</v>
      </c>
      <c r="N193">
        <v>0</v>
      </c>
      <c r="O193">
        <v>0</v>
      </c>
      <c r="P193">
        <v>0</v>
      </c>
      <c r="Q193">
        <v>0</v>
      </c>
      <c r="R193">
        <v>0</v>
      </c>
      <c r="S193">
        <v>0.3</v>
      </c>
      <c r="T193">
        <v>0</v>
      </c>
      <c r="U193">
        <v>0</v>
      </c>
      <c r="V193">
        <v>0</v>
      </c>
      <c r="W193">
        <v>0</v>
      </c>
      <c r="X193">
        <v>0.1</v>
      </c>
      <c r="Y193">
        <v>0</v>
      </c>
      <c r="Z193">
        <v>0</v>
      </c>
      <c r="AA193">
        <v>0</v>
      </c>
      <c r="AB193">
        <v>0</v>
      </c>
      <c r="AC193">
        <v>0</v>
      </c>
      <c r="AD193">
        <v>0</v>
      </c>
      <c r="AE193">
        <v>0</v>
      </c>
      <c r="AF193">
        <v>18</v>
      </c>
      <c r="AG193">
        <v>19.8</v>
      </c>
      <c r="AH193">
        <v>0</v>
      </c>
      <c r="AI193">
        <v>53.5</v>
      </c>
    </row>
    <row r="194" spans="3:35" x14ac:dyDescent="0.3">
      <c r="C194">
        <v>1986</v>
      </c>
      <c r="D194">
        <v>629</v>
      </c>
      <c r="E194" t="s">
        <v>163</v>
      </c>
      <c r="F194">
        <v>3.3</v>
      </c>
      <c r="G194">
        <v>0.3</v>
      </c>
      <c r="H194">
        <v>0</v>
      </c>
      <c r="I194">
        <v>6.2</v>
      </c>
      <c r="J194">
        <v>0</v>
      </c>
      <c r="K194">
        <v>4.5</v>
      </c>
      <c r="L194">
        <v>0.5</v>
      </c>
      <c r="M194">
        <v>0.5</v>
      </c>
      <c r="N194">
        <v>1.9</v>
      </c>
      <c r="O194">
        <v>0</v>
      </c>
      <c r="P194">
        <v>0</v>
      </c>
      <c r="Q194">
        <v>0</v>
      </c>
      <c r="R194">
        <v>0</v>
      </c>
      <c r="S194">
        <v>0</v>
      </c>
      <c r="T194">
        <v>0.2</v>
      </c>
      <c r="U194">
        <v>0</v>
      </c>
      <c r="V194">
        <v>0.3</v>
      </c>
      <c r="W194">
        <v>0</v>
      </c>
      <c r="X194">
        <v>0</v>
      </c>
      <c r="Y194">
        <v>0</v>
      </c>
      <c r="Z194">
        <v>0</v>
      </c>
      <c r="AA194">
        <v>0</v>
      </c>
      <c r="AB194">
        <v>0</v>
      </c>
      <c r="AC194">
        <v>0</v>
      </c>
      <c r="AD194">
        <v>0</v>
      </c>
      <c r="AE194">
        <v>0</v>
      </c>
      <c r="AF194">
        <v>9.9</v>
      </c>
      <c r="AG194">
        <v>17.8</v>
      </c>
      <c r="AH194">
        <v>0</v>
      </c>
      <c r="AI194">
        <v>54.7</v>
      </c>
    </row>
    <row r="195" spans="3:35" x14ac:dyDescent="0.3">
      <c r="C195">
        <v>1988</v>
      </c>
      <c r="D195">
        <v>2014</v>
      </c>
      <c r="E195" t="s">
        <v>163</v>
      </c>
      <c r="F195">
        <v>10.7</v>
      </c>
      <c r="G195">
        <v>0.3</v>
      </c>
      <c r="H195">
        <v>0.5</v>
      </c>
      <c r="I195">
        <v>6.7</v>
      </c>
      <c r="J195">
        <v>0</v>
      </c>
      <c r="K195">
        <v>3.5</v>
      </c>
      <c r="L195">
        <v>0</v>
      </c>
      <c r="M195">
        <v>0.7</v>
      </c>
      <c r="N195">
        <v>0</v>
      </c>
      <c r="O195">
        <v>0</v>
      </c>
      <c r="P195">
        <v>0</v>
      </c>
      <c r="Q195">
        <v>0</v>
      </c>
      <c r="R195">
        <v>0</v>
      </c>
      <c r="S195">
        <v>1.7</v>
      </c>
      <c r="T195">
        <v>0</v>
      </c>
      <c r="U195">
        <v>0.3</v>
      </c>
      <c r="V195">
        <v>0.1</v>
      </c>
      <c r="W195">
        <v>0</v>
      </c>
      <c r="X195">
        <v>0</v>
      </c>
      <c r="Y195">
        <v>0</v>
      </c>
      <c r="Z195">
        <v>0</v>
      </c>
      <c r="AA195">
        <v>0</v>
      </c>
      <c r="AB195">
        <v>0</v>
      </c>
      <c r="AC195">
        <v>0</v>
      </c>
      <c r="AD195">
        <v>0</v>
      </c>
      <c r="AE195">
        <v>0</v>
      </c>
      <c r="AF195">
        <v>6.5</v>
      </c>
      <c r="AG195">
        <v>28</v>
      </c>
      <c r="AH195">
        <v>0.1</v>
      </c>
      <c r="AI195">
        <v>40.799999999999997</v>
      </c>
    </row>
    <row r="196" spans="3:35" x14ac:dyDescent="0.3">
      <c r="C196">
        <v>1989</v>
      </c>
      <c r="D196">
        <v>2681</v>
      </c>
      <c r="E196" t="s">
        <v>163</v>
      </c>
      <c r="F196">
        <v>5.2</v>
      </c>
      <c r="G196">
        <v>0</v>
      </c>
      <c r="H196">
        <v>0.2</v>
      </c>
      <c r="I196">
        <v>1.8</v>
      </c>
      <c r="J196">
        <v>0</v>
      </c>
      <c r="K196">
        <v>1.5</v>
      </c>
      <c r="L196">
        <v>0.3</v>
      </c>
      <c r="M196">
        <v>0</v>
      </c>
      <c r="N196">
        <v>0.1</v>
      </c>
      <c r="O196">
        <v>0</v>
      </c>
      <c r="P196">
        <v>0</v>
      </c>
      <c r="Q196">
        <v>0.1</v>
      </c>
      <c r="R196">
        <v>0.4</v>
      </c>
      <c r="S196">
        <v>1.6</v>
      </c>
      <c r="T196">
        <v>0.1</v>
      </c>
      <c r="U196">
        <v>0</v>
      </c>
      <c r="V196">
        <v>0</v>
      </c>
      <c r="W196">
        <v>0</v>
      </c>
      <c r="X196">
        <v>0</v>
      </c>
      <c r="Y196">
        <v>0.1</v>
      </c>
      <c r="Z196">
        <v>0</v>
      </c>
      <c r="AA196">
        <v>0</v>
      </c>
      <c r="AB196">
        <v>0</v>
      </c>
      <c r="AC196">
        <v>0</v>
      </c>
      <c r="AD196">
        <v>0</v>
      </c>
      <c r="AE196">
        <v>0</v>
      </c>
      <c r="AF196">
        <v>12.3</v>
      </c>
      <c r="AG196">
        <v>20.399999999999999</v>
      </c>
      <c r="AH196">
        <v>0</v>
      </c>
      <c r="AI196">
        <v>55.7</v>
      </c>
    </row>
    <row r="197" spans="3:35" x14ac:dyDescent="0.3">
      <c r="C197">
        <v>1990</v>
      </c>
      <c r="D197">
        <v>2668</v>
      </c>
      <c r="E197" t="s">
        <v>163</v>
      </c>
      <c r="F197">
        <v>8.5</v>
      </c>
      <c r="G197">
        <v>0.6</v>
      </c>
      <c r="H197">
        <v>0.2</v>
      </c>
      <c r="I197">
        <v>1.6</v>
      </c>
      <c r="J197">
        <v>0</v>
      </c>
      <c r="K197">
        <v>2.2999999999999998</v>
      </c>
      <c r="L197">
        <v>0.6</v>
      </c>
      <c r="M197">
        <v>0.2</v>
      </c>
      <c r="N197">
        <v>0.3</v>
      </c>
      <c r="O197">
        <v>0.3</v>
      </c>
      <c r="P197">
        <v>0</v>
      </c>
      <c r="Q197">
        <v>0.1</v>
      </c>
      <c r="R197">
        <v>0</v>
      </c>
      <c r="S197">
        <v>1.3</v>
      </c>
      <c r="T197">
        <v>0.1</v>
      </c>
      <c r="U197">
        <v>0</v>
      </c>
      <c r="V197">
        <v>0</v>
      </c>
      <c r="W197">
        <v>0</v>
      </c>
      <c r="X197">
        <v>0</v>
      </c>
      <c r="Y197">
        <v>0</v>
      </c>
      <c r="Z197">
        <v>0</v>
      </c>
      <c r="AA197">
        <v>0</v>
      </c>
      <c r="AB197">
        <v>0</v>
      </c>
      <c r="AC197">
        <v>0</v>
      </c>
      <c r="AD197">
        <v>0</v>
      </c>
      <c r="AE197">
        <v>0</v>
      </c>
      <c r="AF197">
        <v>16.3</v>
      </c>
      <c r="AG197">
        <v>27.5</v>
      </c>
      <c r="AH197">
        <v>0</v>
      </c>
      <c r="AI197">
        <v>40.200000000000003</v>
      </c>
    </row>
    <row r="198" spans="3:35" x14ac:dyDescent="0.3">
      <c r="C198">
        <v>1991</v>
      </c>
      <c r="D198">
        <v>2895</v>
      </c>
      <c r="E198" t="s">
        <v>163</v>
      </c>
      <c r="F198">
        <v>3.7</v>
      </c>
      <c r="G198">
        <v>1.5</v>
      </c>
      <c r="H198">
        <v>0.6</v>
      </c>
      <c r="I198">
        <v>1.7</v>
      </c>
      <c r="J198">
        <v>0</v>
      </c>
      <c r="K198">
        <v>0.3</v>
      </c>
      <c r="L198">
        <v>0.1</v>
      </c>
      <c r="M198">
        <v>0</v>
      </c>
      <c r="N198">
        <v>0.1</v>
      </c>
      <c r="O198">
        <v>0</v>
      </c>
      <c r="P198">
        <v>0</v>
      </c>
      <c r="Q198">
        <v>0</v>
      </c>
      <c r="R198">
        <v>0.2</v>
      </c>
      <c r="S198">
        <v>0.5</v>
      </c>
      <c r="T198">
        <v>0.1</v>
      </c>
      <c r="U198">
        <v>0</v>
      </c>
      <c r="V198">
        <v>0</v>
      </c>
      <c r="W198">
        <v>0</v>
      </c>
      <c r="X198">
        <v>0</v>
      </c>
      <c r="Y198">
        <v>0</v>
      </c>
      <c r="Z198">
        <v>0</v>
      </c>
      <c r="AA198">
        <v>0</v>
      </c>
      <c r="AB198">
        <v>0</v>
      </c>
      <c r="AC198">
        <v>0</v>
      </c>
      <c r="AD198">
        <v>0</v>
      </c>
      <c r="AE198">
        <v>0</v>
      </c>
      <c r="AF198">
        <v>5.8</v>
      </c>
      <c r="AG198">
        <v>43</v>
      </c>
      <c r="AH198">
        <v>0</v>
      </c>
      <c r="AI198">
        <v>42.1</v>
      </c>
    </row>
    <row r="199" spans="3:35" x14ac:dyDescent="0.3">
      <c r="C199">
        <v>1992</v>
      </c>
      <c r="D199">
        <v>2722</v>
      </c>
      <c r="E199" t="s">
        <v>163</v>
      </c>
      <c r="F199">
        <v>6</v>
      </c>
      <c r="G199">
        <v>4.5999999999999996</v>
      </c>
      <c r="H199">
        <v>0.2</v>
      </c>
      <c r="I199">
        <v>1.4</v>
      </c>
      <c r="J199">
        <v>0</v>
      </c>
      <c r="K199">
        <v>2.2999999999999998</v>
      </c>
      <c r="L199">
        <v>0.1</v>
      </c>
      <c r="M199">
        <v>0</v>
      </c>
      <c r="N199">
        <v>0.1</v>
      </c>
      <c r="O199">
        <v>0.1</v>
      </c>
      <c r="P199">
        <v>0</v>
      </c>
      <c r="Q199">
        <v>0</v>
      </c>
      <c r="R199">
        <v>0</v>
      </c>
      <c r="S199">
        <v>2.2000000000000002</v>
      </c>
      <c r="T199">
        <v>0.2</v>
      </c>
      <c r="U199">
        <v>0</v>
      </c>
      <c r="V199">
        <v>0.1</v>
      </c>
      <c r="W199">
        <v>0</v>
      </c>
      <c r="X199">
        <v>0</v>
      </c>
      <c r="Y199">
        <v>0.5</v>
      </c>
      <c r="Z199">
        <v>0</v>
      </c>
      <c r="AA199">
        <v>0</v>
      </c>
      <c r="AB199">
        <v>0</v>
      </c>
      <c r="AC199">
        <v>0</v>
      </c>
      <c r="AD199">
        <v>0</v>
      </c>
      <c r="AE199">
        <v>0</v>
      </c>
      <c r="AF199">
        <v>5.3</v>
      </c>
      <c r="AG199">
        <v>28.8</v>
      </c>
      <c r="AH199">
        <v>0</v>
      </c>
      <c r="AI199">
        <v>48.1</v>
      </c>
    </row>
    <row r="200" spans="3:35" x14ac:dyDescent="0.3">
      <c r="C200">
        <v>1993</v>
      </c>
      <c r="D200">
        <v>5080</v>
      </c>
      <c r="E200" t="s">
        <v>163</v>
      </c>
      <c r="F200">
        <v>11.2</v>
      </c>
      <c r="G200">
        <v>0</v>
      </c>
      <c r="H200">
        <v>0</v>
      </c>
      <c r="I200">
        <v>1.3</v>
      </c>
      <c r="J200">
        <v>0.1</v>
      </c>
      <c r="K200">
        <v>1.4</v>
      </c>
      <c r="L200">
        <v>0.2</v>
      </c>
      <c r="M200">
        <v>0</v>
      </c>
      <c r="N200">
        <v>0</v>
      </c>
      <c r="O200">
        <v>0</v>
      </c>
      <c r="P200">
        <v>0</v>
      </c>
      <c r="Q200">
        <v>0</v>
      </c>
      <c r="R200">
        <v>0</v>
      </c>
      <c r="S200">
        <v>1.6</v>
      </c>
      <c r="T200">
        <v>0.1</v>
      </c>
      <c r="U200">
        <v>0</v>
      </c>
      <c r="V200">
        <v>0</v>
      </c>
      <c r="W200">
        <v>0</v>
      </c>
      <c r="X200">
        <v>0</v>
      </c>
      <c r="Y200">
        <v>0</v>
      </c>
      <c r="Z200">
        <v>0</v>
      </c>
      <c r="AA200">
        <v>0</v>
      </c>
      <c r="AB200">
        <v>0</v>
      </c>
      <c r="AC200">
        <v>0</v>
      </c>
      <c r="AD200">
        <v>0</v>
      </c>
      <c r="AE200">
        <v>0</v>
      </c>
      <c r="AF200">
        <v>0.8</v>
      </c>
      <c r="AG200">
        <v>42</v>
      </c>
      <c r="AH200">
        <v>0</v>
      </c>
      <c r="AI200">
        <v>41.3</v>
      </c>
    </row>
    <row r="201" spans="3:35" x14ac:dyDescent="0.3">
      <c r="C201">
        <v>1994</v>
      </c>
      <c r="D201">
        <v>4910</v>
      </c>
      <c r="E201" t="s">
        <v>163</v>
      </c>
      <c r="F201">
        <v>5.4</v>
      </c>
      <c r="G201">
        <v>0.7</v>
      </c>
      <c r="H201">
        <v>0.7</v>
      </c>
      <c r="I201">
        <v>0.8</v>
      </c>
      <c r="J201">
        <v>0.1</v>
      </c>
      <c r="K201">
        <v>0.8</v>
      </c>
      <c r="L201">
        <v>0</v>
      </c>
      <c r="M201">
        <v>0.2</v>
      </c>
      <c r="N201">
        <v>0.1</v>
      </c>
      <c r="O201">
        <v>0</v>
      </c>
      <c r="P201">
        <v>0</v>
      </c>
      <c r="Q201">
        <v>0</v>
      </c>
      <c r="R201">
        <v>0</v>
      </c>
      <c r="S201">
        <v>0.1</v>
      </c>
      <c r="T201">
        <v>0</v>
      </c>
      <c r="U201">
        <v>0.1</v>
      </c>
      <c r="V201">
        <v>0.1</v>
      </c>
      <c r="W201">
        <v>0</v>
      </c>
      <c r="X201">
        <v>0</v>
      </c>
      <c r="Y201">
        <v>0.1</v>
      </c>
      <c r="Z201">
        <v>0</v>
      </c>
      <c r="AA201">
        <v>0</v>
      </c>
      <c r="AB201">
        <v>0</v>
      </c>
      <c r="AC201">
        <v>0</v>
      </c>
      <c r="AD201">
        <v>0</v>
      </c>
      <c r="AE201">
        <v>0</v>
      </c>
      <c r="AF201">
        <v>4.9000000000000004</v>
      </c>
      <c r="AG201">
        <v>38.4</v>
      </c>
      <c r="AH201">
        <v>0.5</v>
      </c>
      <c r="AI201">
        <v>47.1</v>
      </c>
    </row>
    <row r="202" spans="3:35" x14ac:dyDescent="0.3">
      <c r="C202">
        <v>1995</v>
      </c>
      <c r="D202">
        <v>4367</v>
      </c>
      <c r="E202" t="s">
        <v>163</v>
      </c>
      <c r="F202">
        <v>4.5</v>
      </c>
      <c r="G202">
        <v>0.1</v>
      </c>
      <c r="H202">
        <v>0.3</v>
      </c>
      <c r="I202">
        <v>1.2</v>
      </c>
      <c r="J202">
        <v>0</v>
      </c>
      <c r="K202">
        <v>0.5</v>
      </c>
      <c r="L202">
        <v>0.1</v>
      </c>
      <c r="M202">
        <v>0</v>
      </c>
      <c r="N202">
        <v>0.3</v>
      </c>
      <c r="O202">
        <v>0</v>
      </c>
      <c r="P202">
        <v>0</v>
      </c>
      <c r="Q202">
        <v>0</v>
      </c>
      <c r="R202">
        <v>0</v>
      </c>
      <c r="S202">
        <v>0</v>
      </c>
      <c r="T202">
        <v>0</v>
      </c>
      <c r="U202">
        <v>0</v>
      </c>
      <c r="V202">
        <v>0</v>
      </c>
      <c r="W202">
        <v>0</v>
      </c>
      <c r="X202">
        <v>0</v>
      </c>
      <c r="Y202">
        <v>0.3</v>
      </c>
      <c r="Z202">
        <v>0</v>
      </c>
      <c r="AA202">
        <v>0</v>
      </c>
      <c r="AB202">
        <v>0</v>
      </c>
      <c r="AC202">
        <v>0</v>
      </c>
      <c r="AD202">
        <v>0</v>
      </c>
      <c r="AE202">
        <v>0</v>
      </c>
      <c r="AF202">
        <v>0.3</v>
      </c>
      <c r="AG202">
        <v>42.6</v>
      </c>
      <c r="AH202">
        <v>0.1</v>
      </c>
      <c r="AI202">
        <v>49.8</v>
      </c>
    </row>
    <row r="203" spans="3:35" x14ac:dyDescent="0.3">
      <c r="C203">
        <v>1996</v>
      </c>
      <c r="D203">
        <v>3645</v>
      </c>
      <c r="E203" t="s">
        <v>163</v>
      </c>
      <c r="F203">
        <v>2.2000000000000002</v>
      </c>
      <c r="G203">
        <v>0</v>
      </c>
      <c r="H203">
        <v>0</v>
      </c>
      <c r="I203">
        <v>0.2</v>
      </c>
      <c r="J203">
        <v>0</v>
      </c>
      <c r="K203">
        <v>0.1</v>
      </c>
      <c r="L203">
        <v>0</v>
      </c>
      <c r="M203">
        <v>0</v>
      </c>
      <c r="N203">
        <v>0.1</v>
      </c>
      <c r="O203">
        <v>0</v>
      </c>
      <c r="P203">
        <v>0</v>
      </c>
      <c r="Q203">
        <v>0</v>
      </c>
      <c r="R203">
        <v>0</v>
      </c>
      <c r="S203">
        <v>0</v>
      </c>
      <c r="T203">
        <v>0</v>
      </c>
      <c r="U203">
        <v>0.1</v>
      </c>
      <c r="V203">
        <v>0</v>
      </c>
      <c r="W203">
        <v>0</v>
      </c>
      <c r="X203">
        <v>0</v>
      </c>
      <c r="Y203">
        <v>0.1</v>
      </c>
      <c r="Z203">
        <v>0</v>
      </c>
      <c r="AA203">
        <v>0</v>
      </c>
      <c r="AB203">
        <v>0</v>
      </c>
      <c r="AC203">
        <v>0</v>
      </c>
      <c r="AD203">
        <v>0</v>
      </c>
      <c r="AE203">
        <v>0</v>
      </c>
      <c r="AF203">
        <v>0.8</v>
      </c>
      <c r="AG203">
        <v>33.9</v>
      </c>
      <c r="AH203">
        <v>0.4</v>
      </c>
      <c r="AI203">
        <v>62.1</v>
      </c>
    </row>
    <row r="204" spans="3:35" x14ac:dyDescent="0.3">
      <c r="C204">
        <v>1997</v>
      </c>
      <c r="D204">
        <v>2218</v>
      </c>
      <c r="E204" t="s">
        <v>163</v>
      </c>
      <c r="F204">
        <v>4.3</v>
      </c>
      <c r="G204">
        <v>0</v>
      </c>
      <c r="H204">
        <v>0</v>
      </c>
      <c r="I204">
        <v>0.3</v>
      </c>
      <c r="J204">
        <v>0</v>
      </c>
      <c r="K204">
        <v>0</v>
      </c>
      <c r="L204">
        <v>0</v>
      </c>
      <c r="M204">
        <v>0</v>
      </c>
      <c r="N204">
        <v>0</v>
      </c>
      <c r="O204">
        <v>0</v>
      </c>
      <c r="P204">
        <v>0</v>
      </c>
      <c r="Q204">
        <v>0</v>
      </c>
      <c r="R204">
        <v>0</v>
      </c>
      <c r="S204">
        <v>0.1</v>
      </c>
      <c r="T204">
        <v>0</v>
      </c>
      <c r="U204">
        <v>0.2</v>
      </c>
      <c r="V204">
        <v>0</v>
      </c>
      <c r="W204">
        <v>0</v>
      </c>
      <c r="X204">
        <v>0</v>
      </c>
      <c r="Y204">
        <v>0</v>
      </c>
      <c r="Z204">
        <v>0</v>
      </c>
      <c r="AA204">
        <v>0</v>
      </c>
      <c r="AB204">
        <v>0</v>
      </c>
      <c r="AC204">
        <v>0</v>
      </c>
      <c r="AD204">
        <v>0</v>
      </c>
      <c r="AE204">
        <v>0</v>
      </c>
      <c r="AF204">
        <v>0.8</v>
      </c>
      <c r="AG204">
        <v>15.7</v>
      </c>
      <c r="AH204">
        <v>0.1</v>
      </c>
      <c r="AI204">
        <v>78.400000000000006</v>
      </c>
    </row>
    <row r="205" spans="3:35" x14ac:dyDescent="0.3">
      <c r="C205">
        <v>1998</v>
      </c>
      <c r="D205">
        <v>1575</v>
      </c>
      <c r="E205" t="s">
        <v>163</v>
      </c>
      <c r="F205">
        <v>5.0999999999999996</v>
      </c>
      <c r="G205">
        <v>0.2</v>
      </c>
      <c r="H205">
        <v>0.3</v>
      </c>
      <c r="I205">
        <v>0</v>
      </c>
      <c r="J205">
        <v>0</v>
      </c>
      <c r="K205">
        <v>0.1</v>
      </c>
      <c r="L205">
        <v>0</v>
      </c>
      <c r="M205">
        <v>0</v>
      </c>
      <c r="N205">
        <v>0</v>
      </c>
      <c r="O205">
        <v>0</v>
      </c>
      <c r="P205">
        <v>0</v>
      </c>
      <c r="Q205">
        <v>0</v>
      </c>
      <c r="R205">
        <v>0</v>
      </c>
      <c r="S205">
        <v>0.1</v>
      </c>
      <c r="T205">
        <v>0</v>
      </c>
      <c r="U205">
        <v>0</v>
      </c>
      <c r="V205">
        <v>0</v>
      </c>
      <c r="W205">
        <v>0</v>
      </c>
      <c r="X205">
        <v>0</v>
      </c>
      <c r="Y205">
        <v>0.4</v>
      </c>
      <c r="Z205">
        <v>0</v>
      </c>
      <c r="AA205">
        <v>0</v>
      </c>
      <c r="AB205">
        <v>0</v>
      </c>
      <c r="AC205">
        <v>0</v>
      </c>
      <c r="AD205">
        <v>0</v>
      </c>
      <c r="AE205">
        <v>0</v>
      </c>
      <c r="AF205">
        <v>0.4</v>
      </c>
      <c r="AG205">
        <v>16.600000000000001</v>
      </c>
      <c r="AH205">
        <v>0</v>
      </c>
      <c r="AI205">
        <v>77</v>
      </c>
    </row>
    <row r="206" spans="3:35" x14ac:dyDescent="0.3">
      <c r="C206">
        <v>1999</v>
      </c>
      <c r="D206">
        <v>1770</v>
      </c>
      <c r="E206" t="s">
        <v>163</v>
      </c>
      <c r="F206">
        <v>7.5</v>
      </c>
      <c r="G206">
        <v>0</v>
      </c>
      <c r="H206">
        <v>0.7</v>
      </c>
      <c r="I206">
        <v>0</v>
      </c>
      <c r="J206">
        <v>0</v>
      </c>
      <c r="K206">
        <v>0</v>
      </c>
      <c r="L206">
        <v>0.7</v>
      </c>
      <c r="M206">
        <v>0</v>
      </c>
      <c r="N206">
        <v>0</v>
      </c>
      <c r="O206">
        <v>0</v>
      </c>
      <c r="P206">
        <v>0</v>
      </c>
      <c r="Q206">
        <v>0</v>
      </c>
      <c r="R206">
        <v>0</v>
      </c>
      <c r="S206">
        <v>0</v>
      </c>
      <c r="T206">
        <v>0</v>
      </c>
      <c r="U206">
        <v>0</v>
      </c>
      <c r="V206">
        <v>0.1</v>
      </c>
      <c r="W206">
        <v>0</v>
      </c>
      <c r="X206">
        <v>0</v>
      </c>
      <c r="Y206">
        <v>0</v>
      </c>
      <c r="Z206">
        <v>0</v>
      </c>
      <c r="AA206">
        <v>0</v>
      </c>
      <c r="AB206">
        <v>0</v>
      </c>
      <c r="AC206">
        <v>0</v>
      </c>
      <c r="AD206">
        <v>0</v>
      </c>
      <c r="AE206">
        <v>0</v>
      </c>
      <c r="AF206">
        <v>0.8</v>
      </c>
      <c r="AG206">
        <v>14.8</v>
      </c>
      <c r="AH206">
        <v>0.2</v>
      </c>
      <c r="AI206">
        <v>75.2</v>
      </c>
    </row>
    <row r="207" spans="3:35" x14ac:dyDescent="0.3">
      <c r="C207">
        <v>2000</v>
      </c>
      <c r="D207">
        <v>6525</v>
      </c>
      <c r="E207" t="s">
        <v>163</v>
      </c>
      <c r="F207">
        <v>11.8</v>
      </c>
      <c r="G207">
        <v>0.1</v>
      </c>
      <c r="H207">
        <v>0.8</v>
      </c>
      <c r="I207">
        <v>0.2</v>
      </c>
      <c r="J207">
        <v>0.4</v>
      </c>
      <c r="K207">
        <v>0.4</v>
      </c>
      <c r="L207">
        <v>0.1</v>
      </c>
      <c r="M207">
        <v>0</v>
      </c>
      <c r="N207">
        <v>0</v>
      </c>
      <c r="O207">
        <v>0</v>
      </c>
      <c r="P207">
        <v>0</v>
      </c>
      <c r="Q207">
        <v>0</v>
      </c>
      <c r="R207">
        <v>0.2</v>
      </c>
      <c r="S207">
        <v>0.1</v>
      </c>
      <c r="T207">
        <v>0.2</v>
      </c>
      <c r="U207">
        <v>0.1</v>
      </c>
      <c r="V207">
        <v>0.1</v>
      </c>
      <c r="W207">
        <v>0</v>
      </c>
      <c r="X207">
        <v>0</v>
      </c>
      <c r="Y207">
        <v>0</v>
      </c>
      <c r="Z207">
        <v>0</v>
      </c>
      <c r="AA207">
        <v>0</v>
      </c>
      <c r="AB207">
        <v>0</v>
      </c>
      <c r="AC207">
        <v>0</v>
      </c>
      <c r="AD207">
        <v>0</v>
      </c>
      <c r="AE207">
        <v>0</v>
      </c>
      <c r="AF207">
        <v>2.2000000000000002</v>
      </c>
      <c r="AG207">
        <v>29.2</v>
      </c>
      <c r="AH207">
        <v>0</v>
      </c>
      <c r="AI207">
        <v>54.2</v>
      </c>
    </row>
    <row r="208" spans="3:35" x14ac:dyDescent="0.3">
      <c r="C208">
        <v>2001</v>
      </c>
      <c r="D208">
        <v>33958</v>
      </c>
      <c r="E208" t="s">
        <v>163</v>
      </c>
      <c r="F208">
        <v>1.6</v>
      </c>
      <c r="G208">
        <v>0</v>
      </c>
      <c r="H208">
        <v>0.1</v>
      </c>
      <c r="I208">
        <v>0.1</v>
      </c>
      <c r="J208">
        <v>0.1</v>
      </c>
      <c r="K208">
        <v>0.5</v>
      </c>
      <c r="L208">
        <v>0.1</v>
      </c>
      <c r="M208">
        <v>0</v>
      </c>
      <c r="N208">
        <v>0</v>
      </c>
      <c r="O208">
        <v>0</v>
      </c>
      <c r="P208">
        <v>0</v>
      </c>
      <c r="Q208">
        <v>0</v>
      </c>
      <c r="R208">
        <v>0</v>
      </c>
      <c r="S208">
        <v>0.2</v>
      </c>
      <c r="T208">
        <v>0</v>
      </c>
      <c r="U208">
        <v>0.2</v>
      </c>
      <c r="V208">
        <v>0</v>
      </c>
      <c r="W208">
        <v>0</v>
      </c>
      <c r="X208">
        <v>0</v>
      </c>
      <c r="Y208">
        <v>0.2</v>
      </c>
      <c r="Z208">
        <v>0</v>
      </c>
      <c r="AA208">
        <v>0</v>
      </c>
      <c r="AB208">
        <v>0</v>
      </c>
      <c r="AC208">
        <v>0</v>
      </c>
      <c r="AD208">
        <v>0</v>
      </c>
      <c r="AE208">
        <v>0</v>
      </c>
      <c r="AF208">
        <v>3.5</v>
      </c>
      <c r="AG208">
        <v>23.9</v>
      </c>
      <c r="AH208">
        <v>0</v>
      </c>
      <c r="AI208">
        <v>69.7</v>
      </c>
    </row>
    <row r="209" spans="3:35" x14ac:dyDescent="0.3">
      <c r="C209">
        <v>2002</v>
      </c>
      <c r="D209">
        <v>19159</v>
      </c>
      <c r="E209" t="s">
        <v>163</v>
      </c>
      <c r="F209">
        <v>2.2000000000000002</v>
      </c>
      <c r="G209">
        <v>0.1</v>
      </c>
      <c r="H209">
        <v>0.1</v>
      </c>
      <c r="I209">
        <v>1.1000000000000001</v>
      </c>
      <c r="J209">
        <v>0.1</v>
      </c>
      <c r="K209">
        <v>0.6</v>
      </c>
      <c r="L209">
        <v>0.1</v>
      </c>
      <c r="M209">
        <v>0</v>
      </c>
      <c r="N209">
        <v>0</v>
      </c>
      <c r="O209">
        <v>0</v>
      </c>
      <c r="P209">
        <v>0</v>
      </c>
      <c r="Q209">
        <v>0</v>
      </c>
      <c r="R209">
        <v>0</v>
      </c>
      <c r="S209">
        <v>0.8</v>
      </c>
      <c r="T209">
        <v>0.3</v>
      </c>
      <c r="U209">
        <v>0.2</v>
      </c>
      <c r="V209">
        <v>0</v>
      </c>
      <c r="W209">
        <v>0</v>
      </c>
      <c r="X209">
        <v>0</v>
      </c>
      <c r="Y209">
        <v>0</v>
      </c>
      <c r="Z209">
        <v>0</v>
      </c>
      <c r="AA209">
        <v>0</v>
      </c>
      <c r="AB209">
        <v>0</v>
      </c>
      <c r="AC209">
        <v>0</v>
      </c>
      <c r="AD209">
        <v>0</v>
      </c>
      <c r="AE209">
        <v>0</v>
      </c>
      <c r="AF209">
        <v>16</v>
      </c>
      <c r="AG209">
        <v>21</v>
      </c>
      <c r="AH209">
        <v>0</v>
      </c>
      <c r="AI209">
        <v>57.6</v>
      </c>
    </row>
    <row r="210" spans="3:35" x14ac:dyDescent="0.3">
      <c r="C210">
        <v>2003</v>
      </c>
      <c r="D210">
        <v>6696</v>
      </c>
      <c r="E210" t="s">
        <v>163</v>
      </c>
      <c r="F210">
        <v>5.6</v>
      </c>
      <c r="G210">
        <v>0</v>
      </c>
      <c r="H210">
        <v>0.1</v>
      </c>
      <c r="I210">
        <v>0.4</v>
      </c>
      <c r="J210">
        <v>0.1</v>
      </c>
      <c r="K210">
        <v>2.4</v>
      </c>
      <c r="L210">
        <v>0.2</v>
      </c>
      <c r="M210">
        <v>0</v>
      </c>
      <c r="N210">
        <v>0</v>
      </c>
      <c r="O210">
        <v>0.1</v>
      </c>
      <c r="P210">
        <v>0</v>
      </c>
      <c r="Q210">
        <v>0</v>
      </c>
      <c r="R210">
        <v>0</v>
      </c>
      <c r="S210">
        <v>0.1</v>
      </c>
      <c r="T210">
        <v>0</v>
      </c>
      <c r="U210">
        <v>0.2</v>
      </c>
      <c r="V210">
        <v>0.1</v>
      </c>
      <c r="W210">
        <v>0</v>
      </c>
      <c r="X210">
        <v>0</v>
      </c>
      <c r="Y210">
        <v>0</v>
      </c>
      <c r="Z210">
        <v>0</v>
      </c>
      <c r="AA210">
        <v>0</v>
      </c>
      <c r="AB210">
        <v>0</v>
      </c>
      <c r="AC210">
        <v>0</v>
      </c>
      <c r="AD210">
        <v>0</v>
      </c>
      <c r="AE210">
        <v>0</v>
      </c>
      <c r="AF210">
        <v>1.5</v>
      </c>
      <c r="AG210">
        <v>16.399999999999999</v>
      </c>
      <c r="AH210">
        <v>0</v>
      </c>
      <c r="AI210">
        <v>72.8</v>
      </c>
    </row>
    <row r="211" spans="3:35" x14ac:dyDescent="0.3">
      <c r="C211">
        <v>2004</v>
      </c>
      <c r="D211">
        <v>6801</v>
      </c>
      <c r="E211" t="s">
        <v>163</v>
      </c>
      <c r="F211">
        <v>3.7</v>
      </c>
      <c r="G211">
        <v>0.4</v>
      </c>
      <c r="H211">
        <v>0.1</v>
      </c>
      <c r="I211">
        <v>0.7</v>
      </c>
      <c r="J211">
        <v>0</v>
      </c>
      <c r="K211">
        <v>5.8</v>
      </c>
      <c r="L211">
        <v>0</v>
      </c>
      <c r="M211">
        <v>0</v>
      </c>
      <c r="N211">
        <v>0</v>
      </c>
      <c r="O211">
        <v>0</v>
      </c>
      <c r="P211">
        <v>0</v>
      </c>
      <c r="Q211">
        <v>0</v>
      </c>
      <c r="R211">
        <v>0</v>
      </c>
      <c r="S211">
        <v>0.8</v>
      </c>
      <c r="T211">
        <v>0</v>
      </c>
      <c r="U211">
        <v>1</v>
      </c>
      <c r="V211">
        <v>0</v>
      </c>
      <c r="W211">
        <v>0</v>
      </c>
      <c r="X211">
        <v>0</v>
      </c>
      <c r="Y211">
        <v>0</v>
      </c>
      <c r="Z211">
        <v>0</v>
      </c>
      <c r="AA211">
        <v>0</v>
      </c>
      <c r="AB211">
        <v>0</v>
      </c>
      <c r="AC211">
        <v>0</v>
      </c>
      <c r="AD211">
        <v>0</v>
      </c>
      <c r="AE211">
        <v>0</v>
      </c>
      <c r="AF211">
        <v>6.2</v>
      </c>
      <c r="AG211">
        <v>20.9</v>
      </c>
      <c r="AH211">
        <v>0</v>
      </c>
      <c r="AI211">
        <v>60.4</v>
      </c>
    </row>
    <row r="212" spans="3:35" x14ac:dyDescent="0.3">
      <c r="C212">
        <v>2005</v>
      </c>
      <c r="D212">
        <v>2910</v>
      </c>
      <c r="E212" t="s">
        <v>163</v>
      </c>
      <c r="F212">
        <v>3.1</v>
      </c>
      <c r="G212">
        <v>0</v>
      </c>
      <c r="H212">
        <v>0.1</v>
      </c>
      <c r="I212">
        <v>0.3</v>
      </c>
      <c r="J212">
        <v>0.3</v>
      </c>
      <c r="K212">
        <v>6.1</v>
      </c>
      <c r="L212">
        <v>0</v>
      </c>
      <c r="M212">
        <v>0</v>
      </c>
      <c r="N212">
        <v>0</v>
      </c>
      <c r="O212">
        <v>0</v>
      </c>
      <c r="P212">
        <v>0</v>
      </c>
      <c r="Q212">
        <v>0</v>
      </c>
      <c r="R212">
        <v>0</v>
      </c>
      <c r="S212">
        <v>0.6</v>
      </c>
      <c r="T212">
        <v>0.1</v>
      </c>
      <c r="U212">
        <v>0.3</v>
      </c>
      <c r="V212">
        <v>0</v>
      </c>
      <c r="W212">
        <v>0</v>
      </c>
      <c r="X212">
        <v>0</v>
      </c>
      <c r="Y212">
        <v>0.1</v>
      </c>
      <c r="Z212">
        <v>0</v>
      </c>
      <c r="AA212">
        <v>0</v>
      </c>
      <c r="AB212">
        <v>0</v>
      </c>
      <c r="AC212">
        <v>0</v>
      </c>
      <c r="AD212">
        <v>0</v>
      </c>
      <c r="AE212">
        <v>0</v>
      </c>
      <c r="AF212">
        <v>5.2</v>
      </c>
      <c r="AG212">
        <v>16.100000000000001</v>
      </c>
      <c r="AH212">
        <v>0</v>
      </c>
      <c r="AI212">
        <v>67.7</v>
      </c>
    </row>
    <row r="213" spans="3:35" x14ac:dyDescent="0.3">
      <c r="C213">
        <v>2006</v>
      </c>
      <c r="D213">
        <v>1884</v>
      </c>
      <c r="E213" t="s">
        <v>163</v>
      </c>
      <c r="F213">
        <v>3.9</v>
      </c>
      <c r="G213">
        <v>0</v>
      </c>
      <c r="H213">
        <v>0</v>
      </c>
      <c r="I213">
        <v>0.4</v>
      </c>
      <c r="J213">
        <v>0.7</v>
      </c>
      <c r="K213">
        <v>4.5</v>
      </c>
      <c r="L213">
        <v>0</v>
      </c>
      <c r="M213">
        <v>0</v>
      </c>
      <c r="N213">
        <v>0</v>
      </c>
      <c r="O213">
        <v>0</v>
      </c>
      <c r="P213">
        <v>0</v>
      </c>
      <c r="Q213">
        <v>0</v>
      </c>
      <c r="R213">
        <v>0</v>
      </c>
      <c r="S213">
        <v>1.4</v>
      </c>
      <c r="T213">
        <v>0</v>
      </c>
      <c r="U213">
        <v>0</v>
      </c>
      <c r="V213">
        <v>0</v>
      </c>
      <c r="W213">
        <v>0</v>
      </c>
      <c r="X213">
        <v>0</v>
      </c>
      <c r="Y213">
        <v>0.4</v>
      </c>
      <c r="Z213">
        <v>0</v>
      </c>
      <c r="AA213">
        <v>0</v>
      </c>
      <c r="AB213">
        <v>0</v>
      </c>
      <c r="AC213">
        <v>0</v>
      </c>
      <c r="AD213">
        <v>0</v>
      </c>
      <c r="AE213">
        <v>0</v>
      </c>
      <c r="AF213">
        <v>8</v>
      </c>
      <c r="AG213">
        <v>25.5</v>
      </c>
      <c r="AH213">
        <v>0</v>
      </c>
      <c r="AI213">
        <v>55.1</v>
      </c>
    </row>
    <row r="214" spans="3:35" x14ac:dyDescent="0.3">
      <c r="C214">
        <v>2007</v>
      </c>
      <c r="D214">
        <v>1514</v>
      </c>
      <c r="E214" t="s">
        <v>163</v>
      </c>
      <c r="F214">
        <v>5</v>
      </c>
      <c r="G214">
        <v>0.2</v>
      </c>
      <c r="H214">
        <v>0</v>
      </c>
      <c r="I214">
        <v>0</v>
      </c>
      <c r="J214">
        <v>0</v>
      </c>
      <c r="K214">
        <v>1.4</v>
      </c>
      <c r="L214">
        <v>0</v>
      </c>
      <c r="M214">
        <v>0</v>
      </c>
      <c r="N214">
        <v>0</v>
      </c>
      <c r="O214">
        <v>0</v>
      </c>
      <c r="P214">
        <v>0</v>
      </c>
      <c r="Q214">
        <v>0</v>
      </c>
      <c r="R214">
        <v>0</v>
      </c>
      <c r="S214">
        <v>0.7</v>
      </c>
      <c r="T214">
        <v>0</v>
      </c>
      <c r="U214">
        <v>0</v>
      </c>
      <c r="V214">
        <v>0</v>
      </c>
      <c r="W214">
        <v>0</v>
      </c>
      <c r="X214">
        <v>0</v>
      </c>
      <c r="Y214">
        <v>0</v>
      </c>
      <c r="Z214">
        <v>0</v>
      </c>
      <c r="AA214">
        <v>0</v>
      </c>
      <c r="AB214">
        <v>0</v>
      </c>
      <c r="AC214">
        <v>0</v>
      </c>
      <c r="AD214">
        <v>0</v>
      </c>
      <c r="AE214">
        <v>0</v>
      </c>
      <c r="AF214">
        <v>4.9000000000000004</v>
      </c>
      <c r="AG214">
        <v>18</v>
      </c>
      <c r="AH214">
        <v>0.1</v>
      </c>
      <c r="AI214">
        <v>69.7</v>
      </c>
    </row>
    <row r="215" spans="3:35" x14ac:dyDescent="0.3">
      <c r="C215">
        <v>2008</v>
      </c>
      <c r="D215">
        <v>2190</v>
      </c>
      <c r="E215" t="s">
        <v>163</v>
      </c>
      <c r="F215">
        <v>1.8</v>
      </c>
      <c r="G215">
        <v>0.1</v>
      </c>
      <c r="H215">
        <v>0.4</v>
      </c>
      <c r="I215">
        <v>0.5</v>
      </c>
      <c r="J215">
        <v>0</v>
      </c>
      <c r="K215">
        <v>0.9</v>
      </c>
      <c r="L215">
        <v>0</v>
      </c>
      <c r="M215">
        <v>0</v>
      </c>
      <c r="N215">
        <v>0</v>
      </c>
      <c r="O215">
        <v>0</v>
      </c>
      <c r="P215">
        <v>0</v>
      </c>
      <c r="Q215">
        <v>0</v>
      </c>
      <c r="R215">
        <v>0.4</v>
      </c>
      <c r="S215">
        <v>0.1</v>
      </c>
      <c r="T215">
        <v>0</v>
      </c>
      <c r="U215">
        <v>0</v>
      </c>
      <c r="V215">
        <v>0</v>
      </c>
      <c r="W215">
        <v>0</v>
      </c>
      <c r="X215">
        <v>0</v>
      </c>
      <c r="Y215">
        <v>0</v>
      </c>
      <c r="Z215">
        <v>0</v>
      </c>
      <c r="AA215">
        <v>0</v>
      </c>
      <c r="AB215">
        <v>0</v>
      </c>
      <c r="AC215">
        <v>0</v>
      </c>
      <c r="AD215">
        <v>0</v>
      </c>
      <c r="AE215">
        <v>0</v>
      </c>
      <c r="AF215">
        <v>19.2</v>
      </c>
      <c r="AG215">
        <v>12.4</v>
      </c>
      <c r="AH215">
        <v>0.4</v>
      </c>
      <c r="AI215">
        <v>63.7</v>
      </c>
    </row>
    <row r="216" spans="3:35" x14ac:dyDescent="0.3">
      <c r="C216">
        <v>2009</v>
      </c>
      <c r="D216">
        <v>4045</v>
      </c>
      <c r="E216" t="s">
        <v>163</v>
      </c>
      <c r="F216">
        <v>3.4</v>
      </c>
      <c r="G216">
        <v>0</v>
      </c>
      <c r="H216">
        <v>0</v>
      </c>
      <c r="I216">
        <v>0.2</v>
      </c>
      <c r="J216">
        <v>0.1</v>
      </c>
      <c r="K216">
        <v>0.7</v>
      </c>
      <c r="L216">
        <v>1.8</v>
      </c>
      <c r="M216">
        <v>0</v>
      </c>
      <c r="N216">
        <v>0</v>
      </c>
      <c r="O216">
        <v>0.1</v>
      </c>
      <c r="P216">
        <v>0</v>
      </c>
      <c r="Q216">
        <v>0</v>
      </c>
      <c r="R216">
        <v>0.8</v>
      </c>
      <c r="S216">
        <v>0.3</v>
      </c>
      <c r="T216">
        <v>0.1</v>
      </c>
      <c r="U216">
        <v>0</v>
      </c>
      <c r="V216">
        <v>0</v>
      </c>
      <c r="W216">
        <v>0</v>
      </c>
      <c r="X216">
        <v>0</v>
      </c>
      <c r="Y216">
        <v>0.3</v>
      </c>
      <c r="Z216">
        <v>0</v>
      </c>
      <c r="AA216">
        <v>0</v>
      </c>
      <c r="AB216">
        <v>0</v>
      </c>
      <c r="AC216">
        <v>0</v>
      </c>
      <c r="AD216">
        <v>0</v>
      </c>
      <c r="AE216">
        <v>0</v>
      </c>
      <c r="AF216">
        <v>7.7</v>
      </c>
      <c r="AG216">
        <v>19.2</v>
      </c>
      <c r="AH216">
        <v>0</v>
      </c>
      <c r="AI216">
        <v>65.099999999999994</v>
      </c>
    </row>
    <row r="217" spans="3:35" x14ac:dyDescent="0.3">
      <c r="C217">
        <v>2010</v>
      </c>
      <c r="D217">
        <v>11342</v>
      </c>
      <c r="E217" t="s">
        <v>163</v>
      </c>
      <c r="F217">
        <v>2.9</v>
      </c>
      <c r="G217">
        <v>0</v>
      </c>
      <c r="H217">
        <v>0.1</v>
      </c>
      <c r="I217">
        <v>0.5</v>
      </c>
      <c r="J217">
        <v>0.2</v>
      </c>
      <c r="K217">
        <v>0.5</v>
      </c>
      <c r="L217">
        <v>0.1</v>
      </c>
      <c r="M217">
        <v>0</v>
      </c>
      <c r="N217">
        <v>0</v>
      </c>
      <c r="O217">
        <v>0.1</v>
      </c>
      <c r="P217">
        <v>0</v>
      </c>
      <c r="Q217">
        <v>0</v>
      </c>
      <c r="R217">
        <v>0</v>
      </c>
      <c r="S217">
        <v>1.9</v>
      </c>
      <c r="T217">
        <v>0.2</v>
      </c>
      <c r="U217">
        <v>0.1</v>
      </c>
      <c r="V217">
        <v>0</v>
      </c>
      <c r="W217">
        <v>0</v>
      </c>
      <c r="X217">
        <v>0</v>
      </c>
      <c r="Y217">
        <v>0.1</v>
      </c>
      <c r="Z217">
        <v>0</v>
      </c>
      <c r="AA217">
        <v>0</v>
      </c>
      <c r="AB217">
        <v>0</v>
      </c>
      <c r="AC217">
        <v>0</v>
      </c>
      <c r="AD217">
        <v>0</v>
      </c>
      <c r="AE217">
        <v>0</v>
      </c>
      <c r="AF217">
        <v>3.8</v>
      </c>
      <c r="AG217">
        <v>32.299999999999997</v>
      </c>
      <c r="AH217">
        <v>0.1</v>
      </c>
      <c r="AI217">
        <v>57.2</v>
      </c>
    </row>
    <row r="218" spans="3:35" x14ac:dyDescent="0.3">
      <c r="C218">
        <v>2011</v>
      </c>
      <c r="D218">
        <v>7736</v>
      </c>
      <c r="E218" t="s">
        <v>163</v>
      </c>
      <c r="F218">
        <v>4.0999999999999996</v>
      </c>
      <c r="G218">
        <v>0</v>
      </c>
      <c r="H218">
        <v>0.2</v>
      </c>
      <c r="I218">
        <v>0.8</v>
      </c>
      <c r="J218">
        <v>0.2</v>
      </c>
      <c r="K218">
        <v>1.1000000000000001</v>
      </c>
      <c r="L218">
        <v>0.1</v>
      </c>
      <c r="M218">
        <v>0</v>
      </c>
      <c r="N218">
        <v>0</v>
      </c>
      <c r="O218">
        <v>0.1</v>
      </c>
      <c r="P218">
        <v>0</v>
      </c>
      <c r="Q218">
        <v>0</v>
      </c>
      <c r="R218">
        <v>0.1</v>
      </c>
      <c r="S218">
        <v>0.9</v>
      </c>
      <c r="T218">
        <v>0.2</v>
      </c>
      <c r="U218">
        <v>0.2</v>
      </c>
      <c r="V218">
        <v>0</v>
      </c>
      <c r="W218">
        <v>0</v>
      </c>
      <c r="X218">
        <v>0</v>
      </c>
      <c r="Y218">
        <v>0.2</v>
      </c>
      <c r="Z218">
        <v>0</v>
      </c>
      <c r="AA218">
        <v>0</v>
      </c>
      <c r="AB218">
        <v>0</v>
      </c>
      <c r="AC218">
        <v>0</v>
      </c>
      <c r="AD218">
        <v>0</v>
      </c>
      <c r="AE218">
        <v>0</v>
      </c>
      <c r="AF218">
        <v>5.0999999999999996</v>
      </c>
      <c r="AG218">
        <v>41.2</v>
      </c>
      <c r="AH218">
        <v>0.3</v>
      </c>
      <c r="AI218">
        <v>45.4</v>
      </c>
    </row>
    <row r="219" spans="3:35" x14ac:dyDescent="0.3">
      <c r="C219">
        <v>2012</v>
      </c>
      <c r="D219">
        <v>5918</v>
      </c>
      <c r="E219" t="s">
        <v>163</v>
      </c>
      <c r="F219">
        <v>6.4</v>
      </c>
      <c r="G219">
        <v>0</v>
      </c>
      <c r="H219">
        <v>0.3</v>
      </c>
      <c r="I219">
        <v>0.3</v>
      </c>
      <c r="J219">
        <v>0.2</v>
      </c>
      <c r="K219">
        <v>3.2</v>
      </c>
      <c r="L219">
        <v>0.1</v>
      </c>
      <c r="M219">
        <v>0</v>
      </c>
      <c r="N219">
        <v>0</v>
      </c>
      <c r="O219">
        <v>0</v>
      </c>
      <c r="P219">
        <v>0</v>
      </c>
      <c r="Q219">
        <v>0</v>
      </c>
      <c r="R219">
        <v>0</v>
      </c>
      <c r="S219">
        <v>1.5</v>
      </c>
      <c r="T219">
        <v>0.8</v>
      </c>
      <c r="U219">
        <v>0.4</v>
      </c>
      <c r="V219">
        <v>0</v>
      </c>
      <c r="W219">
        <v>0</v>
      </c>
      <c r="X219">
        <v>0</v>
      </c>
      <c r="Y219">
        <v>0.4</v>
      </c>
      <c r="Z219">
        <v>0</v>
      </c>
      <c r="AA219">
        <v>0</v>
      </c>
      <c r="AB219">
        <v>0</v>
      </c>
      <c r="AC219">
        <v>0</v>
      </c>
      <c r="AD219">
        <v>0</v>
      </c>
      <c r="AE219">
        <v>0</v>
      </c>
      <c r="AF219">
        <v>4.9000000000000004</v>
      </c>
      <c r="AG219">
        <v>37</v>
      </c>
      <c r="AH219">
        <v>0.8</v>
      </c>
      <c r="AI219">
        <v>43.8</v>
      </c>
    </row>
    <row r="220" spans="3:35" x14ac:dyDescent="0.3">
      <c r="C220">
        <v>2013</v>
      </c>
      <c r="D220">
        <v>6288</v>
      </c>
      <c r="E220" t="s">
        <v>163</v>
      </c>
      <c r="F220">
        <v>2.4</v>
      </c>
      <c r="G220">
        <v>0</v>
      </c>
      <c r="H220">
        <v>0.6</v>
      </c>
      <c r="I220">
        <v>0.4</v>
      </c>
      <c r="J220">
        <v>0.1</v>
      </c>
      <c r="K220">
        <v>0.7</v>
      </c>
      <c r="L220">
        <v>0.3</v>
      </c>
      <c r="M220">
        <v>0</v>
      </c>
      <c r="N220">
        <v>0</v>
      </c>
      <c r="O220">
        <v>0.1</v>
      </c>
      <c r="P220">
        <v>0</v>
      </c>
      <c r="Q220">
        <v>0</v>
      </c>
      <c r="R220">
        <v>0.3</v>
      </c>
      <c r="S220">
        <v>1</v>
      </c>
      <c r="T220">
        <v>0.3</v>
      </c>
      <c r="U220">
        <v>0.3</v>
      </c>
      <c r="V220">
        <v>0.1</v>
      </c>
      <c r="W220">
        <v>0</v>
      </c>
      <c r="X220">
        <v>0</v>
      </c>
      <c r="Y220">
        <v>0</v>
      </c>
      <c r="Z220">
        <v>0</v>
      </c>
      <c r="AA220">
        <v>0</v>
      </c>
      <c r="AB220">
        <v>0</v>
      </c>
      <c r="AC220">
        <v>0</v>
      </c>
      <c r="AD220">
        <v>0</v>
      </c>
      <c r="AE220">
        <v>0</v>
      </c>
      <c r="AF220">
        <v>4.5</v>
      </c>
      <c r="AG220">
        <v>29.9</v>
      </c>
      <c r="AH220">
        <v>0</v>
      </c>
      <c r="AI220">
        <v>58.9</v>
      </c>
    </row>
    <row r="221" spans="3:35" x14ac:dyDescent="0.3">
      <c r="C221">
        <v>2014</v>
      </c>
      <c r="D221">
        <v>14506</v>
      </c>
      <c r="E221" t="s">
        <v>163</v>
      </c>
      <c r="F221">
        <v>4.5999999999999996</v>
      </c>
      <c r="G221">
        <v>0.2</v>
      </c>
      <c r="H221">
        <v>0.2</v>
      </c>
      <c r="I221">
        <v>0.7</v>
      </c>
      <c r="J221">
        <v>0.1</v>
      </c>
      <c r="K221">
        <v>3</v>
      </c>
      <c r="L221">
        <v>0</v>
      </c>
      <c r="M221">
        <v>0</v>
      </c>
      <c r="N221">
        <v>0</v>
      </c>
      <c r="O221">
        <v>0.1</v>
      </c>
      <c r="P221">
        <v>0</v>
      </c>
      <c r="Q221">
        <v>0</v>
      </c>
      <c r="R221">
        <v>0</v>
      </c>
      <c r="S221">
        <v>1.6</v>
      </c>
      <c r="T221">
        <v>0.4</v>
      </c>
      <c r="U221">
        <v>0.4</v>
      </c>
      <c r="V221">
        <v>0</v>
      </c>
      <c r="W221">
        <v>0</v>
      </c>
      <c r="X221">
        <v>0</v>
      </c>
      <c r="Y221">
        <v>0</v>
      </c>
      <c r="Z221">
        <v>0</v>
      </c>
      <c r="AA221">
        <v>0</v>
      </c>
      <c r="AB221">
        <v>0</v>
      </c>
      <c r="AC221">
        <v>0</v>
      </c>
      <c r="AD221">
        <v>0</v>
      </c>
      <c r="AE221">
        <v>0</v>
      </c>
      <c r="AF221">
        <v>3</v>
      </c>
      <c r="AG221">
        <v>21.4</v>
      </c>
      <c r="AH221">
        <v>0</v>
      </c>
      <c r="AI221">
        <v>64.3</v>
      </c>
    </row>
    <row r="222" spans="3:35" x14ac:dyDescent="0.3">
      <c r="C222">
        <v>2015</v>
      </c>
      <c r="D222">
        <v>16842</v>
      </c>
      <c r="E222" t="s">
        <v>163</v>
      </c>
      <c r="F222">
        <v>5.2</v>
      </c>
      <c r="G222">
        <v>0.1</v>
      </c>
      <c r="H222">
        <v>0.1</v>
      </c>
      <c r="I222">
        <v>0.6</v>
      </c>
      <c r="J222">
        <v>0</v>
      </c>
      <c r="K222">
        <v>0.4</v>
      </c>
      <c r="L222">
        <v>0.1</v>
      </c>
      <c r="M222">
        <v>0</v>
      </c>
      <c r="N222">
        <v>0</v>
      </c>
      <c r="O222">
        <v>0</v>
      </c>
      <c r="P222">
        <v>0</v>
      </c>
      <c r="Q222">
        <v>0</v>
      </c>
      <c r="R222">
        <v>0.1</v>
      </c>
      <c r="S222">
        <v>4</v>
      </c>
      <c r="T222">
        <v>0.5</v>
      </c>
      <c r="U222">
        <v>1.3</v>
      </c>
      <c r="V222">
        <v>0</v>
      </c>
      <c r="W222">
        <v>0</v>
      </c>
      <c r="X222">
        <v>0</v>
      </c>
      <c r="Y222">
        <v>0.1</v>
      </c>
      <c r="Z222">
        <v>0</v>
      </c>
      <c r="AA222">
        <v>0</v>
      </c>
      <c r="AB222">
        <v>0</v>
      </c>
      <c r="AC222">
        <v>0</v>
      </c>
      <c r="AD222">
        <v>0</v>
      </c>
      <c r="AE222">
        <v>0</v>
      </c>
      <c r="AF222">
        <v>4.9000000000000004</v>
      </c>
      <c r="AG222">
        <v>24.9</v>
      </c>
      <c r="AH222">
        <v>0.5</v>
      </c>
      <c r="AI222">
        <v>57</v>
      </c>
    </row>
    <row r="223" spans="3:35" x14ac:dyDescent="0.3">
      <c r="C223">
        <v>2016</v>
      </c>
      <c r="D223" t="s">
        <v>164</v>
      </c>
      <c r="E223"/>
      <c r="F223" s="198" t="s">
        <v>165</v>
      </c>
      <c r="G223" s="198" t="s">
        <v>165</v>
      </c>
      <c r="H223" s="198" t="s">
        <v>165</v>
      </c>
      <c r="I223" s="198" t="s">
        <v>165</v>
      </c>
      <c r="J223" s="198" t="s">
        <v>165</v>
      </c>
      <c r="K223" s="198" t="s">
        <v>165</v>
      </c>
      <c r="L223" s="198" t="s">
        <v>165</v>
      </c>
      <c r="M223" s="198" t="s">
        <v>165</v>
      </c>
      <c r="N223" s="198" t="s">
        <v>165</v>
      </c>
      <c r="O223" s="198" t="s">
        <v>165</v>
      </c>
      <c r="P223" s="198" t="s">
        <v>165</v>
      </c>
      <c r="Q223" s="198" t="s">
        <v>165</v>
      </c>
      <c r="R223" s="198" t="s">
        <v>165</v>
      </c>
      <c r="S223" s="198" t="s">
        <v>165</v>
      </c>
      <c r="T223" s="198" t="s">
        <v>165</v>
      </c>
      <c r="U223" s="198" t="s">
        <v>165</v>
      </c>
      <c r="V223" s="198" t="s">
        <v>165</v>
      </c>
      <c r="W223" s="198" t="s">
        <v>165</v>
      </c>
      <c r="X223" s="198" t="s">
        <v>165</v>
      </c>
      <c r="Y223" s="198" t="s">
        <v>165</v>
      </c>
      <c r="Z223" s="198" t="s">
        <v>165</v>
      </c>
      <c r="AA223" s="198" t="s">
        <v>165</v>
      </c>
      <c r="AB223" s="198" t="s">
        <v>165</v>
      </c>
      <c r="AC223" s="198" t="s">
        <v>165</v>
      </c>
      <c r="AD223" s="198" t="s">
        <v>165</v>
      </c>
      <c r="AE223" s="198" t="s">
        <v>165</v>
      </c>
      <c r="AF223" s="198" t="s">
        <v>165</v>
      </c>
      <c r="AG223" s="198" t="s">
        <v>165</v>
      </c>
      <c r="AH223" s="198" t="s">
        <v>165</v>
      </c>
      <c r="AI223" s="198" t="s">
        <v>165</v>
      </c>
    </row>
    <row r="224" spans="3:35" x14ac:dyDescent="0.3">
      <c r="C224"/>
      <c r="D224"/>
      <c r="E224"/>
      <c r="F224" s="198"/>
      <c r="G224" s="198"/>
      <c r="H224" s="198"/>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c r="AE224" s="198"/>
      <c r="AF224" s="198"/>
      <c r="AG224" s="198"/>
      <c r="AH224" s="198"/>
      <c r="AI224" s="198"/>
    </row>
    <row r="225" spans="3:35" x14ac:dyDescent="0.3">
      <c r="C225" t="s">
        <v>502</v>
      </c>
      <c r="D225">
        <v>2836</v>
      </c>
      <c r="E225"/>
      <c r="F225">
        <v>7.4</v>
      </c>
      <c r="G225">
        <v>0.8</v>
      </c>
      <c r="H225">
        <v>0.3</v>
      </c>
      <c r="I225">
        <v>3.2</v>
      </c>
      <c r="J225">
        <v>0</v>
      </c>
      <c r="K225">
        <v>1.7</v>
      </c>
      <c r="L225">
        <v>0.3</v>
      </c>
      <c r="M225">
        <v>0.3</v>
      </c>
      <c r="N225">
        <v>0.3</v>
      </c>
      <c r="O225">
        <v>0</v>
      </c>
      <c r="P225">
        <v>0</v>
      </c>
      <c r="Q225">
        <v>0</v>
      </c>
      <c r="R225">
        <v>0.1</v>
      </c>
      <c r="S225">
        <v>1</v>
      </c>
      <c r="T225">
        <v>0.1</v>
      </c>
      <c r="U225">
        <v>0.1</v>
      </c>
      <c r="V225">
        <v>0.1</v>
      </c>
      <c r="W225">
        <v>0</v>
      </c>
      <c r="X225">
        <v>0</v>
      </c>
      <c r="Y225">
        <v>0.1</v>
      </c>
      <c r="Z225">
        <v>0</v>
      </c>
      <c r="AA225">
        <v>0</v>
      </c>
      <c r="AB225">
        <v>0</v>
      </c>
      <c r="AC225">
        <v>0</v>
      </c>
      <c r="AD225">
        <v>0</v>
      </c>
      <c r="AE225">
        <v>0</v>
      </c>
      <c r="AF225">
        <v>7.7</v>
      </c>
      <c r="AG225">
        <v>30.4</v>
      </c>
      <c r="AH225">
        <v>0.1</v>
      </c>
      <c r="AI225">
        <v>46</v>
      </c>
    </row>
    <row r="226" spans="3:35" x14ac:dyDescent="0.3">
      <c r="C226" t="s">
        <v>503</v>
      </c>
      <c r="D226">
        <v>2479</v>
      </c>
      <c r="F226">
        <v>3.9</v>
      </c>
      <c r="G226">
        <v>0.1</v>
      </c>
      <c r="H226">
        <v>0.1</v>
      </c>
      <c r="I226">
        <v>0.2</v>
      </c>
      <c r="J226">
        <v>0</v>
      </c>
      <c r="K226">
        <v>0</v>
      </c>
      <c r="L226">
        <v>0</v>
      </c>
      <c r="M226">
        <v>0</v>
      </c>
      <c r="N226">
        <v>0</v>
      </c>
      <c r="O226">
        <v>0</v>
      </c>
      <c r="P226">
        <v>0</v>
      </c>
      <c r="Q226">
        <v>0</v>
      </c>
      <c r="R226">
        <v>0</v>
      </c>
      <c r="S226">
        <v>0.1</v>
      </c>
      <c r="T226">
        <v>0</v>
      </c>
      <c r="U226">
        <v>0.1</v>
      </c>
      <c r="V226">
        <v>0</v>
      </c>
      <c r="W226">
        <v>0</v>
      </c>
      <c r="X226">
        <v>0</v>
      </c>
      <c r="Y226">
        <v>0.2</v>
      </c>
      <c r="Z226">
        <v>0</v>
      </c>
      <c r="AA226">
        <v>0</v>
      </c>
      <c r="AB226">
        <v>0</v>
      </c>
      <c r="AC226">
        <v>0</v>
      </c>
      <c r="AD226">
        <v>0</v>
      </c>
      <c r="AE226">
        <v>0</v>
      </c>
      <c r="AF226">
        <v>0.7</v>
      </c>
      <c r="AG226">
        <v>22.1</v>
      </c>
      <c r="AH226">
        <v>0.2</v>
      </c>
      <c r="AI226">
        <v>72.5</v>
      </c>
    </row>
    <row r="227" spans="3:35" x14ac:dyDescent="0.3">
      <c r="C227" t="s">
        <v>504</v>
      </c>
      <c r="D227">
        <v>8341</v>
      </c>
      <c r="F227">
        <v>4.5999999999999996</v>
      </c>
      <c r="G227">
        <v>0.1</v>
      </c>
      <c r="H227">
        <v>0.2</v>
      </c>
      <c r="I227">
        <v>0.4</v>
      </c>
      <c r="J227">
        <v>0.2</v>
      </c>
      <c r="K227">
        <v>2.2999999999999998</v>
      </c>
      <c r="L227">
        <v>0.1</v>
      </c>
      <c r="M227">
        <v>0</v>
      </c>
      <c r="N227">
        <v>0</v>
      </c>
      <c r="O227">
        <v>0</v>
      </c>
      <c r="P227">
        <v>0</v>
      </c>
      <c r="Q227">
        <v>0</v>
      </c>
      <c r="R227">
        <v>0.1</v>
      </c>
      <c r="S227">
        <v>0.5</v>
      </c>
      <c r="T227">
        <v>0.1</v>
      </c>
      <c r="U227">
        <v>0.2</v>
      </c>
      <c r="V227">
        <v>0</v>
      </c>
      <c r="W227">
        <v>0</v>
      </c>
      <c r="X227">
        <v>0</v>
      </c>
      <c r="Y227">
        <v>0.1</v>
      </c>
      <c r="Z227">
        <v>0</v>
      </c>
      <c r="AA227">
        <v>0</v>
      </c>
      <c r="AB227">
        <v>0</v>
      </c>
      <c r="AC227">
        <v>0</v>
      </c>
      <c r="AD227">
        <v>0</v>
      </c>
      <c r="AE227">
        <v>0</v>
      </c>
      <c r="AF227">
        <v>6.7</v>
      </c>
      <c r="AG227">
        <v>19.8</v>
      </c>
      <c r="AH227">
        <v>0.1</v>
      </c>
      <c r="AI227">
        <v>64.599999999999994</v>
      </c>
    </row>
    <row r="228" spans="3:35" x14ac:dyDescent="0.3">
      <c r="C228" t="s">
        <v>505</v>
      </c>
      <c r="D228">
        <v>9525</v>
      </c>
      <c r="F228">
        <v>4.0999999999999996</v>
      </c>
      <c r="G228">
        <v>0.1</v>
      </c>
      <c r="H228">
        <v>0.2</v>
      </c>
      <c r="I228">
        <v>0.5</v>
      </c>
      <c r="J228">
        <v>0.1</v>
      </c>
      <c r="K228">
        <v>1.4</v>
      </c>
      <c r="L228">
        <v>0.3</v>
      </c>
      <c r="M228">
        <v>0</v>
      </c>
      <c r="N228">
        <v>0</v>
      </c>
      <c r="O228">
        <v>0.1</v>
      </c>
      <c r="P228">
        <v>0</v>
      </c>
      <c r="Q228">
        <v>0</v>
      </c>
      <c r="R228">
        <v>0.2</v>
      </c>
      <c r="S228">
        <v>1.6</v>
      </c>
      <c r="T228">
        <v>0.4</v>
      </c>
      <c r="U228">
        <v>0.4</v>
      </c>
      <c r="V228">
        <v>0</v>
      </c>
      <c r="W228">
        <v>0</v>
      </c>
      <c r="X228">
        <v>0</v>
      </c>
      <c r="Y228">
        <v>0.2</v>
      </c>
      <c r="Z228">
        <v>0</v>
      </c>
      <c r="AA228">
        <v>0</v>
      </c>
      <c r="AB228">
        <v>0</v>
      </c>
      <c r="AC228">
        <v>0</v>
      </c>
      <c r="AD228">
        <v>0</v>
      </c>
      <c r="AE228">
        <v>0</v>
      </c>
      <c r="AF228">
        <v>4.8</v>
      </c>
      <c r="AG228">
        <v>29.4</v>
      </c>
      <c r="AH228">
        <v>0.2</v>
      </c>
      <c r="AI228">
        <v>56</v>
      </c>
    </row>
    <row r="230" spans="3:35" x14ac:dyDescent="0.3">
      <c r="C230" t="s">
        <v>506</v>
      </c>
      <c r="D230" s="265">
        <f>AVERAGE(D214:D222)</f>
        <v>7820.1111111111113</v>
      </c>
      <c r="F230" s="188">
        <f>AVERAGE(F214:F222)</f>
        <v>3.9777777777777783</v>
      </c>
      <c r="G230" s="188">
        <f t="shared" ref="G230:AI230" si="70">AVERAGE(G214:G222)</f>
        <v>6.6666666666666666E-2</v>
      </c>
      <c r="H230" s="188">
        <f t="shared" si="70"/>
        <v>0.21111111111111114</v>
      </c>
      <c r="I230" s="188">
        <f t="shared" si="70"/>
        <v>0.44444444444444442</v>
      </c>
      <c r="J230" s="188">
        <f t="shared" si="70"/>
        <v>9.9999999999999992E-2</v>
      </c>
      <c r="K230" s="188">
        <f t="shared" si="70"/>
        <v>1.3222222222222222</v>
      </c>
      <c r="L230" s="188">
        <f t="shared" si="70"/>
        <v>0.27777777777777779</v>
      </c>
      <c r="M230" s="188">
        <f t="shared" si="70"/>
        <v>0</v>
      </c>
      <c r="N230" s="188">
        <f t="shared" si="70"/>
        <v>0</v>
      </c>
      <c r="O230" s="188">
        <f t="shared" si="70"/>
        <v>5.5555555555555552E-2</v>
      </c>
      <c r="P230" s="188">
        <f t="shared" si="70"/>
        <v>0</v>
      </c>
      <c r="Q230" s="188">
        <f t="shared" si="70"/>
        <v>0</v>
      </c>
      <c r="R230" s="188">
        <f t="shared" si="70"/>
        <v>0.18888888888888894</v>
      </c>
      <c r="S230" s="188">
        <f t="shared" si="70"/>
        <v>1.3333333333333333</v>
      </c>
      <c r="T230" s="188">
        <f t="shared" si="70"/>
        <v>0.27777777777777779</v>
      </c>
      <c r="U230" s="188">
        <f t="shared" si="70"/>
        <v>0.30000000000000004</v>
      </c>
      <c r="V230" s="188">
        <f t="shared" si="70"/>
        <v>1.1111111111111112E-2</v>
      </c>
      <c r="W230" s="188">
        <f t="shared" si="70"/>
        <v>0</v>
      </c>
      <c r="X230" s="188">
        <f t="shared" si="70"/>
        <v>0</v>
      </c>
      <c r="Y230" s="188">
        <f t="shared" si="70"/>
        <v>0.12222222222222223</v>
      </c>
      <c r="Z230" s="188">
        <f t="shared" si="70"/>
        <v>0</v>
      </c>
      <c r="AA230" s="188">
        <f t="shared" si="70"/>
        <v>0</v>
      </c>
      <c r="AB230" s="188">
        <f t="shared" si="70"/>
        <v>0</v>
      </c>
      <c r="AC230" s="188">
        <f t="shared" si="70"/>
        <v>0</v>
      </c>
      <c r="AD230" s="188">
        <f t="shared" si="70"/>
        <v>0</v>
      </c>
      <c r="AE230" s="188">
        <f t="shared" si="70"/>
        <v>0</v>
      </c>
      <c r="AF230" s="188">
        <f t="shared" si="70"/>
        <v>6.4444444444444446</v>
      </c>
      <c r="AG230" s="188">
        <f t="shared" si="70"/>
        <v>26.255555555555556</v>
      </c>
      <c r="AH230" s="188">
        <f t="shared" si="70"/>
        <v>0.24444444444444446</v>
      </c>
      <c r="AI230" s="188">
        <f t="shared" si="70"/>
        <v>58.344444444444434</v>
      </c>
    </row>
    <row r="231" spans="3:35" x14ac:dyDescent="0.3">
      <c r="C231" t="s">
        <v>507</v>
      </c>
      <c r="D231" s="265">
        <f>AVERAGE(D213:D222)</f>
        <v>7226.5</v>
      </c>
      <c r="F231" s="188">
        <f>AVERAGE(F213:F222)</f>
        <v>3.97</v>
      </c>
      <c r="G231" s="188">
        <f t="shared" ref="G231:AI231" si="71">AVERAGE(G213:G222)</f>
        <v>0.06</v>
      </c>
      <c r="H231" s="188">
        <f t="shared" si="71"/>
        <v>0.19</v>
      </c>
      <c r="I231" s="188">
        <f t="shared" si="71"/>
        <v>0.43999999999999995</v>
      </c>
      <c r="J231" s="188">
        <f t="shared" si="71"/>
        <v>0.16</v>
      </c>
      <c r="K231" s="188">
        <f t="shared" si="71"/>
        <v>1.64</v>
      </c>
      <c r="L231" s="188">
        <f t="shared" si="71"/>
        <v>0.25</v>
      </c>
      <c r="M231" s="188">
        <f t="shared" si="71"/>
        <v>0</v>
      </c>
      <c r="N231" s="188">
        <f t="shared" si="71"/>
        <v>0</v>
      </c>
      <c r="O231" s="188">
        <f t="shared" si="71"/>
        <v>0.05</v>
      </c>
      <c r="P231" s="188">
        <f t="shared" si="71"/>
        <v>0</v>
      </c>
      <c r="Q231" s="188">
        <f t="shared" si="71"/>
        <v>0</v>
      </c>
      <c r="R231" s="188">
        <f t="shared" si="71"/>
        <v>0.17000000000000004</v>
      </c>
      <c r="S231" s="188">
        <f t="shared" si="71"/>
        <v>1.34</v>
      </c>
      <c r="T231" s="188">
        <f t="shared" si="71"/>
        <v>0.25</v>
      </c>
      <c r="U231" s="188">
        <f t="shared" si="71"/>
        <v>0.27</v>
      </c>
      <c r="V231" s="188">
        <f t="shared" si="71"/>
        <v>0.01</v>
      </c>
      <c r="W231" s="188">
        <f t="shared" si="71"/>
        <v>0</v>
      </c>
      <c r="X231" s="188">
        <f t="shared" si="71"/>
        <v>0</v>
      </c>
      <c r="Y231" s="188">
        <f t="shared" si="71"/>
        <v>0.15</v>
      </c>
      <c r="Z231" s="188">
        <f t="shared" si="71"/>
        <v>0</v>
      </c>
      <c r="AA231" s="188">
        <f t="shared" si="71"/>
        <v>0</v>
      </c>
      <c r="AB231" s="188">
        <f t="shared" si="71"/>
        <v>0</v>
      </c>
      <c r="AC231" s="188">
        <f t="shared" si="71"/>
        <v>0</v>
      </c>
      <c r="AD231" s="188">
        <f t="shared" si="71"/>
        <v>0</v>
      </c>
      <c r="AE231" s="188">
        <f t="shared" si="71"/>
        <v>0</v>
      </c>
      <c r="AF231" s="188">
        <f t="shared" si="71"/>
        <v>6.6</v>
      </c>
      <c r="AG231" s="188">
        <f t="shared" si="71"/>
        <v>26.18</v>
      </c>
      <c r="AH231" s="188">
        <f t="shared" si="71"/>
        <v>0.22000000000000003</v>
      </c>
      <c r="AI231" s="188">
        <f t="shared" si="71"/>
        <v>58.019999999999996</v>
      </c>
    </row>
    <row r="232" spans="3:35" x14ac:dyDescent="0.3">
      <c r="C232"/>
      <c r="D232" s="65"/>
      <c r="E232"/>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row>
    <row r="233" spans="3:35" x14ac:dyDescent="0.3">
      <c r="C233"/>
      <c r="D233" s="65"/>
      <c r="E233"/>
      <c r="F233" s="261"/>
      <c r="G233" s="261"/>
      <c r="H233" s="261"/>
      <c r="I233" s="261"/>
      <c r="J233" s="261"/>
      <c r="K233" s="261"/>
      <c r="L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row>
    <row r="234" spans="3:35" x14ac:dyDescent="0.3">
      <c r="C234" t="s">
        <v>570</v>
      </c>
      <c r="D234"/>
      <c r="E234"/>
      <c r="F234"/>
      <c r="G234"/>
      <c r="H234" s="198"/>
      <c r="I234" s="198"/>
      <c r="J234" s="198"/>
      <c r="K234"/>
      <c r="L234" t="s">
        <v>567</v>
      </c>
      <c r="M234"/>
      <c r="N234"/>
      <c r="O234"/>
      <c r="P234"/>
      <c r="Q234"/>
      <c r="R234"/>
      <c r="S234"/>
      <c r="T234"/>
      <c r="U234"/>
      <c r="V234"/>
      <c r="W234"/>
      <c r="X234"/>
      <c r="Y234"/>
      <c r="Z234"/>
      <c r="AA234"/>
      <c r="AB234"/>
      <c r="AC234"/>
      <c r="AD234"/>
      <c r="AE234"/>
      <c r="AF234"/>
      <c r="AG234"/>
      <c r="AH234"/>
      <c r="AI234"/>
    </row>
    <row r="235" spans="3:35" x14ac:dyDescent="0.3">
      <c r="C235" t="s">
        <v>546</v>
      </c>
      <c r="D235"/>
      <c r="E235" t="s">
        <v>547</v>
      </c>
      <c r="F235"/>
      <c r="G235" s="261"/>
      <c r="H235" s="266">
        <f>SUM(F230:H230)</f>
        <v>4.2555555555555564</v>
      </c>
      <c r="I235" s="266"/>
      <c r="J235" s="266"/>
      <c r="K235"/>
      <c r="L235" t="s">
        <v>557</v>
      </c>
      <c r="M235"/>
      <c r="N235"/>
      <c r="Q235" t="s">
        <v>558</v>
      </c>
      <c r="S235" s="266">
        <f>H235</f>
        <v>4.2555555555555564</v>
      </c>
      <c r="T235"/>
      <c r="U235"/>
      <c r="V235"/>
      <c r="W235"/>
      <c r="X235"/>
      <c r="Y235"/>
      <c r="Z235"/>
      <c r="AA235"/>
      <c r="AB235" s="261"/>
      <c r="AC235"/>
      <c r="AD235"/>
      <c r="AE235"/>
      <c r="AF235"/>
      <c r="AG235"/>
      <c r="AH235"/>
      <c r="AI235"/>
    </row>
    <row r="236" spans="3:35" x14ac:dyDescent="0.3">
      <c r="C236"/>
      <c r="D236"/>
      <c r="E236" t="s">
        <v>153</v>
      </c>
      <c r="F236"/>
      <c r="G236" s="261"/>
      <c r="H236" s="266">
        <f>SUM(I230:R230)</f>
        <v>2.3888888888888888</v>
      </c>
      <c r="I236" s="266"/>
      <c r="J236" s="266"/>
      <c r="K236"/>
      <c r="L236"/>
      <c r="M236"/>
      <c r="N236"/>
      <c r="Q236" t="s">
        <v>559</v>
      </c>
      <c r="S236" s="266">
        <f>H236</f>
        <v>2.3888888888888888</v>
      </c>
      <c r="T236"/>
      <c r="U236"/>
      <c r="V236"/>
      <c r="W236"/>
      <c r="X236"/>
      <c r="Y236"/>
      <c r="Z236"/>
      <c r="AA236"/>
      <c r="AB236" s="261"/>
      <c r="AC236"/>
      <c r="AD236" s="261"/>
      <c r="AE236"/>
      <c r="AF236"/>
      <c r="AG236"/>
      <c r="AH236"/>
      <c r="AI236"/>
    </row>
    <row r="237" spans="3:35" x14ac:dyDescent="0.3">
      <c r="C237"/>
      <c r="D237"/>
      <c r="E237" t="s">
        <v>545</v>
      </c>
      <c r="F237"/>
      <c r="G237"/>
      <c r="H237" s="266">
        <f>SUM(S231:Y231)</f>
        <v>2.02</v>
      </c>
      <c r="I237" s="266"/>
      <c r="J237" s="266"/>
      <c r="K237"/>
      <c r="L237"/>
      <c r="M237"/>
      <c r="N237"/>
      <c r="Q237" t="s">
        <v>560</v>
      </c>
      <c r="S237" s="266">
        <f>H237</f>
        <v>2.02</v>
      </c>
      <c r="T237"/>
      <c r="U237"/>
      <c r="V237"/>
      <c r="W237"/>
      <c r="X237"/>
      <c r="Z237"/>
      <c r="AA237"/>
      <c r="AB237"/>
      <c r="AC237"/>
      <c r="AD237"/>
      <c r="AE237"/>
      <c r="AF237"/>
      <c r="AG237"/>
      <c r="AH237"/>
      <c r="AI237"/>
    </row>
    <row r="238" spans="3:35" x14ac:dyDescent="0.3">
      <c r="C238"/>
      <c r="D238"/>
      <c r="E238" t="s">
        <v>550</v>
      </c>
      <c r="F238"/>
      <c r="G238"/>
      <c r="H238" s="266">
        <f>AG230</f>
        <v>26.255555555555556</v>
      </c>
      <c r="I238" s="266"/>
      <c r="J238" s="266"/>
      <c r="K238"/>
      <c r="L238"/>
      <c r="M238"/>
      <c r="N238"/>
      <c r="Q238" t="s">
        <v>561</v>
      </c>
      <c r="S238" s="266">
        <f>SUM(S235:S237)</f>
        <v>8.6644444444444453</v>
      </c>
      <c r="T238"/>
      <c r="U238"/>
      <c r="V238"/>
      <c r="W238"/>
      <c r="X238"/>
      <c r="Y238" s="261"/>
      <c r="Z238"/>
      <c r="AA238"/>
      <c r="AB238"/>
      <c r="AC238"/>
      <c r="AD238"/>
      <c r="AE238"/>
      <c r="AG238" s="261"/>
      <c r="AH238"/>
      <c r="AI238"/>
    </row>
    <row r="239" spans="3:35" x14ac:dyDescent="0.3">
      <c r="C239"/>
      <c r="D239"/>
      <c r="E239" t="s">
        <v>549</v>
      </c>
      <c r="F239"/>
      <c r="G239"/>
      <c r="H239" s="266">
        <f>AF230</f>
        <v>6.4444444444444446</v>
      </c>
      <c r="I239" s="266"/>
      <c r="J239" s="266"/>
      <c r="K239"/>
      <c r="L239" s="261"/>
      <c r="N239" s="261"/>
      <c r="O239" s="261"/>
      <c r="P239" s="261"/>
      <c r="Q239" s="261"/>
      <c r="R239" s="261"/>
      <c r="S239" s="261"/>
      <c r="T239" s="261"/>
      <c r="U239" s="261"/>
      <c r="V239"/>
      <c r="W239"/>
      <c r="X239"/>
      <c r="Y239" s="261"/>
      <c r="Z239"/>
      <c r="AA239"/>
      <c r="AB239"/>
      <c r="AC239"/>
      <c r="AD239"/>
      <c r="AE239"/>
      <c r="AF239"/>
      <c r="AH239"/>
      <c r="AI239"/>
    </row>
    <row r="240" spans="3:35" x14ac:dyDescent="0.3">
      <c r="C240"/>
      <c r="D240"/>
      <c r="E240" t="s">
        <v>5</v>
      </c>
      <c r="F240"/>
      <c r="G240"/>
      <c r="H240" s="266">
        <f>SUM(H235:H239)</f>
        <v>41.364444444444445</v>
      </c>
      <c r="I240" s="266"/>
      <c r="J240" s="266"/>
      <c r="K240"/>
      <c r="L240" t="s">
        <v>567</v>
      </c>
      <c r="M240"/>
      <c r="N240"/>
      <c r="O240"/>
      <c r="P240"/>
      <c r="Q240"/>
      <c r="R240"/>
      <c r="S240"/>
      <c r="T240"/>
      <c r="U240"/>
      <c r="V240"/>
      <c r="W240"/>
      <c r="X240"/>
      <c r="Y240" s="261"/>
      <c r="Z240"/>
      <c r="AA240"/>
      <c r="AB240"/>
      <c r="AC240"/>
      <c r="AD240"/>
      <c r="AE240"/>
      <c r="AF240"/>
      <c r="AH240"/>
      <c r="AI240"/>
    </row>
    <row r="241" spans="3:35" x14ac:dyDescent="0.3">
      <c r="C241"/>
      <c r="D241"/>
      <c r="E241"/>
      <c r="F241"/>
      <c r="G241"/>
      <c r="H241"/>
      <c r="I241" s="266"/>
      <c r="J241" s="266"/>
      <c r="K241"/>
      <c r="L241"/>
      <c r="M241"/>
      <c r="N241"/>
      <c r="O241"/>
      <c r="Q241" s="266"/>
      <c r="R241"/>
      <c r="S241"/>
      <c r="T241"/>
      <c r="U241"/>
      <c r="V241"/>
      <c r="W241"/>
      <c r="X241"/>
      <c r="Y241"/>
      <c r="Z241"/>
      <c r="AA241"/>
      <c r="AB241"/>
      <c r="AC241"/>
      <c r="AD241"/>
      <c r="AE241"/>
      <c r="AF241"/>
      <c r="AG241"/>
      <c r="AH241"/>
      <c r="AI241"/>
    </row>
    <row r="242" spans="3:35" x14ac:dyDescent="0.3">
      <c r="C242" t="s">
        <v>548</v>
      </c>
      <c r="D242"/>
      <c r="E242" t="s">
        <v>547</v>
      </c>
      <c r="F242"/>
      <c r="G242"/>
      <c r="H242" s="266">
        <f>SUM(F231:H231)</f>
        <v>4.2200000000000006</v>
      </c>
      <c r="I242" s="266"/>
      <c r="J242" s="266"/>
      <c r="K242"/>
      <c r="L242" t="s">
        <v>581</v>
      </c>
      <c r="M242"/>
      <c r="N242"/>
      <c r="O242"/>
      <c r="Q242" s="65">
        <f>Run!FV64</f>
        <v>46651.564825301895</v>
      </c>
      <c r="R242"/>
      <c r="S242"/>
      <c r="T242"/>
      <c r="U242"/>
      <c r="V242"/>
      <c r="W242"/>
      <c r="X242"/>
      <c r="Y242"/>
      <c r="Z242"/>
      <c r="AA242"/>
      <c r="AB242" s="261"/>
      <c r="AC242"/>
      <c r="AD242"/>
      <c r="AE242"/>
      <c r="AF242"/>
      <c r="AG242"/>
      <c r="AH242"/>
      <c r="AI242"/>
    </row>
    <row r="243" spans="3:35" x14ac:dyDescent="0.3">
      <c r="C243"/>
      <c r="D243"/>
      <c r="E243" t="s">
        <v>153</v>
      </c>
      <c r="F243"/>
      <c r="G243"/>
      <c r="H243" s="266">
        <f>SUM(I231:R231)</f>
        <v>2.7099999999999995</v>
      </c>
      <c r="I243" s="266"/>
      <c r="J243" s="266"/>
      <c r="K243"/>
      <c r="L243"/>
      <c r="M243"/>
      <c r="N243"/>
      <c r="O243"/>
      <c r="Q243" s="266"/>
      <c r="R243"/>
      <c r="S243"/>
      <c r="T243"/>
      <c r="U243"/>
      <c r="V243"/>
      <c r="W243"/>
      <c r="X243"/>
      <c r="Y243" s="261"/>
      <c r="Z243"/>
      <c r="AA243"/>
      <c r="AB243"/>
      <c r="AC243"/>
      <c r="AD243" s="261"/>
      <c r="AE243"/>
      <c r="AF243"/>
      <c r="AG243"/>
      <c r="AH243"/>
      <c r="AI243"/>
    </row>
    <row r="244" spans="3:35" x14ac:dyDescent="0.3">
      <c r="C244"/>
      <c r="D244"/>
      <c r="E244" t="s">
        <v>545</v>
      </c>
      <c r="F244"/>
      <c r="G244"/>
      <c r="H244" s="266">
        <f>SUM(S231:Y231)</f>
        <v>2.02</v>
      </c>
      <c r="I244" s="266"/>
      <c r="J244" s="266"/>
      <c r="K244"/>
      <c r="L244" t="s">
        <v>562</v>
      </c>
      <c r="M244"/>
      <c r="N244"/>
      <c r="O244"/>
      <c r="P244"/>
      <c r="Q244" s="65">
        <f>Q242/(1-(S238/100))</f>
        <v>51077.112896002174</v>
      </c>
      <c r="R244"/>
      <c r="S244"/>
      <c r="T244"/>
      <c r="U244"/>
      <c r="V244" s="261"/>
      <c r="W244" s="261"/>
      <c r="X244"/>
      <c r="Z244"/>
      <c r="AA244"/>
      <c r="AB244"/>
      <c r="AC244"/>
      <c r="AD244"/>
      <c r="AE244"/>
      <c r="AF244"/>
      <c r="AG244"/>
      <c r="AH244"/>
      <c r="AI244"/>
    </row>
    <row r="245" spans="3:35" x14ac:dyDescent="0.3">
      <c r="E245" t="s">
        <v>550</v>
      </c>
      <c r="H245" s="267">
        <f>AG231</f>
        <v>26.18</v>
      </c>
      <c r="I245" s="266"/>
      <c r="J245" s="266"/>
      <c r="L245"/>
      <c r="M245"/>
      <c r="N245"/>
      <c r="O245"/>
      <c r="P245"/>
      <c r="Q245"/>
      <c r="R245"/>
      <c r="S245"/>
      <c r="T245"/>
      <c r="U245"/>
      <c r="V245"/>
      <c r="W245"/>
    </row>
    <row r="246" spans="3:35" x14ac:dyDescent="0.3">
      <c r="E246" t="s">
        <v>549</v>
      </c>
      <c r="H246" s="267">
        <f>AF231</f>
        <v>6.6</v>
      </c>
      <c r="I246" s="266"/>
      <c r="J246" s="266"/>
      <c r="L246" t="s">
        <v>563</v>
      </c>
      <c r="M246"/>
      <c r="O246" t="s">
        <v>558</v>
      </c>
      <c r="P246"/>
      <c r="R246" s="65">
        <f>$Q$244*(S235/100)</f>
        <v>2173.6149154632039</v>
      </c>
      <c r="S246" s="261"/>
      <c r="T246" s="261"/>
      <c r="U246" s="261"/>
      <c r="V246"/>
      <c r="W246"/>
    </row>
    <row r="247" spans="3:35" x14ac:dyDescent="0.3">
      <c r="E247" t="s">
        <v>5</v>
      </c>
      <c r="H247" s="267">
        <f>SUM(H242:H246)</f>
        <v>41.73</v>
      </c>
      <c r="I247" s="266"/>
      <c r="J247" s="266"/>
      <c r="L247"/>
      <c r="M247"/>
      <c r="O247" t="s">
        <v>564</v>
      </c>
      <c r="P247"/>
      <c r="R247" s="65">
        <f>$Q$244*(S236/100)</f>
        <v>1220.1754747378297</v>
      </c>
      <c r="S247"/>
      <c r="T247"/>
      <c r="U247"/>
      <c r="V247"/>
      <c r="W247"/>
    </row>
    <row r="248" spans="3:35" x14ac:dyDescent="0.3">
      <c r="E248"/>
      <c r="H248" s="188"/>
      <c r="L248"/>
      <c r="M248"/>
      <c r="O248" t="s">
        <v>565</v>
      </c>
      <c r="P248"/>
      <c r="R248" s="65">
        <f>$Q$244*(S237/100)</f>
        <v>1031.7576804992439</v>
      </c>
      <c r="S248"/>
      <c r="T248"/>
      <c r="U248"/>
      <c r="V248"/>
      <c r="W248"/>
    </row>
    <row r="249" spans="3:35" x14ac:dyDescent="0.3">
      <c r="C249"/>
      <c r="D249"/>
      <c r="E249"/>
      <c r="F249"/>
      <c r="G249" s="198"/>
      <c r="H249" s="198"/>
      <c r="I249" s="198"/>
      <c r="L249"/>
      <c r="M249"/>
      <c r="O249" t="s">
        <v>566</v>
      </c>
      <c r="P249"/>
      <c r="R249" s="65">
        <f>SUM(R246:R248)</f>
        <v>4425.548070700278</v>
      </c>
      <c r="S249"/>
      <c r="T249"/>
      <c r="U249"/>
      <c r="V249"/>
      <c r="W249"/>
    </row>
    <row r="250" spans="3:35" x14ac:dyDescent="0.3">
      <c r="C250" t="s">
        <v>551</v>
      </c>
      <c r="D250"/>
      <c r="E250"/>
      <c r="F250" t="s">
        <v>6</v>
      </c>
      <c r="G250"/>
      <c r="H250" s="65">
        <f>Run!FV64</f>
        <v>46651.564825301895</v>
      </c>
      <c r="I250" s="266"/>
      <c r="L250"/>
      <c r="M250"/>
      <c r="N250"/>
      <c r="O250"/>
      <c r="P250"/>
      <c r="Q250"/>
      <c r="S250"/>
      <c r="T250"/>
      <c r="U250"/>
      <c r="V250"/>
      <c r="W250"/>
    </row>
    <row r="251" spans="3:35" x14ac:dyDescent="0.3">
      <c r="C251"/>
      <c r="D251"/>
      <c r="E251"/>
      <c r="F251" t="s">
        <v>418</v>
      </c>
      <c r="G251"/>
      <c r="H251" s="65">
        <f>Run!FW64</f>
        <v>9351.5351746980996</v>
      </c>
      <c r="I251" s="266"/>
      <c r="L251" t="s">
        <v>568</v>
      </c>
      <c r="M251"/>
      <c r="N251"/>
      <c r="O251"/>
      <c r="P251"/>
      <c r="Q251"/>
      <c r="R251"/>
      <c r="S251"/>
      <c r="T251"/>
      <c r="U251"/>
      <c r="V251"/>
      <c r="W251"/>
    </row>
    <row r="252" spans="3:35" x14ac:dyDescent="0.3">
      <c r="C252"/>
      <c r="D252"/>
      <c r="E252"/>
      <c r="F252" t="s">
        <v>5</v>
      </c>
      <c r="G252"/>
      <c r="H252" s="65">
        <f>SUM(H250:H251)</f>
        <v>56003.099999999991</v>
      </c>
      <c r="I252"/>
      <c r="L252"/>
      <c r="M252"/>
      <c r="N252"/>
      <c r="O252"/>
      <c r="Q252" s="266"/>
      <c r="R252"/>
      <c r="S252"/>
      <c r="T252"/>
      <c r="U252"/>
      <c r="V252"/>
      <c r="W252"/>
    </row>
    <row r="253" spans="3:35" x14ac:dyDescent="0.3">
      <c r="L253" t="s">
        <v>581</v>
      </c>
      <c r="M253"/>
      <c r="N253"/>
      <c r="O253"/>
      <c r="Q253" s="65">
        <f>Run!FW64</f>
        <v>9351.5351746980996</v>
      </c>
      <c r="R253"/>
      <c r="S253"/>
      <c r="T253"/>
      <c r="U253"/>
      <c r="V253"/>
      <c r="W253"/>
    </row>
    <row r="254" spans="3:35" x14ac:dyDescent="0.3">
      <c r="L254"/>
      <c r="M254"/>
      <c r="N254"/>
      <c r="O254"/>
      <c r="Q254" s="266"/>
      <c r="R254"/>
      <c r="S254"/>
      <c r="T254"/>
      <c r="U254"/>
    </row>
    <row r="255" spans="3:35" x14ac:dyDescent="0.3">
      <c r="L255" t="s">
        <v>562</v>
      </c>
      <c r="M255"/>
      <c r="N255"/>
      <c r="O255"/>
      <c r="P255"/>
      <c r="Q255" s="65">
        <f>Q253/(1-(S238/100))</f>
        <v>10238.658009815199</v>
      </c>
      <c r="R255"/>
      <c r="S255"/>
      <c r="T255"/>
      <c r="U255"/>
    </row>
    <row r="256" spans="3:35" x14ac:dyDescent="0.3">
      <c r="L256"/>
      <c r="M256"/>
      <c r="N256"/>
      <c r="O256"/>
      <c r="P256"/>
      <c r="Q256"/>
      <c r="R256"/>
      <c r="S256"/>
      <c r="T256"/>
      <c r="U256"/>
    </row>
    <row r="257" spans="12:21" x14ac:dyDescent="0.3">
      <c r="L257" t="s">
        <v>563</v>
      </c>
      <c r="M257"/>
      <c r="O257" t="s">
        <v>558</v>
      </c>
      <c r="P257"/>
      <c r="R257" s="65">
        <f>$Q$255*(S235/100)</f>
        <v>435.71177975102466</v>
      </c>
      <c r="S257" s="261"/>
      <c r="T257" s="261"/>
      <c r="U257" s="261"/>
    </row>
    <row r="258" spans="12:21" x14ac:dyDescent="0.3">
      <c r="L258"/>
      <c r="M258"/>
      <c r="O258" t="s">
        <v>564</v>
      </c>
      <c r="P258"/>
      <c r="R258" s="65">
        <f>$Q$255*(S236/100)</f>
        <v>244.59016356780754</v>
      </c>
      <c r="S258"/>
      <c r="T258"/>
      <c r="U258"/>
    </row>
    <row r="259" spans="12:21" x14ac:dyDescent="0.3">
      <c r="L259"/>
      <c r="M259"/>
      <c r="O259" t="s">
        <v>565</v>
      </c>
      <c r="P259"/>
      <c r="R259" s="65">
        <f>$Q$255*(S237/100)</f>
        <v>206.82089179826701</v>
      </c>
      <c r="S259"/>
      <c r="T259"/>
      <c r="U259"/>
    </row>
    <row r="260" spans="12:21" x14ac:dyDescent="0.3">
      <c r="L260"/>
      <c r="M260"/>
      <c r="O260" t="s">
        <v>566</v>
      </c>
      <c r="P260"/>
      <c r="R260" s="65">
        <f>SUM(R257:R259)</f>
        <v>887.12283511709916</v>
      </c>
      <c r="S260"/>
      <c r="T260"/>
      <c r="U260"/>
    </row>
    <row r="261" spans="12:21" x14ac:dyDescent="0.3">
      <c r="L261"/>
      <c r="M261"/>
      <c r="N261"/>
      <c r="O261"/>
      <c r="P261"/>
      <c r="Q261"/>
      <c r="S261"/>
      <c r="T261"/>
      <c r="U261"/>
    </row>
    <row r="262" spans="12:21" x14ac:dyDescent="0.3">
      <c r="L262"/>
      <c r="M262"/>
      <c r="N262"/>
      <c r="O262"/>
      <c r="P262"/>
      <c r="Q262"/>
      <c r="R262"/>
      <c r="S262"/>
      <c r="T262"/>
      <c r="U262"/>
    </row>
    <row r="263" spans="12:21" x14ac:dyDescent="0.3">
      <c r="L263" s="198"/>
      <c r="M263" s="198"/>
      <c r="N263"/>
      <c r="O263"/>
      <c r="P263"/>
      <c r="Q263"/>
      <c r="R263"/>
      <c r="S263"/>
      <c r="U263" s="266"/>
    </row>
    <row r="264" spans="12:21" x14ac:dyDescent="0.3">
      <c r="L264" s="198"/>
      <c r="M264" s="198"/>
      <c r="N264"/>
      <c r="O264"/>
      <c r="S264"/>
      <c r="U264" s="266"/>
    </row>
    <row r="265" spans="12:21" x14ac:dyDescent="0.3">
      <c r="L265"/>
      <c r="M265" s="65"/>
      <c r="N265"/>
      <c r="O265"/>
      <c r="S265"/>
      <c r="U265" s="266"/>
    </row>
    <row r="266" spans="12:21" x14ac:dyDescent="0.3">
      <c r="L266"/>
      <c r="M266" s="65"/>
      <c r="N266"/>
      <c r="O266"/>
      <c r="S266"/>
      <c r="U266" s="266"/>
    </row>
    <row r="267" spans="12:21" x14ac:dyDescent="0.3">
      <c r="L267"/>
      <c r="M267" s="65"/>
      <c r="N267"/>
      <c r="O267"/>
      <c r="S267"/>
      <c r="U267"/>
    </row>
    <row r="268" spans="12:21" x14ac:dyDescent="0.3">
      <c r="L268"/>
      <c r="M268" s="65"/>
      <c r="N268"/>
      <c r="O268"/>
      <c r="S268"/>
      <c r="U268" s="65"/>
    </row>
    <row r="269" spans="12:21" x14ac:dyDescent="0.3">
      <c r="L269"/>
      <c r="M269" s="65"/>
      <c r="N269"/>
      <c r="O269"/>
      <c r="S269"/>
      <c r="U269"/>
    </row>
    <row r="270" spans="12:21" x14ac:dyDescent="0.3">
      <c r="L270"/>
      <c r="M270" s="65"/>
      <c r="N270"/>
      <c r="O270"/>
      <c r="S270"/>
      <c r="U270" s="65"/>
    </row>
    <row r="271" spans="12:21" x14ac:dyDescent="0.3">
      <c r="L271"/>
      <c r="M271" s="65"/>
      <c r="N271"/>
      <c r="O271"/>
      <c r="S271"/>
      <c r="U271" s="65"/>
    </row>
    <row r="272" spans="12:21" x14ac:dyDescent="0.3">
      <c r="L272"/>
      <c r="M272" s="65"/>
      <c r="N272"/>
      <c r="O272"/>
      <c r="S272"/>
      <c r="U272" s="65"/>
    </row>
    <row r="273" spans="12:21" x14ac:dyDescent="0.3">
      <c r="L273"/>
      <c r="M273" s="65"/>
      <c r="N273"/>
      <c r="O273"/>
      <c r="S273"/>
      <c r="U273" s="65"/>
    </row>
    <row r="274" spans="12:21" x14ac:dyDescent="0.3">
      <c r="L274"/>
      <c r="M274" s="65"/>
      <c r="N274"/>
      <c r="O274"/>
    </row>
    <row r="275" spans="12:21" x14ac:dyDescent="0.3">
      <c r="L275"/>
      <c r="M275" s="65"/>
      <c r="N275"/>
      <c r="O275"/>
      <c r="P275"/>
      <c r="Q275"/>
    </row>
  </sheetData>
  <mergeCells count="39">
    <mergeCell ref="DD71:DD73"/>
    <mergeCell ref="DE71:DE73"/>
    <mergeCell ref="AI3:AI4"/>
    <mergeCell ref="AH3:AH4"/>
    <mergeCell ref="EB10:EF10"/>
    <mergeCell ref="EB24:EF24"/>
    <mergeCell ref="DE46:DE48"/>
    <mergeCell ref="DD46:DD48"/>
    <mergeCell ref="S3:T3"/>
    <mergeCell ref="U3:V3"/>
    <mergeCell ref="X3:Y3"/>
    <mergeCell ref="AC3:AD3"/>
    <mergeCell ref="AE3:AG3"/>
    <mergeCell ref="E3:E4"/>
    <mergeCell ref="I3:J3"/>
    <mergeCell ref="K3:L3"/>
    <mergeCell ref="M3:O3"/>
    <mergeCell ref="P3:R3"/>
    <mergeCell ref="EY95:FC95"/>
    <mergeCell ref="EY54:FB54"/>
    <mergeCell ref="FD54:FG54"/>
    <mergeCell ref="EB38:EF38"/>
    <mergeCell ref="EB52:EF52"/>
    <mergeCell ref="EB66:EF66"/>
    <mergeCell ref="EY76:FA76"/>
    <mergeCell ref="FC76:FE76"/>
    <mergeCell ref="FF76:FG76"/>
    <mergeCell ref="E189:E190"/>
    <mergeCell ref="I189:J189"/>
    <mergeCell ref="K189:L189"/>
    <mergeCell ref="M189:O189"/>
    <mergeCell ref="P189:R189"/>
    <mergeCell ref="AH189:AH190"/>
    <mergeCell ref="AI189:AI190"/>
    <mergeCell ref="S189:T189"/>
    <mergeCell ref="U189:V189"/>
    <mergeCell ref="X189:Y189"/>
    <mergeCell ref="AC189:AD189"/>
    <mergeCell ref="AE189:AG189"/>
  </mergeCells>
  <pageMargins left="0.7" right="0.7" top="0.75" bottom="0.75" header="0.3" footer="0.3"/>
  <pageSetup orientation="portrait" horizontalDpi="4294967293" verticalDpi="4294967293"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JI91"/>
  <sheetViews>
    <sheetView topLeftCell="BH1" zoomScaleNormal="100" workbookViewId="0">
      <pane ySplit="3" topLeftCell="A59" activePane="bottomLeft" state="frozen"/>
      <selection activeCell="U1" sqref="U1"/>
      <selection pane="bottomLeft" activeCell="BX88" sqref="BX88"/>
    </sheetView>
  </sheetViews>
  <sheetFormatPr defaultRowHeight="14.4" x14ac:dyDescent="0.3"/>
  <cols>
    <col min="2" max="2" width="16.109375" customWidth="1"/>
    <col min="3" max="3" width="9.109375" style="198"/>
    <col min="7" max="7" width="10" bestFit="1" customWidth="1"/>
    <col min="14" max="14" width="9.109375" style="198"/>
    <col min="16" max="16" width="9.109375" style="198"/>
    <col min="19" max="19" width="11.44140625" customWidth="1"/>
    <col min="58" max="58" width="9.109375" style="87"/>
    <col min="80" max="90" width="9.33203125" style="116" bestFit="1" customWidth="1"/>
    <col min="91" max="91" width="9.109375" style="116"/>
    <col min="92" max="94" width="9.33203125" style="116" bestFit="1" customWidth="1"/>
    <col min="95" max="95" width="9.88671875" style="116" bestFit="1" customWidth="1"/>
    <col min="96" max="97" width="9.33203125" style="116" bestFit="1" customWidth="1"/>
    <col min="113" max="113" width="15.88671875" customWidth="1"/>
    <col min="114" max="114" width="16.5546875" customWidth="1"/>
    <col min="128" max="128" width="6" customWidth="1"/>
    <col min="129" max="129" width="11.109375" customWidth="1"/>
    <col min="130" max="130" width="11.33203125" customWidth="1"/>
    <col min="131" max="131" width="10.88671875" customWidth="1"/>
    <col min="132" max="132" width="10.109375" customWidth="1"/>
    <col min="133" max="133" width="15" customWidth="1"/>
    <col min="134" max="134" width="9.109375" customWidth="1"/>
    <col min="136" max="136" width="6" customWidth="1"/>
    <col min="137" max="137" width="10" customWidth="1"/>
    <col min="143" max="143" width="6" customWidth="1"/>
    <col min="144" max="144" width="12.33203125" customWidth="1"/>
    <col min="145" max="145" width="10" customWidth="1"/>
    <col min="146" max="147" width="11.109375" customWidth="1"/>
    <col min="148" max="148" width="6" customWidth="1"/>
    <col min="149" max="149" width="12.109375" customWidth="1"/>
    <col min="150" max="150" width="11.109375" customWidth="1"/>
    <col min="151" max="151" width="6.6640625" customWidth="1"/>
    <col min="152" max="152" width="1.6640625" customWidth="1"/>
    <col min="153" max="153" width="11.109375" customWidth="1"/>
    <col min="154" max="154" width="14.88671875" customWidth="1"/>
    <col min="155" max="155" width="7.109375" customWidth="1"/>
    <col min="156" max="156" width="1.6640625" customWidth="1"/>
    <col min="157" max="157" width="9" customWidth="1"/>
    <col min="159" max="159" width="6.44140625" customWidth="1"/>
    <col min="160" max="160" width="11.44140625" customWidth="1"/>
    <col min="161" max="161" width="10.33203125" customWidth="1"/>
    <col min="162" max="162" width="10.109375" customWidth="1"/>
    <col min="163" max="163" width="10.5546875" customWidth="1"/>
    <col min="165" max="165" width="10" customWidth="1"/>
    <col min="173" max="173" width="10.33203125" customWidth="1"/>
    <col min="180" max="180" width="8.88671875" customWidth="1"/>
    <col min="182" max="182" width="6.44140625" customWidth="1"/>
    <col min="187" max="187" width="10.44140625" customWidth="1"/>
    <col min="189" max="189" width="6.44140625" customWidth="1"/>
    <col min="190" max="191" width="9.109375" customWidth="1"/>
    <col min="192" max="192" width="1.6640625" customWidth="1"/>
    <col min="195" max="195" width="1.6640625" customWidth="1"/>
    <col min="198" max="198" width="1.6640625" customWidth="1"/>
    <col min="201" max="201" width="1.6640625" customWidth="1"/>
    <col min="205" max="205" width="6.44140625" customWidth="1"/>
    <col min="208" max="208" width="1.6640625" customWidth="1"/>
    <col min="211" max="211" width="1.6640625" customWidth="1"/>
    <col min="214" max="214" width="1.6640625" customWidth="1"/>
    <col min="218" max="218" width="6.44140625" customWidth="1"/>
    <col min="220" max="220" width="9.109375" customWidth="1"/>
    <col min="221" max="221" width="1.6640625" customWidth="1"/>
    <col min="224" max="224" width="1.6640625" customWidth="1"/>
    <col min="226" max="226" width="10.109375" bestFit="1" customWidth="1"/>
    <col min="227" max="227" width="1.6640625" customWidth="1"/>
    <col min="230" max="230" width="1.6640625" customWidth="1"/>
    <col min="233" max="233" width="1.6640625" customWidth="1"/>
    <col min="250" max="250" width="10.5546875" bestFit="1" customWidth="1"/>
  </cols>
  <sheetData>
    <row r="1" spans="2:269" ht="15" thickBot="1" x14ac:dyDescent="0.35">
      <c r="C1" s="198" t="s">
        <v>800</v>
      </c>
      <c r="W1" s="50" t="s">
        <v>47</v>
      </c>
      <c r="AC1" t="s">
        <v>78</v>
      </c>
      <c r="AT1" t="s">
        <v>44</v>
      </c>
      <c r="BG1" t="s">
        <v>110</v>
      </c>
      <c r="BR1" t="s">
        <v>109</v>
      </c>
      <c r="BS1" t="s">
        <v>133</v>
      </c>
      <c r="CB1" s="116" t="s">
        <v>132</v>
      </c>
    </row>
    <row r="2" spans="2:269" ht="37.5" customHeight="1" thickBot="1" x14ac:dyDescent="0.35">
      <c r="B2" s="191"/>
      <c r="C2" s="198" t="s">
        <v>180</v>
      </c>
      <c r="D2" t="s">
        <v>182</v>
      </c>
      <c r="F2" t="s">
        <v>183</v>
      </c>
      <c r="G2" t="s">
        <v>184</v>
      </c>
      <c r="I2" t="s">
        <v>88</v>
      </c>
      <c r="J2" t="s">
        <v>188</v>
      </c>
      <c r="M2" t="s">
        <v>191</v>
      </c>
      <c r="N2" s="216" t="s">
        <v>192</v>
      </c>
      <c r="P2" s="216" t="s">
        <v>194</v>
      </c>
      <c r="R2" s="87" t="s">
        <v>188</v>
      </c>
      <c r="S2" t="s">
        <v>196</v>
      </c>
      <c r="U2" t="s">
        <v>5</v>
      </c>
      <c r="W2" s="43" t="s">
        <v>3</v>
      </c>
      <c r="X2" s="44" t="s">
        <v>42</v>
      </c>
      <c r="Y2" s="44" t="s">
        <v>43</v>
      </c>
      <c r="Z2" s="44" t="s">
        <v>44</v>
      </c>
      <c r="AA2" s="45" t="s">
        <v>45</v>
      </c>
      <c r="AC2" s="507" t="s">
        <v>67</v>
      </c>
      <c r="AD2" s="507" t="s">
        <v>68</v>
      </c>
      <c r="AE2" s="509" t="s">
        <v>69</v>
      </c>
      <c r="AF2" s="511" t="s">
        <v>70</v>
      </c>
      <c r="AG2" s="511" t="s">
        <v>71</v>
      </c>
      <c r="AH2" s="513" t="s">
        <v>72</v>
      </c>
      <c r="AI2" s="514"/>
      <c r="AJ2" s="514"/>
      <c r="AK2" s="515"/>
      <c r="AR2" s="71"/>
      <c r="AT2" s="507" t="s">
        <v>67</v>
      </c>
      <c r="AU2" s="507" t="s">
        <v>68</v>
      </c>
      <c r="AV2" s="509" t="s">
        <v>69</v>
      </c>
      <c r="AW2" s="511" t="s">
        <v>70</v>
      </c>
      <c r="AX2" s="511" t="s">
        <v>71</v>
      </c>
      <c r="AY2" s="513" t="s">
        <v>72</v>
      </c>
      <c r="AZ2" s="514"/>
      <c r="BA2" s="514"/>
      <c r="BB2" s="515"/>
      <c r="BF2" s="518" t="s">
        <v>3</v>
      </c>
      <c r="BG2" s="520" t="s">
        <v>80</v>
      </c>
      <c r="BH2" s="520"/>
      <c r="BI2" s="81" t="s">
        <v>81</v>
      </c>
      <c r="BJ2" t="s">
        <v>98</v>
      </c>
      <c r="BM2" s="81" t="s">
        <v>81</v>
      </c>
      <c r="BN2" s="82" t="s">
        <v>82</v>
      </c>
      <c r="BO2" s="82" t="s">
        <v>84</v>
      </c>
      <c r="BP2" s="82" t="s">
        <v>5</v>
      </c>
      <c r="BR2" s="82" t="s">
        <v>108</v>
      </c>
      <c r="CB2" s="516" t="s">
        <v>111</v>
      </c>
      <c r="CC2" s="516"/>
      <c r="CD2" s="516"/>
      <c r="CE2" s="516"/>
      <c r="CF2" s="516"/>
      <c r="CG2" s="517" t="s">
        <v>112</v>
      </c>
      <c r="CH2" s="517"/>
      <c r="CI2" s="517"/>
      <c r="CJ2" s="113"/>
      <c r="CK2" s="117" t="s">
        <v>113</v>
      </c>
      <c r="CL2" s="113"/>
      <c r="CM2" s="517" t="s">
        <v>114</v>
      </c>
      <c r="CN2" s="517"/>
      <c r="CO2" s="517"/>
      <c r="CP2" s="517"/>
      <c r="CQ2" s="118" t="s">
        <v>115</v>
      </c>
      <c r="CR2" s="107"/>
      <c r="CS2" s="107"/>
      <c r="CU2" t="s">
        <v>129</v>
      </c>
      <c r="DX2" s="527" t="s">
        <v>730</v>
      </c>
      <c r="DY2" s="527"/>
      <c r="DZ2" s="527"/>
      <c r="EA2" s="527"/>
      <c r="EB2" s="527"/>
      <c r="EC2" s="527"/>
      <c r="ED2" s="527"/>
      <c r="EF2" s="526" t="s">
        <v>748</v>
      </c>
      <c r="EG2" s="526"/>
      <c r="EH2" s="526"/>
      <c r="EI2" s="526"/>
      <c r="EJ2" s="526"/>
      <c r="EK2" s="526"/>
      <c r="EM2" s="525" t="s">
        <v>746</v>
      </c>
      <c r="EN2" s="525"/>
      <c r="EO2" s="525"/>
      <c r="EP2" s="525"/>
      <c r="EQ2" s="353"/>
      <c r="ER2" s="524" t="s">
        <v>734</v>
      </c>
      <c r="ES2" s="524"/>
      <c r="ET2" s="524"/>
      <c r="EU2" s="524"/>
      <c r="EV2" s="524"/>
      <c r="EW2" s="524"/>
      <c r="EX2" s="524"/>
      <c r="EY2" s="524"/>
      <c r="EZ2" s="524"/>
      <c r="FA2" s="524"/>
      <c r="FC2" s="524" t="s">
        <v>725</v>
      </c>
      <c r="FD2" s="524"/>
      <c r="FE2" s="524"/>
      <c r="FF2" s="524"/>
      <c r="FG2" s="524"/>
      <c r="FH2" s="524"/>
      <c r="FI2" s="524"/>
      <c r="FJ2" s="524"/>
      <c r="FK2" s="524"/>
      <c r="FL2" s="524"/>
      <c r="FM2" s="524"/>
      <c r="FN2" s="524"/>
      <c r="FO2" s="524"/>
      <c r="FP2" s="524"/>
      <c r="FQ2" s="524"/>
      <c r="FR2" s="524"/>
      <c r="FS2" s="524"/>
      <c r="FT2" s="524"/>
      <c r="FU2" s="524"/>
      <c r="FV2" s="524"/>
      <c r="FW2" s="524"/>
      <c r="FX2" s="524"/>
      <c r="FZ2" t="s">
        <v>745</v>
      </c>
      <c r="GG2" s="526" t="s">
        <v>744</v>
      </c>
      <c r="GH2" s="526"/>
      <c r="GI2" s="526"/>
      <c r="GJ2" s="526"/>
      <c r="GK2" s="526"/>
      <c r="GL2" s="526"/>
      <c r="GM2" s="526"/>
      <c r="GN2" s="526"/>
      <c r="GO2" s="526"/>
      <c r="GP2" s="526"/>
      <c r="GQ2" s="526"/>
      <c r="GR2" s="526"/>
      <c r="GS2" s="526"/>
      <c r="GT2" s="526"/>
      <c r="GU2" s="526"/>
      <c r="GW2" s="524" t="s">
        <v>747</v>
      </c>
      <c r="GX2" s="524"/>
      <c r="GY2" s="524"/>
      <c r="GZ2" s="524"/>
      <c r="HA2" s="524"/>
      <c r="HB2" s="524"/>
      <c r="HC2" s="524"/>
      <c r="HD2" s="524"/>
      <c r="HE2" s="524"/>
      <c r="HF2" s="524"/>
      <c r="HG2" s="524"/>
      <c r="HH2" s="524"/>
      <c r="HJ2" s="540" t="s">
        <v>749</v>
      </c>
      <c r="HK2" s="540"/>
      <c r="HL2" s="540"/>
      <c r="HM2" s="540"/>
      <c r="HN2" s="540"/>
      <c r="HO2" s="540"/>
      <c r="HP2" s="540"/>
      <c r="HQ2" s="540"/>
      <c r="HR2" s="540"/>
      <c r="HS2" s="540"/>
      <c r="HT2" s="540"/>
      <c r="HU2" s="540"/>
      <c r="HV2" s="540"/>
      <c r="HW2" s="540"/>
      <c r="HX2" s="540"/>
      <c r="HY2" s="540"/>
      <c r="HZ2" s="540"/>
      <c r="IA2" s="540"/>
      <c r="IC2" s="540" t="s">
        <v>755</v>
      </c>
      <c r="ID2" s="540"/>
      <c r="IE2" s="540"/>
      <c r="IF2" s="540"/>
      <c r="IG2" s="540"/>
      <c r="IH2" s="540"/>
      <c r="II2" s="540"/>
      <c r="IJ2" s="540"/>
      <c r="IK2" s="540"/>
      <c r="IL2" s="540"/>
      <c r="IM2" s="540"/>
      <c r="IN2" s="540"/>
      <c r="IO2" s="540"/>
      <c r="IP2" s="540"/>
      <c r="IQ2" s="540"/>
      <c r="IR2" s="540"/>
      <c r="IS2" s="540"/>
      <c r="IT2" s="540"/>
      <c r="IU2" s="540"/>
      <c r="IV2" s="540"/>
      <c r="IW2" s="540"/>
      <c r="IX2" s="540"/>
      <c r="IY2" s="540"/>
      <c r="IZ2" s="540"/>
      <c r="JA2" s="540"/>
      <c r="JB2" s="540"/>
      <c r="JC2" s="540"/>
      <c r="JD2" s="540"/>
      <c r="JE2" s="540"/>
      <c r="JF2" s="540"/>
      <c r="JG2" s="540"/>
      <c r="JH2" s="540"/>
      <c r="JI2" s="540"/>
    </row>
    <row r="3" spans="2:269" ht="27" thickBot="1" x14ac:dyDescent="0.35">
      <c r="B3" t="s">
        <v>3</v>
      </c>
      <c r="C3" s="198" t="s">
        <v>85</v>
      </c>
      <c r="D3" t="s">
        <v>181</v>
      </c>
      <c r="E3" t="s">
        <v>87</v>
      </c>
      <c r="F3" t="s">
        <v>85</v>
      </c>
      <c r="G3" t="s">
        <v>185</v>
      </c>
      <c r="H3" t="s">
        <v>186</v>
      </c>
      <c r="I3" t="s">
        <v>187</v>
      </c>
      <c r="J3" t="s">
        <v>85</v>
      </c>
      <c r="M3" t="s">
        <v>187</v>
      </c>
      <c r="N3" s="198" t="s">
        <v>185</v>
      </c>
      <c r="O3" t="s">
        <v>193</v>
      </c>
      <c r="P3" s="198" t="s">
        <v>185</v>
      </c>
      <c r="Q3" t="s">
        <v>193</v>
      </c>
      <c r="R3" s="198" t="s">
        <v>195</v>
      </c>
      <c r="S3" t="s">
        <v>197</v>
      </c>
      <c r="U3" t="s">
        <v>201</v>
      </c>
      <c r="AC3" s="508"/>
      <c r="AD3" s="508"/>
      <c r="AE3" s="510"/>
      <c r="AF3" s="512"/>
      <c r="AG3" s="512"/>
      <c r="AH3" s="57" t="s">
        <v>73</v>
      </c>
      <c r="AI3" s="57" t="s">
        <v>74</v>
      </c>
      <c r="AJ3" s="58" t="s">
        <v>75</v>
      </c>
      <c r="AK3" s="58" t="s">
        <v>76</v>
      </c>
      <c r="AR3" s="72"/>
      <c r="AT3" s="508"/>
      <c r="AU3" s="508"/>
      <c r="AV3" s="510"/>
      <c r="AW3" s="512"/>
      <c r="AX3" s="512"/>
      <c r="AY3" s="57" t="s">
        <v>73</v>
      </c>
      <c r="AZ3" s="57" t="s">
        <v>74</v>
      </c>
      <c r="BA3" s="58" t="s">
        <v>75</v>
      </c>
      <c r="BB3" s="58" t="s">
        <v>76</v>
      </c>
      <c r="BF3" s="519"/>
      <c r="BG3" s="84" t="s">
        <v>86</v>
      </c>
      <c r="BH3" s="83" t="s">
        <v>87</v>
      </c>
      <c r="BI3" s="83" t="s">
        <v>88</v>
      </c>
      <c r="BJ3" s="83" t="s">
        <v>2</v>
      </c>
      <c r="BK3" s="83" t="s">
        <v>99</v>
      </c>
      <c r="BL3" s="83" t="s">
        <v>1</v>
      </c>
      <c r="BM3" s="83" t="s">
        <v>0</v>
      </c>
      <c r="BN3" s="83" t="s">
        <v>83</v>
      </c>
      <c r="BO3" s="83" t="s">
        <v>85</v>
      </c>
      <c r="BP3" s="83" t="s">
        <v>85</v>
      </c>
      <c r="BR3" s="56" t="s">
        <v>3</v>
      </c>
      <c r="BS3" s="88" t="s">
        <v>100</v>
      </c>
      <c r="BT3" s="89" t="s">
        <v>101</v>
      </c>
      <c r="BU3" s="89" t="s">
        <v>102</v>
      </c>
      <c r="BV3" s="89" t="s">
        <v>103</v>
      </c>
      <c r="BW3" s="89" t="s">
        <v>104</v>
      </c>
      <c r="BX3" s="90" t="s">
        <v>105</v>
      </c>
      <c r="BY3" s="90" t="s">
        <v>106</v>
      </c>
      <c r="BZ3" s="91" t="s">
        <v>5</v>
      </c>
      <c r="CB3" s="119" t="s">
        <v>116</v>
      </c>
      <c r="CC3" s="120" t="s">
        <v>117</v>
      </c>
      <c r="CD3" s="121" t="s">
        <v>118</v>
      </c>
      <c r="CE3" s="121" t="s">
        <v>119</v>
      </c>
      <c r="CF3" s="121" t="s">
        <v>120</v>
      </c>
      <c r="CG3" s="121" t="s">
        <v>117</v>
      </c>
      <c r="CH3" s="121" t="s">
        <v>118</v>
      </c>
      <c r="CI3" s="121" t="s">
        <v>120</v>
      </c>
      <c r="CJ3" s="121" t="s">
        <v>117</v>
      </c>
      <c r="CK3" s="121" t="s">
        <v>118</v>
      </c>
      <c r="CL3" s="121" t="s">
        <v>120</v>
      </c>
      <c r="CM3" s="114"/>
      <c r="CN3" s="121" t="s">
        <v>121</v>
      </c>
      <c r="CO3" s="121" t="s">
        <v>122</v>
      </c>
      <c r="CP3" s="121" t="s">
        <v>120</v>
      </c>
      <c r="CQ3" s="122" t="s">
        <v>125</v>
      </c>
      <c r="CR3" s="123" t="s">
        <v>126</v>
      </c>
      <c r="CS3" s="119" t="s">
        <v>116</v>
      </c>
      <c r="CU3" t="s">
        <v>130</v>
      </c>
      <c r="DX3" s="521" t="s">
        <v>716</v>
      </c>
      <c r="DY3" s="522"/>
      <c r="DZ3" s="522"/>
      <c r="EA3" s="522"/>
      <c r="EB3" s="522"/>
      <c r="EC3" s="522"/>
      <c r="ED3" s="523"/>
      <c r="EF3" s="521" t="s">
        <v>169</v>
      </c>
      <c r="EG3" s="522"/>
      <c r="EH3" s="522"/>
      <c r="EI3" s="522"/>
      <c r="EJ3" s="522"/>
      <c r="EK3" s="523"/>
      <c r="EM3" s="521" t="s">
        <v>430</v>
      </c>
      <c r="EN3" s="522"/>
      <c r="EO3" s="522"/>
      <c r="EP3" s="523"/>
      <c r="EQ3" s="17"/>
      <c r="ER3" s="521" t="s">
        <v>733</v>
      </c>
      <c r="ES3" s="522"/>
      <c r="ET3" s="522"/>
      <c r="EU3" s="522"/>
      <c r="EV3" s="522"/>
      <c r="EW3" s="522"/>
      <c r="EX3" s="522"/>
      <c r="EY3" s="522"/>
      <c r="EZ3" s="522"/>
      <c r="FA3" s="523"/>
      <c r="FC3" s="521" t="s">
        <v>724</v>
      </c>
      <c r="FD3" s="522"/>
      <c r="FE3" s="522"/>
      <c r="FF3" s="522"/>
      <c r="FG3" s="522"/>
      <c r="FH3" s="522"/>
      <c r="FI3" s="522"/>
      <c r="FJ3" s="522"/>
      <c r="FK3" s="522"/>
      <c r="FL3" s="522"/>
      <c r="FM3" s="522"/>
      <c r="FN3" s="522"/>
      <c r="FO3" s="522"/>
      <c r="FP3" s="522"/>
      <c r="FQ3" s="522"/>
      <c r="FR3" s="522"/>
      <c r="FS3" s="522"/>
      <c r="FT3" s="522"/>
      <c r="FU3" s="522"/>
      <c r="FV3" s="522"/>
      <c r="FW3" s="522"/>
      <c r="FX3" s="523"/>
      <c r="FZ3" s="521" t="s">
        <v>728</v>
      </c>
      <c r="GA3" s="522"/>
      <c r="GB3" s="522"/>
      <c r="GC3" s="522"/>
      <c r="GD3" s="522"/>
      <c r="GE3" s="523"/>
      <c r="GG3" s="521" t="s">
        <v>739</v>
      </c>
      <c r="GH3" s="522"/>
      <c r="GI3" s="522"/>
      <c r="GJ3" s="522"/>
      <c r="GK3" s="522"/>
      <c r="GL3" s="522"/>
      <c r="GM3" s="522"/>
      <c r="GN3" s="522"/>
      <c r="GO3" s="522"/>
      <c r="GP3" s="522"/>
      <c r="GQ3" s="522"/>
      <c r="GR3" s="522"/>
      <c r="GS3" s="522"/>
      <c r="GT3" s="522"/>
      <c r="GU3" s="523"/>
      <c r="GW3" s="521" t="s">
        <v>743</v>
      </c>
      <c r="GX3" s="522"/>
      <c r="GY3" s="522"/>
      <c r="GZ3" s="522"/>
      <c r="HA3" s="522"/>
      <c r="HB3" s="522"/>
      <c r="HC3" s="522"/>
      <c r="HD3" s="522"/>
      <c r="HE3" s="522"/>
      <c r="HF3" s="522"/>
      <c r="HG3" s="522"/>
      <c r="HH3" s="523"/>
      <c r="HJ3" s="521" t="s">
        <v>754</v>
      </c>
      <c r="HK3" s="522"/>
      <c r="HL3" s="522"/>
      <c r="HM3" s="522"/>
      <c r="HN3" s="522"/>
      <c r="HO3" s="522"/>
      <c r="HP3" s="522"/>
      <c r="HQ3" s="522"/>
      <c r="HR3" s="522"/>
      <c r="HS3" s="522"/>
      <c r="HT3" s="522"/>
      <c r="HU3" s="522"/>
      <c r="HV3" s="522"/>
      <c r="HW3" s="522"/>
      <c r="HX3" s="522"/>
      <c r="HY3" s="522"/>
      <c r="HZ3" s="522"/>
      <c r="IA3" s="523"/>
      <c r="IC3" s="521" t="s">
        <v>771</v>
      </c>
      <c r="ID3" s="522"/>
      <c r="IE3" s="522"/>
      <c r="IF3" s="522"/>
      <c r="IG3" s="522"/>
      <c r="IH3" s="522"/>
      <c r="II3" s="522"/>
      <c r="IJ3" s="522"/>
      <c r="IK3" s="522"/>
      <c r="IL3" s="522"/>
      <c r="IM3" s="522"/>
      <c r="IN3" s="522"/>
      <c r="IO3" s="522"/>
      <c r="IP3" s="522"/>
      <c r="IQ3" s="522"/>
      <c r="IR3" s="522"/>
      <c r="IS3" s="522"/>
      <c r="IT3" s="522"/>
      <c r="IU3" s="522"/>
      <c r="IV3" s="522"/>
      <c r="IW3" s="522"/>
      <c r="IX3" s="522"/>
      <c r="IY3" s="522"/>
      <c r="IZ3" s="522"/>
      <c r="JA3" s="522"/>
      <c r="JB3" s="522"/>
      <c r="JC3" s="522"/>
      <c r="JD3" s="522"/>
      <c r="JE3" s="522"/>
      <c r="JF3" s="522"/>
      <c r="JG3" s="522"/>
      <c r="JH3" s="522"/>
      <c r="JI3" s="523"/>
    </row>
    <row r="4" spans="2:269" ht="15" x14ac:dyDescent="0.3">
      <c r="B4" t="s">
        <v>179</v>
      </c>
      <c r="C4" s="194">
        <v>71.599999999999994</v>
      </c>
      <c r="D4" s="194">
        <v>10.1</v>
      </c>
      <c r="E4" s="194">
        <v>2.6</v>
      </c>
      <c r="F4" s="194">
        <v>58.9</v>
      </c>
      <c r="G4" s="193">
        <v>18.2</v>
      </c>
      <c r="H4" s="192">
        <v>31</v>
      </c>
      <c r="I4" s="193">
        <v>38.299999999999997</v>
      </c>
      <c r="J4" s="194">
        <v>2.1</v>
      </c>
      <c r="L4" s="105">
        <v>1980</v>
      </c>
      <c r="M4" s="201">
        <v>26973</v>
      </c>
      <c r="N4" s="78">
        <v>1954</v>
      </c>
      <c r="O4" s="202">
        <v>7</v>
      </c>
      <c r="P4" s="78">
        <v>8302</v>
      </c>
      <c r="Q4" s="203">
        <v>31</v>
      </c>
      <c r="R4" s="204">
        <v>1024</v>
      </c>
      <c r="S4" s="205" t="s">
        <v>190</v>
      </c>
      <c r="AR4" s="73"/>
      <c r="AT4" s="66">
        <v>1970</v>
      </c>
      <c r="AU4" s="66">
        <v>2857</v>
      </c>
      <c r="AV4" s="67">
        <v>0.997</v>
      </c>
      <c r="AW4" s="67">
        <v>0.623</v>
      </c>
      <c r="AX4" s="66">
        <v>4705</v>
      </c>
      <c r="AY4" s="68">
        <v>0</v>
      </c>
      <c r="AZ4" s="68">
        <v>0.51</v>
      </c>
      <c r="BA4" s="68">
        <v>0.48</v>
      </c>
      <c r="BB4" s="68">
        <v>0.01</v>
      </c>
      <c r="BC4" s="69">
        <v>0</v>
      </c>
      <c r="BF4" s="82">
        <v>1938</v>
      </c>
      <c r="BG4" s="85">
        <v>1.3</v>
      </c>
      <c r="BH4" s="86" t="s">
        <v>81</v>
      </c>
      <c r="BI4" s="86" t="s">
        <v>81</v>
      </c>
      <c r="BJ4" s="86" t="s">
        <v>81</v>
      </c>
      <c r="BK4" s="86"/>
      <c r="BL4" s="86" t="s">
        <v>81</v>
      </c>
      <c r="BM4" s="86" t="s">
        <v>81</v>
      </c>
      <c r="BN4" s="85">
        <v>1.3</v>
      </c>
      <c r="BO4" s="85">
        <v>117.1</v>
      </c>
      <c r="BP4" s="85">
        <v>118.4</v>
      </c>
      <c r="BR4" s="92"/>
      <c r="BS4" s="93"/>
      <c r="BT4" s="94"/>
      <c r="BU4" s="94"/>
      <c r="BV4" s="94"/>
      <c r="BW4" s="94"/>
      <c r="BX4" s="94"/>
      <c r="BY4" s="95"/>
      <c r="BZ4" s="96"/>
      <c r="DY4" s="485" t="s">
        <v>418</v>
      </c>
      <c r="DZ4" s="485"/>
      <c r="EA4" s="485"/>
      <c r="EB4" s="485"/>
      <c r="EC4" s="485"/>
      <c r="ED4" s="485"/>
      <c r="EE4" s="87"/>
      <c r="EG4" s="198" t="s">
        <v>6</v>
      </c>
      <c r="EH4" s="485" t="s">
        <v>719</v>
      </c>
      <c r="EI4" s="485"/>
      <c r="EJ4" s="198" t="s">
        <v>6</v>
      </c>
      <c r="EK4" s="198" t="s">
        <v>525</v>
      </c>
      <c r="EL4" s="87"/>
      <c r="EN4" s="87"/>
      <c r="EO4" s="87"/>
      <c r="EP4" s="87"/>
      <c r="EQ4" s="87"/>
      <c r="ES4" s="485" t="s">
        <v>6</v>
      </c>
      <c r="ET4" s="485"/>
      <c r="EU4" s="485"/>
      <c r="EV4" s="87"/>
      <c r="EW4" s="485" t="s">
        <v>418</v>
      </c>
      <c r="EX4" s="485"/>
      <c r="EY4" s="485"/>
      <c r="EZ4" s="87"/>
      <c r="FA4" s="87" t="s">
        <v>5</v>
      </c>
      <c r="FD4" s="486" t="s">
        <v>517</v>
      </c>
      <c r="FE4" s="486"/>
      <c r="FF4" s="486" t="s">
        <v>518</v>
      </c>
      <c r="FG4" s="486"/>
      <c r="FH4" s="486" t="s">
        <v>519</v>
      </c>
      <c r="FI4" s="486"/>
      <c r="FJ4" s="486" t="s">
        <v>520</v>
      </c>
      <c r="FK4" s="486"/>
      <c r="FL4" s="486" t="s">
        <v>521</v>
      </c>
      <c r="FM4" s="486"/>
      <c r="FN4" s="486" t="s">
        <v>522</v>
      </c>
      <c r="FO4" s="486"/>
      <c r="FP4" s="486" t="s">
        <v>523</v>
      </c>
      <c r="FQ4" s="486"/>
      <c r="FR4" s="486" t="s">
        <v>524</v>
      </c>
      <c r="FS4" s="486"/>
      <c r="FT4" s="486" t="s">
        <v>8</v>
      </c>
      <c r="FU4" s="486"/>
      <c r="FV4" s="198" t="s">
        <v>525</v>
      </c>
      <c r="FW4" s="198" t="s">
        <v>530</v>
      </c>
      <c r="FX4" s="198" t="s">
        <v>530</v>
      </c>
      <c r="GA4" s="198" t="s">
        <v>426</v>
      </c>
      <c r="GB4" s="198" t="s">
        <v>528</v>
      </c>
      <c r="GC4" s="198"/>
      <c r="GH4" s="485" t="s">
        <v>736</v>
      </c>
      <c r="GI4" s="485"/>
      <c r="GK4" s="485" t="s">
        <v>737</v>
      </c>
      <c r="GL4" s="485"/>
      <c r="GN4" s="485" t="s">
        <v>526</v>
      </c>
      <c r="GO4" s="485"/>
      <c r="GQ4" s="485" t="s">
        <v>513</v>
      </c>
      <c r="GR4" s="485"/>
      <c r="GS4" s="324"/>
      <c r="GT4" s="485" t="s">
        <v>738</v>
      </c>
      <c r="GU4" s="485"/>
      <c r="GX4" s="485" t="s">
        <v>740</v>
      </c>
      <c r="GY4" s="485"/>
      <c r="HA4" s="485" t="s">
        <v>741</v>
      </c>
      <c r="HB4" s="485"/>
      <c r="HD4" s="485" t="s">
        <v>742</v>
      </c>
      <c r="HE4" s="485"/>
      <c r="HG4" s="485" t="s">
        <v>738</v>
      </c>
      <c r="HH4" s="485"/>
      <c r="HK4" s="485" t="s">
        <v>750</v>
      </c>
      <c r="HL4" s="485"/>
      <c r="HN4" s="485" t="s">
        <v>751</v>
      </c>
      <c r="HO4" s="485"/>
      <c r="HQ4" s="485" t="s">
        <v>752</v>
      </c>
      <c r="HR4" s="485"/>
      <c r="HT4" s="485" t="s">
        <v>531</v>
      </c>
      <c r="HU4" s="485"/>
      <c r="HW4" s="485" t="s">
        <v>753</v>
      </c>
      <c r="HX4" s="485"/>
      <c r="HY4" s="87"/>
      <c r="HZ4" s="485" t="s">
        <v>5</v>
      </c>
      <c r="IA4" s="485"/>
    </row>
    <row r="5" spans="2:269" ht="15" x14ac:dyDescent="0.3">
      <c r="B5" s="191" t="s">
        <v>171</v>
      </c>
      <c r="C5" s="194">
        <v>56.6</v>
      </c>
      <c r="D5" s="194">
        <v>5.4</v>
      </c>
      <c r="E5" s="194">
        <v>1.6</v>
      </c>
      <c r="F5" s="194">
        <v>49.5</v>
      </c>
      <c r="G5" s="193">
        <v>15.1</v>
      </c>
      <c r="H5" s="192">
        <v>32</v>
      </c>
      <c r="I5" s="193">
        <v>31.1</v>
      </c>
      <c r="J5" s="194">
        <v>3</v>
      </c>
      <c r="L5" s="105">
        <v>1981</v>
      </c>
      <c r="M5" s="201">
        <v>30057</v>
      </c>
      <c r="N5" s="78">
        <v>2241</v>
      </c>
      <c r="O5" s="202">
        <v>7</v>
      </c>
      <c r="P5" s="78">
        <v>9198</v>
      </c>
      <c r="Q5" s="203">
        <v>31</v>
      </c>
      <c r="R5" s="204">
        <v>1065</v>
      </c>
      <c r="S5" s="205" t="s">
        <v>190</v>
      </c>
      <c r="AR5" s="73"/>
      <c r="AT5" s="66">
        <v>1971</v>
      </c>
      <c r="AU5" s="66">
        <v>3451</v>
      </c>
      <c r="AV5" s="67">
        <v>0.89300000000000002</v>
      </c>
      <c r="AW5" s="67">
        <v>0.58799999999999997</v>
      </c>
      <c r="AX5" s="66">
        <v>4400</v>
      </c>
      <c r="AY5" s="68">
        <v>0</v>
      </c>
      <c r="AZ5" s="68">
        <v>0.61</v>
      </c>
      <c r="BA5" s="68">
        <v>0.38</v>
      </c>
      <c r="BB5" s="68">
        <v>0.01</v>
      </c>
      <c r="BC5" s="69">
        <v>0</v>
      </c>
      <c r="BF5" s="82">
        <v>1939</v>
      </c>
      <c r="BG5" s="85">
        <v>3.6</v>
      </c>
      <c r="BH5" s="86" t="s">
        <v>81</v>
      </c>
      <c r="BI5" s="86" t="s">
        <v>81</v>
      </c>
      <c r="BJ5" s="86" t="s">
        <v>81</v>
      </c>
      <c r="BK5" s="86"/>
      <c r="BL5" s="86" t="s">
        <v>81</v>
      </c>
      <c r="BM5" s="86" t="s">
        <v>81</v>
      </c>
      <c r="BN5" s="85">
        <v>3.6</v>
      </c>
      <c r="BO5" s="85">
        <v>151.9</v>
      </c>
      <c r="BP5" s="85">
        <v>155.5</v>
      </c>
      <c r="BR5" s="97"/>
      <c r="BS5" s="98"/>
      <c r="BT5" s="99"/>
      <c r="BU5" s="99"/>
      <c r="BV5" s="99"/>
      <c r="BW5" s="99"/>
      <c r="BX5" s="99"/>
      <c r="BY5" s="100"/>
      <c r="BZ5" s="101"/>
      <c r="DX5" s="324" t="s">
        <v>3</v>
      </c>
      <c r="DY5" s="354" t="s">
        <v>327</v>
      </c>
      <c r="DZ5" s="354" t="s">
        <v>474</v>
      </c>
      <c r="EA5" s="354" t="s">
        <v>611</v>
      </c>
      <c r="EB5" s="354" t="s">
        <v>44</v>
      </c>
      <c r="EC5" s="354" t="s">
        <v>333</v>
      </c>
      <c r="ED5" s="355" t="s">
        <v>5</v>
      </c>
      <c r="EE5" s="198"/>
      <c r="EF5" s="324" t="s">
        <v>3</v>
      </c>
      <c r="EG5" s="354" t="s">
        <v>720</v>
      </c>
      <c r="EH5" s="354" t="s">
        <v>6</v>
      </c>
      <c r="EI5" s="354" t="s">
        <v>418</v>
      </c>
      <c r="EJ5" s="354" t="s">
        <v>5</v>
      </c>
      <c r="EK5" s="354" t="s">
        <v>5</v>
      </c>
      <c r="EL5" s="198"/>
      <c r="EM5" s="324" t="s">
        <v>3</v>
      </c>
      <c r="EN5" s="354" t="s">
        <v>6</v>
      </c>
      <c r="EO5" s="354" t="s">
        <v>418</v>
      </c>
      <c r="EP5" s="354" t="s">
        <v>5</v>
      </c>
      <c r="EQ5" s="198"/>
      <c r="ER5" s="324" t="s">
        <v>3</v>
      </c>
      <c r="ES5" s="354" t="s">
        <v>169</v>
      </c>
      <c r="ET5" s="354" t="s">
        <v>731</v>
      </c>
      <c r="EU5" s="354" t="s">
        <v>5</v>
      </c>
      <c r="EV5" s="354"/>
      <c r="EW5" s="354" t="s">
        <v>169</v>
      </c>
      <c r="EX5" s="354" t="s">
        <v>732</v>
      </c>
      <c r="EY5" s="354" t="s">
        <v>5</v>
      </c>
      <c r="EZ5" s="354"/>
      <c r="FA5" s="354" t="s">
        <v>496</v>
      </c>
      <c r="FC5" s="354" t="s">
        <v>3</v>
      </c>
      <c r="FD5" s="354" t="s">
        <v>515</v>
      </c>
      <c r="FE5" s="354" t="s">
        <v>516</v>
      </c>
      <c r="FF5" s="354" t="s">
        <v>515</v>
      </c>
      <c r="FG5" s="354" t="s">
        <v>516</v>
      </c>
      <c r="FH5" s="354" t="s">
        <v>515</v>
      </c>
      <c r="FI5" s="354" t="s">
        <v>516</v>
      </c>
      <c r="FJ5" s="354" t="s">
        <v>515</v>
      </c>
      <c r="FK5" s="354" t="s">
        <v>516</v>
      </c>
      <c r="FL5" s="354" t="s">
        <v>515</v>
      </c>
      <c r="FM5" s="354" t="s">
        <v>516</v>
      </c>
      <c r="FN5" s="354" t="s">
        <v>515</v>
      </c>
      <c r="FO5" s="354" t="s">
        <v>516</v>
      </c>
      <c r="FP5" s="354" t="s">
        <v>515</v>
      </c>
      <c r="FQ5" s="354" t="s">
        <v>516</v>
      </c>
      <c r="FR5" s="354" t="s">
        <v>515</v>
      </c>
      <c r="FS5" s="354" t="s">
        <v>516</v>
      </c>
      <c r="FT5" s="354" t="s">
        <v>515</v>
      </c>
      <c r="FU5" s="354" t="s">
        <v>516</v>
      </c>
      <c r="FV5" s="354" t="s">
        <v>5</v>
      </c>
      <c r="FW5" s="354" t="s">
        <v>515</v>
      </c>
      <c r="FX5" s="354" t="s">
        <v>516</v>
      </c>
      <c r="FZ5" s="354" t="s">
        <v>3</v>
      </c>
      <c r="GA5" s="354" t="s">
        <v>527</v>
      </c>
      <c r="GB5" s="354" t="s">
        <v>529</v>
      </c>
      <c r="GC5" s="354" t="s">
        <v>5</v>
      </c>
      <c r="GD5" s="354" t="s">
        <v>727</v>
      </c>
      <c r="GE5" s="354" t="s">
        <v>516</v>
      </c>
      <c r="GG5" s="354" t="s">
        <v>3</v>
      </c>
      <c r="GH5" s="354" t="s">
        <v>6</v>
      </c>
      <c r="GI5" s="354" t="s">
        <v>418</v>
      </c>
      <c r="GJ5" s="26"/>
      <c r="GK5" s="354" t="s">
        <v>6</v>
      </c>
      <c r="GL5" s="354" t="s">
        <v>418</v>
      </c>
      <c r="GM5" s="26"/>
      <c r="GN5" s="354" t="s">
        <v>6</v>
      </c>
      <c r="GO5" s="354" t="s">
        <v>418</v>
      </c>
      <c r="GP5" s="26"/>
      <c r="GQ5" s="354" t="s">
        <v>6</v>
      </c>
      <c r="GR5" s="354" t="s">
        <v>418</v>
      </c>
      <c r="GS5" s="354"/>
      <c r="GT5" s="354" t="s">
        <v>6</v>
      </c>
      <c r="GU5" s="354" t="s">
        <v>418</v>
      </c>
      <c r="GW5" s="354" t="s">
        <v>3</v>
      </c>
      <c r="GX5" s="354" t="s">
        <v>6</v>
      </c>
      <c r="GY5" s="354" t="s">
        <v>418</v>
      </c>
      <c r="GZ5" s="26"/>
      <c r="HA5" s="354" t="s">
        <v>6</v>
      </c>
      <c r="HB5" s="354" t="s">
        <v>418</v>
      </c>
      <c r="HC5" s="26"/>
      <c r="HD5" s="354" t="s">
        <v>6</v>
      </c>
      <c r="HE5" s="354" t="s">
        <v>418</v>
      </c>
      <c r="HF5" s="26"/>
      <c r="HG5" s="354" t="s">
        <v>6</v>
      </c>
      <c r="HH5" s="354" t="s">
        <v>418</v>
      </c>
      <c r="HJ5" s="354" t="s">
        <v>3</v>
      </c>
      <c r="HK5" s="354" t="s">
        <v>6</v>
      </c>
      <c r="HL5" s="354" t="s">
        <v>418</v>
      </c>
      <c r="HM5" s="26"/>
      <c r="HN5" s="354" t="s">
        <v>6</v>
      </c>
      <c r="HO5" s="354" t="s">
        <v>418</v>
      </c>
      <c r="HP5" s="26"/>
      <c r="HQ5" s="354" t="s">
        <v>6</v>
      </c>
      <c r="HR5" s="354" t="s">
        <v>418</v>
      </c>
      <c r="HS5" s="26"/>
      <c r="HT5" s="354" t="s">
        <v>6</v>
      </c>
      <c r="HU5" s="354" t="s">
        <v>418</v>
      </c>
      <c r="HV5" s="26"/>
      <c r="HW5" s="354" t="s">
        <v>6</v>
      </c>
      <c r="HX5" s="354" t="s">
        <v>418</v>
      </c>
      <c r="HY5" s="26"/>
      <c r="HZ5" s="354" t="s">
        <v>6</v>
      </c>
      <c r="IA5" s="354" t="s">
        <v>418</v>
      </c>
      <c r="IC5" s="359"/>
      <c r="ID5" s="360" t="s">
        <v>756</v>
      </c>
      <c r="IE5" s="150"/>
      <c r="IF5" s="528" t="s">
        <v>757</v>
      </c>
      <c r="IG5" s="529"/>
      <c r="IH5" s="529"/>
      <c r="II5" s="529"/>
      <c r="IJ5" s="529"/>
      <c r="IK5" s="529"/>
      <c r="IL5" s="530"/>
      <c r="IM5" s="528" t="s">
        <v>758</v>
      </c>
      <c r="IN5" s="529"/>
      <c r="IO5" s="529"/>
      <c r="IP5" s="529"/>
      <c r="IQ5" s="529"/>
      <c r="IR5" s="529"/>
      <c r="IS5" s="529"/>
      <c r="IT5" s="529"/>
      <c r="IU5" s="529"/>
      <c r="IV5" s="529"/>
      <c r="IW5" s="529"/>
      <c r="IX5" s="529"/>
      <c r="IY5" s="530"/>
      <c r="IZ5" s="528" t="s">
        <v>759</v>
      </c>
      <c r="JA5" s="529"/>
      <c r="JB5" s="529"/>
      <c r="JC5" s="529"/>
      <c r="JD5" s="529"/>
      <c r="JE5" s="529"/>
      <c r="JF5" s="529"/>
      <c r="JG5" s="530"/>
      <c r="JH5" s="528" t="s">
        <v>169</v>
      </c>
      <c r="JI5" s="530"/>
    </row>
    <row r="6" spans="2:269" ht="15.75" customHeight="1" x14ac:dyDescent="0.3">
      <c r="B6" s="191" t="s">
        <v>172</v>
      </c>
      <c r="C6" s="194">
        <v>64.8</v>
      </c>
      <c r="D6" s="194">
        <v>4.4000000000000004</v>
      </c>
      <c r="E6" s="194">
        <v>1.7</v>
      </c>
      <c r="F6" s="194">
        <v>58.6</v>
      </c>
      <c r="G6" s="193">
        <v>13.9</v>
      </c>
      <c r="H6" s="192">
        <v>23</v>
      </c>
      <c r="I6" s="193">
        <v>35.5</v>
      </c>
      <c r="J6" s="194">
        <v>8.6999999999999993</v>
      </c>
      <c r="L6" s="105">
        <v>1982</v>
      </c>
      <c r="M6" s="201">
        <v>46195</v>
      </c>
      <c r="N6" s="78">
        <v>3687</v>
      </c>
      <c r="O6" s="202">
        <v>8</v>
      </c>
      <c r="P6" s="78">
        <v>13780</v>
      </c>
      <c r="Q6" s="203">
        <v>30</v>
      </c>
      <c r="R6" s="203">
        <v>573</v>
      </c>
      <c r="S6" s="205" t="s">
        <v>190</v>
      </c>
      <c r="AR6" s="73"/>
      <c r="AT6" s="66">
        <v>1972</v>
      </c>
      <c r="AU6" s="66">
        <v>1478</v>
      </c>
      <c r="AV6" s="67">
        <v>0.85499999999999998</v>
      </c>
      <c r="AW6" s="67">
        <v>0.72599999999999998</v>
      </c>
      <c r="AX6" s="66">
        <v>3353</v>
      </c>
      <c r="AY6" s="68">
        <v>0</v>
      </c>
      <c r="AZ6" s="68">
        <v>0.35</v>
      </c>
      <c r="BA6" s="68">
        <v>0.65</v>
      </c>
      <c r="BB6" s="68">
        <v>0</v>
      </c>
      <c r="BC6" s="69">
        <v>0</v>
      </c>
      <c r="BF6" s="82">
        <v>1940</v>
      </c>
      <c r="BG6" s="85">
        <v>7.6</v>
      </c>
      <c r="BH6" s="86" t="s">
        <v>81</v>
      </c>
      <c r="BI6" s="86" t="s">
        <v>81</v>
      </c>
      <c r="BJ6" s="86" t="s">
        <v>81</v>
      </c>
      <c r="BK6" s="86"/>
      <c r="BL6" s="86" t="s">
        <v>81</v>
      </c>
      <c r="BM6" s="86" t="s">
        <v>81</v>
      </c>
      <c r="BN6" s="85">
        <v>7.6</v>
      </c>
      <c r="BO6" s="85">
        <v>90</v>
      </c>
      <c r="BP6" s="85">
        <v>97.6</v>
      </c>
      <c r="DI6" s="251" t="s">
        <v>356</v>
      </c>
      <c r="DW6" s="74"/>
      <c r="DX6">
        <v>2007</v>
      </c>
      <c r="DY6" s="74">
        <f>1198-7</f>
        <v>1191</v>
      </c>
      <c r="DZ6" s="74">
        <v>309</v>
      </c>
      <c r="EA6" s="74">
        <v>245</v>
      </c>
      <c r="EB6" s="74">
        <v>2562</v>
      </c>
      <c r="EC6" s="74">
        <v>59</v>
      </c>
      <c r="ED6" s="74">
        <f>SUM(DY6:EC6)</f>
        <v>4366</v>
      </c>
      <c r="EE6" s="74"/>
      <c r="EF6">
        <v>2007</v>
      </c>
      <c r="EG6" s="75">
        <v>10248</v>
      </c>
      <c r="EH6" s="74">
        <f>ED48</f>
        <v>13795.449331789961</v>
      </c>
      <c r="EI6" s="74">
        <f>ED6</f>
        <v>4366</v>
      </c>
      <c r="EJ6" s="74">
        <f>EG6+EH6</f>
        <v>24043.449331789961</v>
      </c>
      <c r="EK6" s="74">
        <f>EI6+EJ6</f>
        <v>28409.449331789961</v>
      </c>
      <c r="EL6" s="74"/>
      <c r="EM6">
        <v>2007</v>
      </c>
      <c r="EN6">
        <f>DK44</f>
        <v>2083</v>
      </c>
      <c r="EO6" s="74">
        <f>Fishery!FC97</f>
        <v>76</v>
      </c>
      <c r="EP6" s="74">
        <f>EN6+EO6</f>
        <v>2159</v>
      </c>
      <c r="EQ6" s="74"/>
      <c r="ER6">
        <v>2007</v>
      </c>
      <c r="ES6" s="74">
        <f>3302+36+3732</f>
        <v>7070</v>
      </c>
      <c r="ET6" s="74">
        <v>205</v>
      </c>
      <c r="EU6" s="74">
        <v>7275</v>
      </c>
      <c r="EV6" s="74"/>
      <c r="EW6" s="74">
        <f>1178+13</f>
        <v>1191</v>
      </c>
      <c r="EX6" s="74">
        <v>7</v>
      </c>
      <c r="EY6" s="74">
        <v>1198</v>
      </c>
      <c r="EZ6" s="74"/>
      <c r="FA6" s="74">
        <v>8473</v>
      </c>
      <c r="FC6">
        <v>2007</v>
      </c>
      <c r="FT6" s="74">
        <f>ROUND(FV6*FW$19,0)</f>
        <v>18388</v>
      </c>
      <c r="FU6" s="74">
        <f>ROUND(FV6*FX$19,0)</f>
        <v>4891</v>
      </c>
      <c r="FV6">
        <v>23279</v>
      </c>
      <c r="FZ6">
        <v>2007</v>
      </c>
      <c r="GA6">
        <v>34</v>
      </c>
      <c r="GB6">
        <v>128</v>
      </c>
      <c r="GC6">
        <f>SUM(GA6:GB6)</f>
        <v>162</v>
      </c>
      <c r="GD6" s="74">
        <f>GC6*FW$19</f>
        <v>127.9644910602735</v>
      </c>
      <c r="GE6" s="74">
        <f>GC6*FX$19</f>
        <v>34.035508939726483</v>
      </c>
      <c r="GG6">
        <v>2007</v>
      </c>
      <c r="GH6" s="74">
        <f>FT6</f>
        <v>18388</v>
      </c>
      <c r="GI6" s="74">
        <f>FU6</f>
        <v>4891</v>
      </c>
      <c r="GJ6" s="74"/>
      <c r="GK6" s="74">
        <f>EU6</f>
        <v>7275</v>
      </c>
      <c r="GL6" s="74">
        <f>EY6</f>
        <v>1198</v>
      </c>
      <c r="GM6" s="74"/>
      <c r="GN6" s="74">
        <f>GD6</f>
        <v>127.9644910602735</v>
      </c>
      <c r="GO6" s="74">
        <f>GE6</f>
        <v>34.035508939726483</v>
      </c>
      <c r="GP6" s="74"/>
      <c r="GQ6" s="74">
        <f>Fishery!FD43</f>
        <v>5382</v>
      </c>
      <c r="GR6" s="74">
        <f>Fishery!FA22</f>
        <v>241</v>
      </c>
      <c r="GS6" s="74"/>
      <c r="GT6" s="74">
        <f>GH6+GK6+GN6+GQ6</f>
        <v>31172.964491060273</v>
      </c>
      <c r="GU6" s="74">
        <f>GI6+GL6+GO6+GR6</f>
        <v>6364.0355089397262</v>
      </c>
      <c r="GW6">
        <v>2007</v>
      </c>
      <c r="GX6" s="74">
        <f>GT6</f>
        <v>31172.964491060273</v>
      </c>
      <c r="GY6" s="74">
        <f>GU6</f>
        <v>6364.0355089397262</v>
      </c>
      <c r="HA6">
        <f>Fishery!FF43</f>
        <v>1192</v>
      </c>
      <c r="HB6">
        <f>Fishery!FD22</f>
        <v>77</v>
      </c>
      <c r="HD6">
        <f>Fishery!FC43</f>
        <v>1554</v>
      </c>
      <c r="HE6">
        <f>Fishery!FE22</f>
        <v>48</v>
      </c>
      <c r="HG6" s="74">
        <f>HD6+HA6+GX6</f>
        <v>33918.964491060273</v>
      </c>
      <c r="HH6" s="74">
        <f>HE6+HB6+GY6</f>
        <v>6489.0355089397262</v>
      </c>
      <c r="HJ6">
        <v>2007</v>
      </c>
      <c r="HK6" s="74">
        <f>EN6</f>
        <v>2083</v>
      </c>
      <c r="HL6" s="74">
        <f>EO6</f>
        <v>76</v>
      </c>
      <c r="HM6" s="74"/>
      <c r="HN6" s="74">
        <f>ET6</f>
        <v>205</v>
      </c>
      <c r="HO6" s="74">
        <f>EX6</f>
        <v>7</v>
      </c>
      <c r="HP6" s="74"/>
      <c r="HQ6" s="74">
        <f>GQ6</f>
        <v>5382</v>
      </c>
      <c r="HR6" s="74">
        <f>GR6</f>
        <v>241</v>
      </c>
      <c r="HS6" s="74"/>
      <c r="HT6" s="74">
        <f>HD6</f>
        <v>1554</v>
      </c>
      <c r="HU6" s="74">
        <f>HE6</f>
        <v>48</v>
      </c>
      <c r="HV6" s="74"/>
      <c r="HW6" s="74">
        <f>HA6</f>
        <v>1192</v>
      </c>
      <c r="HX6" s="74">
        <f>HB6</f>
        <v>77</v>
      </c>
      <c r="HY6" s="74"/>
      <c r="HZ6" s="74">
        <f>HW6+HT6+HQ6+HN6+HK6</f>
        <v>10416</v>
      </c>
      <c r="IA6" s="74">
        <f>HX6+HU6+HR6+HO6+HL6</f>
        <v>449</v>
      </c>
      <c r="IC6" s="357" t="s">
        <v>141</v>
      </c>
      <c r="ID6" s="360" t="s">
        <v>142</v>
      </c>
      <c r="IE6" s="360"/>
      <c r="IF6" s="528" t="s">
        <v>144</v>
      </c>
      <c r="IG6" s="529"/>
      <c r="IH6" s="530"/>
      <c r="II6" s="528" t="s">
        <v>145</v>
      </c>
      <c r="IJ6" s="530"/>
      <c r="IK6" s="528" t="s">
        <v>146</v>
      </c>
      <c r="IL6" s="530"/>
      <c r="IM6" s="528" t="s">
        <v>147</v>
      </c>
      <c r="IN6" s="529"/>
      <c r="IO6" s="530"/>
      <c r="IP6" s="528" t="s">
        <v>148</v>
      </c>
      <c r="IQ6" s="529"/>
      <c r="IR6" s="530"/>
      <c r="IS6" s="528" t="s">
        <v>149</v>
      </c>
      <c r="IT6" s="530"/>
      <c r="IU6" s="528" t="s">
        <v>150</v>
      </c>
      <c r="IV6" s="530"/>
      <c r="IW6" s="361" t="s">
        <v>151</v>
      </c>
      <c r="IX6" s="528" t="s">
        <v>152</v>
      </c>
      <c r="IY6" s="530"/>
      <c r="IZ6" s="528" t="s">
        <v>144</v>
      </c>
      <c r="JA6" s="529"/>
      <c r="JB6" s="530"/>
      <c r="JC6" s="528" t="s">
        <v>153</v>
      </c>
      <c r="JD6" s="530"/>
      <c r="JE6" s="528" t="s">
        <v>154</v>
      </c>
      <c r="JF6" s="529"/>
      <c r="JG6" s="530"/>
      <c r="JH6" s="362"/>
      <c r="JI6" s="363"/>
    </row>
    <row r="7" spans="2:269" ht="15.75" customHeight="1" x14ac:dyDescent="0.3">
      <c r="B7" s="191" t="s">
        <v>173</v>
      </c>
      <c r="C7" s="194">
        <v>93.7</v>
      </c>
      <c r="D7" s="194">
        <v>9.8000000000000007</v>
      </c>
      <c r="E7" s="194">
        <v>2.2000000000000002</v>
      </c>
      <c r="F7" s="194">
        <v>81.7</v>
      </c>
      <c r="G7" s="193">
        <v>19.600000000000001</v>
      </c>
      <c r="H7" s="192">
        <v>24</v>
      </c>
      <c r="I7" s="193">
        <v>53.6</v>
      </c>
      <c r="J7" s="194">
        <v>7.7</v>
      </c>
      <c r="L7" s="105">
        <v>1983</v>
      </c>
      <c r="M7" s="201">
        <v>30589</v>
      </c>
      <c r="N7" s="78">
        <v>1877</v>
      </c>
      <c r="O7" s="202">
        <v>6</v>
      </c>
      <c r="P7" s="78">
        <v>10372</v>
      </c>
      <c r="Q7" s="203">
        <v>34</v>
      </c>
      <c r="R7" s="204">
        <v>1923</v>
      </c>
      <c r="S7" s="205" t="s">
        <v>190</v>
      </c>
      <c r="AR7" s="73"/>
      <c r="AT7" s="66">
        <v>1973</v>
      </c>
      <c r="AU7" s="66">
        <v>3742</v>
      </c>
      <c r="AV7" s="67">
        <v>0.85899999999999999</v>
      </c>
      <c r="AW7" s="67">
        <v>0.59699999999999998</v>
      </c>
      <c r="AX7" s="66">
        <v>4755</v>
      </c>
      <c r="AY7" s="68">
        <v>0</v>
      </c>
      <c r="AZ7" s="68">
        <v>0.45</v>
      </c>
      <c r="BA7" s="68">
        <v>0.53</v>
      </c>
      <c r="BB7" s="68">
        <v>0.02</v>
      </c>
      <c r="BC7" s="69">
        <v>0</v>
      </c>
      <c r="BF7" s="82">
        <v>1941</v>
      </c>
      <c r="BG7" s="85">
        <v>21.4</v>
      </c>
      <c r="BH7" s="86" t="s">
        <v>81</v>
      </c>
      <c r="BI7" s="86" t="s">
        <v>81</v>
      </c>
      <c r="BJ7" s="86" t="s">
        <v>81</v>
      </c>
      <c r="BK7" s="86"/>
      <c r="BL7" s="86" t="s">
        <v>81</v>
      </c>
      <c r="BM7" s="86" t="s">
        <v>81</v>
      </c>
      <c r="BN7" s="85">
        <v>21.4</v>
      </c>
      <c r="BO7" s="85">
        <v>107.6</v>
      </c>
      <c r="BP7" s="85">
        <v>129</v>
      </c>
      <c r="DI7" s="241" t="s">
        <v>357</v>
      </c>
      <c r="DW7" s="74"/>
      <c r="DX7">
        <v>2008</v>
      </c>
      <c r="DY7" s="74">
        <f>1312-11</f>
        <v>1301</v>
      </c>
      <c r="DZ7" s="74">
        <v>412</v>
      </c>
      <c r="EA7" s="74">
        <v>323</v>
      </c>
      <c r="EB7" s="74">
        <v>1388</v>
      </c>
      <c r="EC7" s="74">
        <v>344</v>
      </c>
      <c r="ED7" s="74">
        <f t="shared" ref="ED7:ED15" si="0">SUM(DY7:EC7)</f>
        <v>3768</v>
      </c>
      <c r="EE7" s="74"/>
      <c r="EF7">
        <v>2008</v>
      </c>
      <c r="EG7" s="74">
        <v>8392</v>
      </c>
      <c r="EH7" s="74">
        <f t="shared" ref="EH7:EH15" si="1">ED49</f>
        <v>9295.8514920632224</v>
      </c>
      <c r="EI7" s="74">
        <f t="shared" ref="EI7:EI15" si="2">ED7</f>
        <v>3768</v>
      </c>
      <c r="EJ7" s="74">
        <f t="shared" ref="EJ7:EJ15" si="3">EG7+EH7</f>
        <v>17687.851492063222</v>
      </c>
      <c r="EK7" s="74">
        <f t="shared" ref="EK7:EK15" si="4">EI7+EJ7</f>
        <v>21455.851492063222</v>
      </c>
      <c r="EL7" s="74"/>
      <c r="EM7">
        <v>2008</v>
      </c>
      <c r="EN7">
        <f>DL44</f>
        <v>131</v>
      </c>
      <c r="EO7" s="74">
        <f>Fishery!FC98</f>
        <v>8</v>
      </c>
      <c r="EP7" s="74">
        <f t="shared" ref="EP7:EP15" si="5">EN7+EO7</f>
        <v>139</v>
      </c>
      <c r="EQ7" s="74"/>
      <c r="ER7">
        <v>2008</v>
      </c>
      <c r="ES7" s="74">
        <f>2336+47+3522</f>
        <v>5905</v>
      </c>
      <c r="ET7" s="74">
        <v>202</v>
      </c>
      <c r="EU7" s="74">
        <v>6107</v>
      </c>
      <c r="EV7" s="74"/>
      <c r="EW7" s="74">
        <f>1276+25</f>
        <v>1301</v>
      </c>
      <c r="EX7" s="74">
        <v>11</v>
      </c>
      <c r="EY7" s="74">
        <v>1312</v>
      </c>
      <c r="EZ7" s="74"/>
      <c r="FA7" s="74">
        <v>7419</v>
      </c>
      <c r="FC7">
        <v>2008</v>
      </c>
      <c r="FT7" s="74">
        <f t="shared" ref="FT7:FT10" si="6">ROUND(FV7*FW$19,0)</f>
        <v>11178</v>
      </c>
      <c r="FU7" s="74">
        <f t="shared" ref="FU7:FU10" si="7">ROUND(FV7*FX$19,0)</f>
        <v>2973</v>
      </c>
      <c r="FV7">
        <v>14151</v>
      </c>
      <c r="FZ7">
        <v>2008</v>
      </c>
      <c r="GA7">
        <v>95</v>
      </c>
      <c r="GB7">
        <v>123</v>
      </c>
      <c r="GC7">
        <f t="shared" ref="GC7:GC16" si="8">SUM(GA7:GB7)</f>
        <v>218</v>
      </c>
      <c r="GD7" s="74">
        <f>GC7*FW$19</f>
        <v>172.19912994530631</v>
      </c>
      <c r="GE7" s="74">
        <f>GC7*FX$19</f>
        <v>45.800870054693661</v>
      </c>
      <c r="GG7">
        <v>2008</v>
      </c>
      <c r="GH7" s="74">
        <f t="shared" ref="GH7:GH17" si="9">FT7</f>
        <v>11178</v>
      </c>
      <c r="GI7" s="74">
        <f t="shared" ref="GI7:GI17" si="10">FU7</f>
        <v>2973</v>
      </c>
      <c r="GJ7" s="74"/>
      <c r="GK7" s="74">
        <f t="shared" ref="GK7:GK15" si="11">EU7</f>
        <v>6107</v>
      </c>
      <c r="GL7" s="74">
        <f t="shared" ref="GL7:GL15" si="12">EY7</f>
        <v>1312</v>
      </c>
      <c r="GM7" s="74"/>
      <c r="GN7" s="74">
        <f t="shared" ref="GN7:GN15" si="13">GD7</f>
        <v>172.19912994530631</v>
      </c>
      <c r="GO7" s="74">
        <f t="shared" ref="GO7:GO15" si="14">GE7</f>
        <v>45.800870054693661</v>
      </c>
      <c r="GP7" s="74"/>
      <c r="GQ7" s="74">
        <f>Fishery!FD42</f>
        <v>4301</v>
      </c>
      <c r="GR7" s="74">
        <f>Fishery!FA21</f>
        <v>230</v>
      </c>
      <c r="GS7" s="74"/>
      <c r="GT7" s="74">
        <f t="shared" ref="GT7:GT15" si="15">GH7+GK7+GN7+GQ7</f>
        <v>21758.199129945308</v>
      </c>
      <c r="GU7" s="74">
        <f t="shared" ref="GU7:GU15" si="16">GI7+GL7+GO7+GR7</f>
        <v>4560.8008700546934</v>
      </c>
      <c r="GW7">
        <v>2008</v>
      </c>
      <c r="GX7" s="74">
        <f t="shared" ref="GX7:GX15" si="17">GT7</f>
        <v>21758.199129945308</v>
      </c>
      <c r="GY7" s="74">
        <f t="shared" ref="GY7:GY15" si="18">GU7</f>
        <v>4560.8008700546934</v>
      </c>
      <c r="HA7">
        <f>Fishery!FF42</f>
        <v>96</v>
      </c>
      <c r="HB7">
        <f>Fishery!FD21</f>
        <v>0</v>
      </c>
      <c r="HD7">
        <f>Fishery!FC42</f>
        <v>195</v>
      </c>
      <c r="HE7">
        <f>Fishery!FE21</f>
        <v>8</v>
      </c>
      <c r="HG7" s="74">
        <f t="shared" ref="HG7:HG15" si="19">HD7+HA7+GX7</f>
        <v>22049.199129945308</v>
      </c>
      <c r="HH7" s="74">
        <f t="shared" ref="HH7:HH15" si="20">HE7+HB7+GY7</f>
        <v>4568.8008700546934</v>
      </c>
      <c r="HJ7">
        <v>2008</v>
      </c>
      <c r="HK7" s="74">
        <f t="shared" ref="HK7:HK15" si="21">EN7</f>
        <v>131</v>
      </c>
      <c r="HL7" s="74">
        <f t="shared" ref="HL7:HL15" si="22">EO7</f>
        <v>8</v>
      </c>
      <c r="HM7" s="74"/>
      <c r="HN7" s="74">
        <f t="shared" ref="HN7:HN15" si="23">ET7</f>
        <v>202</v>
      </c>
      <c r="HO7" s="74">
        <f t="shared" ref="HO7:HO15" si="24">EX7</f>
        <v>11</v>
      </c>
      <c r="HP7" s="74"/>
      <c r="HQ7" s="74">
        <f t="shared" ref="HQ7:HQ15" si="25">GQ7</f>
        <v>4301</v>
      </c>
      <c r="HR7" s="74">
        <f t="shared" ref="HR7:HR15" si="26">GR7</f>
        <v>230</v>
      </c>
      <c r="HS7" s="74"/>
      <c r="HT7" s="74">
        <f t="shared" ref="HT7:HT15" si="27">HD7</f>
        <v>195</v>
      </c>
      <c r="HU7" s="74">
        <f t="shared" ref="HU7:HU15" si="28">HE7</f>
        <v>8</v>
      </c>
      <c r="HV7" s="74"/>
      <c r="HW7" s="74">
        <f t="shared" ref="HW7:HW15" si="29">HA7</f>
        <v>96</v>
      </c>
      <c r="HX7" s="74">
        <f t="shared" ref="HX7:HX15" si="30">HB7</f>
        <v>0</v>
      </c>
      <c r="HY7" s="74"/>
      <c r="HZ7" s="74">
        <f t="shared" ref="HZ7:HZ15" si="31">HW7+HT7+HQ7+HN7+HK7</f>
        <v>4925</v>
      </c>
      <c r="IA7" s="74">
        <f t="shared" ref="IA7:IA15" si="32">HX7+HU7+HR7+HO7+HL7</f>
        <v>257</v>
      </c>
      <c r="IC7" s="357" t="s">
        <v>3</v>
      </c>
      <c r="ID7" s="360" t="s">
        <v>157</v>
      </c>
      <c r="IE7" s="357" t="s">
        <v>143</v>
      </c>
      <c r="IF7" s="364" t="s">
        <v>158</v>
      </c>
      <c r="IG7" s="365" t="s">
        <v>159</v>
      </c>
      <c r="IH7" s="366" t="s">
        <v>160</v>
      </c>
      <c r="II7" s="364" t="s">
        <v>158</v>
      </c>
      <c r="IJ7" s="366" t="s">
        <v>160</v>
      </c>
      <c r="IK7" s="364" t="s">
        <v>158</v>
      </c>
      <c r="IL7" s="366" t="s">
        <v>160</v>
      </c>
      <c r="IM7" s="364" t="s">
        <v>158</v>
      </c>
      <c r="IN7" s="365" t="s">
        <v>159</v>
      </c>
      <c r="IO7" s="366" t="s">
        <v>160</v>
      </c>
      <c r="IP7" s="364" t="s">
        <v>158</v>
      </c>
      <c r="IQ7" s="365" t="s">
        <v>159</v>
      </c>
      <c r="IR7" s="366" t="s">
        <v>160</v>
      </c>
      <c r="IS7" s="364" t="s">
        <v>158</v>
      </c>
      <c r="IT7" s="366" t="s">
        <v>160</v>
      </c>
      <c r="IU7" s="364" t="s">
        <v>158</v>
      </c>
      <c r="IV7" s="366" t="s">
        <v>160</v>
      </c>
      <c r="IW7" s="367" t="s">
        <v>159</v>
      </c>
      <c r="IX7" s="364" t="s">
        <v>159</v>
      </c>
      <c r="IY7" s="366" t="s">
        <v>160</v>
      </c>
      <c r="IZ7" s="364" t="s">
        <v>158</v>
      </c>
      <c r="JA7" s="365" t="s">
        <v>159</v>
      </c>
      <c r="JB7" s="366" t="s">
        <v>160</v>
      </c>
      <c r="JC7" s="364" t="s">
        <v>159</v>
      </c>
      <c r="JD7" s="366" t="s">
        <v>160</v>
      </c>
      <c r="JE7" s="364" t="s">
        <v>158</v>
      </c>
      <c r="JF7" s="365" t="s">
        <v>159</v>
      </c>
      <c r="JG7" s="366" t="s">
        <v>160</v>
      </c>
      <c r="JH7" s="368" t="s">
        <v>155</v>
      </c>
      <c r="JI7" s="369" t="s">
        <v>760</v>
      </c>
    </row>
    <row r="8" spans="2:269" ht="15" x14ac:dyDescent="0.3">
      <c r="B8" s="191" t="s">
        <v>174</v>
      </c>
      <c r="C8" s="194">
        <v>86.2</v>
      </c>
      <c r="D8" s="194">
        <v>6.5</v>
      </c>
      <c r="E8" s="194">
        <v>3.5</v>
      </c>
      <c r="F8" s="194">
        <v>76.099999999999994</v>
      </c>
      <c r="G8" s="193">
        <v>19.8</v>
      </c>
      <c r="H8" s="192">
        <v>26</v>
      </c>
      <c r="I8" s="193">
        <v>44.8</v>
      </c>
      <c r="J8" s="194">
        <v>10.4</v>
      </c>
      <c r="L8" s="105">
        <v>1984</v>
      </c>
      <c r="M8" s="201">
        <v>43452</v>
      </c>
      <c r="N8" s="78">
        <v>3123</v>
      </c>
      <c r="O8" s="202">
        <v>7</v>
      </c>
      <c r="P8" s="78">
        <v>15433</v>
      </c>
      <c r="Q8" s="203">
        <v>36</v>
      </c>
      <c r="R8" s="204">
        <v>2521</v>
      </c>
      <c r="S8" s="205" t="s">
        <v>190</v>
      </c>
      <c r="AR8" s="73"/>
      <c r="AT8" s="66">
        <v>1974</v>
      </c>
      <c r="AU8" s="66">
        <v>3657</v>
      </c>
      <c r="AV8" s="67">
        <v>1</v>
      </c>
      <c r="AW8" s="67">
        <v>0.629</v>
      </c>
      <c r="AX8" s="66">
        <v>6193</v>
      </c>
      <c r="AY8" s="68">
        <v>0</v>
      </c>
      <c r="AZ8" s="68">
        <v>0.42</v>
      </c>
      <c r="BA8" s="68">
        <v>0.55000000000000004</v>
      </c>
      <c r="BB8" s="68">
        <v>0.03</v>
      </c>
      <c r="BC8" s="69">
        <v>0</v>
      </c>
      <c r="BF8" s="82">
        <v>1942</v>
      </c>
      <c r="BG8" s="85">
        <v>10.7</v>
      </c>
      <c r="BH8" s="86" t="s">
        <v>81</v>
      </c>
      <c r="BI8" s="86" t="s">
        <v>81</v>
      </c>
      <c r="BJ8" s="86" t="s">
        <v>81</v>
      </c>
      <c r="BK8" s="86"/>
      <c r="BL8" s="86" t="s">
        <v>81</v>
      </c>
      <c r="BM8" s="86" t="s">
        <v>81</v>
      </c>
      <c r="BN8" s="85">
        <v>10.7</v>
      </c>
      <c r="BO8" s="85">
        <v>77.2</v>
      </c>
      <c r="BP8" s="85">
        <v>87.9</v>
      </c>
      <c r="DW8" s="74"/>
      <c r="DX8">
        <v>2009</v>
      </c>
      <c r="DY8" s="74">
        <f>617-7</f>
        <v>610</v>
      </c>
      <c r="DZ8" s="74">
        <v>358</v>
      </c>
      <c r="EA8" s="74">
        <v>913</v>
      </c>
      <c r="EB8" s="74">
        <v>1193</v>
      </c>
      <c r="EC8" s="74">
        <v>110</v>
      </c>
      <c r="ED8" s="74">
        <f t="shared" si="0"/>
        <v>3184</v>
      </c>
      <c r="EE8" s="74"/>
      <c r="EF8">
        <v>2009</v>
      </c>
      <c r="EG8" s="74">
        <v>14936</v>
      </c>
      <c r="EH8" s="74">
        <f t="shared" si="1"/>
        <v>5731.8703421051687</v>
      </c>
      <c r="EI8" s="74">
        <f t="shared" si="2"/>
        <v>3184</v>
      </c>
      <c r="EJ8" s="74">
        <f t="shared" si="3"/>
        <v>20667.870342105169</v>
      </c>
      <c r="EK8" s="74">
        <f t="shared" si="4"/>
        <v>23851.870342105169</v>
      </c>
      <c r="EL8" s="74"/>
      <c r="EM8">
        <v>2009</v>
      </c>
      <c r="EN8">
        <f>DM44</f>
        <v>2949</v>
      </c>
      <c r="EO8" s="74">
        <f>Fishery!FC99</f>
        <v>51</v>
      </c>
      <c r="EP8" s="74">
        <f t="shared" si="5"/>
        <v>3000</v>
      </c>
      <c r="EQ8" s="74"/>
      <c r="ER8">
        <v>2009</v>
      </c>
      <c r="ES8" s="74">
        <f>1101+37+1609</f>
        <v>2747</v>
      </c>
      <c r="ET8" s="74">
        <v>208</v>
      </c>
      <c r="EU8" s="74">
        <v>2955</v>
      </c>
      <c r="EV8" s="74"/>
      <c r="EW8" s="74">
        <f>590+20</f>
        <v>610</v>
      </c>
      <c r="EX8" s="74">
        <v>7</v>
      </c>
      <c r="EY8" s="74">
        <v>617</v>
      </c>
      <c r="EZ8" s="74"/>
      <c r="FA8" s="74">
        <v>3572</v>
      </c>
      <c r="FC8">
        <v>2009</v>
      </c>
      <c r="FT8" s="74">
        <f t="shared" si="6"/>
        <v>20376</v>
      </c>
      <c r="FU8" s="74">
        <f t="shared" si="7"/>
        <v>5419</v>
      </c>
      <c r="FV8">
        <v>25795</v>
      </c>
      <c r="FZ8">
        <v>2009</v>
      </c>
      <c r="GA8">
        <v>134</v>
      </c>
      <c r="GB8">
        <v>195</v>
      </c>
      <c r="GC8">
        <f t="shared" si="8"/>
        <v>329</v>
      </c>
      <c r="GD8" s="74">
        <f>GC8*FW$19</f>
        <v>259.8785034495678</v>
      </c>
      <c r="GE8" s="74">
        <f>GC8*FX$19</f>
        <v>69.121496550432184</v>
      </c>
      <c r="GG8">
        <v>2009</v>
      </c>
      <c r="GH8" s="74">
        <f t="shared" si="9"/>
        <v>20376</v>
      </c>
      <c r="GI8" s="74">
        <f t="shared" si="10"/>
        <v>5419</v>
      </c>
      <c r="GJ8" s="74"/>
      <c r="GK8" s="74">
        <f t="shared" si="11"/>
        <v>2955</v>
      </c>
      <c r="GL8" s="74">
        <f t="shared" si="12"/>
        <v>617</v>
      </c>
      <c r="GM8" s="74"/>
      <c r="GN8" s="74">
        <f t="shared" si="13"/>
        <v>259.8785034495678</v>
      </c>
      <c r="GO8" s="74">
        <f t="shared" si="14"/>
        <v>69.121496550432184</v>
      </c>
      <c r="GP8" s="74"/>
      <c r="GQ8" s="74">
        <f>Fishery!FD41</f>
        <v>3988</v>
      </c>
      <c r="GR8" s="74">
        <f>Fishery!FA20</f>
        <v>122</v>
      </c>
      <c r="GS8" s="74"/>
      <c r="GT8" s="74">
        <f t="shared" si="15"/>
        <v>27578.878503449567</v>
      </c>
      <c r="GU8" s="74">
        <f t="shared" si="16"/>
        <v>6227.1214965504323</v>
      </c>
      <c r="GW8">
        <v>2009</v>
      </c>
      <c r="GX8" s="74">
        <f t="shared" si="17"/>
        <v>27578.878503449567</v>
      </c>
      <c r="GY8" s="74">
        <f t="shared" si="18"/>
        <v>6227.1214965504323</v>
      </c>
      <c r="HA8">
        <f>Fishery!FF41</f>
        <v>321</v>
      </c>
      <c r="HB8">
        <f>Fishery!FD20</f>
        <v>2</v>
      </c>
      <c r="HD8">
        <f>Fishery!FC41</f>
        <v>1302</v>
      </c>
      <c r="HE8">
        <f>Fishery!FE20</f>
        <v>25</v>
      </c>
      <c r="HG8" s="74">
        <f t="shared" si="19"/>
        <v>29201.878503449567</v>
      </c>
      <c r="HH8" s="74">
        <f t="shared" si="20"/>
        <v>6254.1214965504323</v>
      </c>
      <c r="HJ8">
        <v>2009</v>
      </c>
      <c r="HK8" s="74">
        <f t="shared" si="21"/>
        <v>2949</v>
      </c>
      <c r="HL8" s="74">
        <f t="shared" si="22"/>
        <v>51</v>
      </c>
      <c r="HM8" s="74"/>
      <c r="HN8" s="74">
        <f t="shared" si="23"/>
        <v>208</v>
      </c>
      <c r="HO8" s="74">
        <f t="shared" si="24"/>
        <v>7</v>
      </c>
      <c r="HP8" s="74"/>
      <c r="HQ8" s="74">
        <f t="shared" si="25"/>
        <v>3988</v>
      </c>
      <c r="HR8" s="74">
        <f t="shared" si="26"/>
        <v>122</v>
      </c>
      <c r="HS8" s="74"/>
      <c r="HT8" s="74">
        <f t="shared" si="27"/>
        <v>1302</v>
      </c>
      <c r="HU8" s="74">
        <f t="shared" si="28"/>
        <v>25</v>
      </c>
      <c r="HV8" s="74"/>
      <c r="HW8" s="74">
        <f t="shared" si="29"/>
        <v>321</v>
      </c>
      <c r="HX8" s="74">
        <f t="shared" si="30"/>
        <v>2</v>
      </c>
      <c r="HY8" s="74"/>
      <c r="HZ8" s="74">
        <f t="shared" si="31"/>
        <v>8768</v>
      </c>
      <c r="IA8" s="74">
        <f t="shared" si="32"/>
        <v>207</v>
      </c>
      <c r="IC8" t="s">
        <v>501</v>
      </c>
      <c r="ID8">
        <v>4861</v>
      </c>
      <c r="IE8" t="s">
        <v>81</v>
      </c>
      <c r="IF8" s="370">
        <v>7.2</v>
      </c>
      <c r="IG8" s="25">
        <v>0.3</v>
      </c>
      <c r="IH8" s="371">
        <v>0.2</v>
      </c>
      <c r="II8" s="370">
        <v>6.1</v>
      </c>
      <c r="IJ8" s="25">
        <v>0</v>
      </c>
      <c r="IK8" s="25">
        <v>2.2999999999999998</v>
      </c>
      <c r="IL8" s="25">
        <v>0</v>
      </c>
      <c r="IM8" s="25">
        <v>0.2</v>
      </c>
      <c r="IN8" s="25">
        <v>0.2</v>
      </c>
      <c r="IO8" s="25">
        <v>0</v>
      </c>
      <c r="IP8" s="25">
        <v>0.1</v>
      </c>
      <c r="IQ8" s="25">
        <v>0</v>
      </c>
      <c r="IR8" s="371">
        <v>0.1</v>
      </c>
      <c r="IS8" s="370">
        <v>0.9</v>
      </c>
      <c r="IT8" s="25">
        <v>0.5</v>
      </c>
      <c r="IU8" s="25">
        <v>0.1</v>
      </c>
      <c r="IV8" s="25">
        <v>0</v>
      </c>
      <c r="IW8" s="25">
        <v>0</v>
      </c>
      <c r="IX8" s="25">
        <v>0</v>
      </c>
      <c r="IY8" s="371">
        <v>0.2</v>
      </c>
      <c r="IZ8">
        <v>0</v>
      </c>
      <c r="JA8">
        <v>0</v>
      </c>
      <c r="JB8">
        <v>0</v>
      </c>
      <c r="JC8">
        <v>0</v>
      </c>
      <c r="JD8">
        <v>0</v>
      </c>
      <c r="JE8">
        <v>0</v>
      </c>
      <c r="JF8">
        <v>4.2</v>
      </c>
      <c r="JG8">
        <v>18.3</v>
      </c>
      <c r="JH8">
        <v>0</v>
      </c>
      <c r="JI8">
        <v>59.2</v>
      </c>
    </row>
    <row r="9" spans="2:269" ht="15" x14ac:dyDescent="0.3">
      <c r="B9" s="191" t="s">
        <v>175</v>
      </c>
      <c r="C9" s="194">
        <v>42.4</v>
      </c>
      <c r="D9" s="194">
        <v>0.2</v>
      </c>
      <c r="E9" s="194">
        <v>0</v>
      </c>
      <c r="F9" s="194">
        <v>42.2</v>
      </c>
      <c r="G9" s="193">
        <v>6.2</v>
      </c>
      <c r="H9" s="192">
        <v>14</v>
      </c>
      <c r="I9" s="193">
        <v>28.8</v>
      </c>
      <c r="J9" s="194">
        <v>6.6</v>
      </c>
      <c r="L9" s="105">
        <v>1985</v>
      </c>
      <c r="M9" s="201">
        <v>34533</v>
      </c>
      <c r="N9" s="78">
        <v>2510</v>
      </c>
      <c r="O9" s="202">
        <v>7</v>
      </c>
      <c r="P9" s="78">
        <v>10785</v>
      </c>
      <c r="Q9" s="203">
        <v>31</v>
      </c>
      <c r="R9" s="203">
        <v>944</v>
      </c>
      <c r="S9" s="205" t="s">
        <v>190</v>
      </c>
      <c r="AR9" s="73"/>
      <c r="AT9" s="66">
        <v>1975</v>
      </c>
      <c r="AU9" s="66">
        <v>1300</v>
      </c>
      <c r="AV9" s="67">
        <v>1</v>
      </c>
      <c r="AW9" s="67">
        <v>0.68700000000000006</v>
      </c>
      <c r="AX9" s="66">
        <v>2857</v>
      </c>
      <c r="AY9" s="68">
        <v>0</v>
      </c>
      <c r="AZ9" s="68">
        <v>0.5</v>
      </c>
      <c r="BA9" s="68">
        <v>0.47</v>
      </c>
      <c r="BB9" s="68">
        <v>0.03</v>
      </c>
      <c r="BC9" s="69">
        <v>0</v>
      </c>
      <c r="BF9" s="82">
        <v>1943</v>
      </c>
      <c r="BG9" s="85">
        <v>2.5</v>
      </c>
      <c r="BH9" s="86" t="s">
        <v>81</v>
      </c>
      <c r="BI9" s="86" t="s">
        <v>81</v>
      </c>
      <c r="BJ9" s="86" t="s">
        <v>81</v>
      </c>
      <c r="BK9" s="86"/>
      <c r="BL9" s="86" t="s">
        <v>81</v>
      </c>
      <c r="BM9" s="86" t="s">
        <v>81</v>
      </c>
      <c r="BN9" s="85">
        <v>2.5</v>
      </c>
      <c r="BO9" s="85">
        <v>131.30000000000001</v>
      </c>
      <c r="BP9" s="85">
        <v>133.80000000000001</v>
      </c>
      <c r="DI9" t="s">
        <v>381</v>
      </c>
      <c r="DJ9" t="s">
        <v>383</v>
      </c>
      <c r="DK9">
        <v>2007</v>
      </c>
      <c r="DL9">
        <v>2008</v>
      </c>
      <c r="DM9">
        <v>2009</v>
      </c>
      <c r="DN9">
        <v>2010</v>
      </c>
      <c r="DO9">
        <v>2011</v>
      </c>
      <c r="DP9">
        <v>2012</v>
      </c>
      <c r="DQ9">
        <v>2013</v>
      </c>
      <c r="DR9">
        <v>2014</v>
      </c>
      <c r="DS9">
        <v>2015</v>
      </c>
      <c r="DT9">
        <v>2016</v>
      </c>
      <c r="DU9" s="254" t="s">
        <v>5</v>
      </c>
      <c r="DV9" s="254" t="s">
        <v>403</v>
      </c>
      <c r="DW9" s="74"/>
      <c r="DX9">
        <v>2010</v>
      </c>
      <c r="DY9" s="74">
        <f>1164-12</f>
        <v>1152</v>
      </c>
      <c r="DZ9" s="74">
        <v>292</v>
      </c>
      <c r="EA9" s="74">
        <v>376</v>
      </c>
      <c r="EB9" s="74">
        <v>1265</v>
      </c>
      <c r="EC9" s="74">
        <v>188</v>
      </c>
      <c r="ED9" s="74">
        <f t="shared" si="0"/>
        <v>3273</v>
      </c>
      <c r="EE9" s="74"/>
      <c r="EF9">
        <v>2010</v>
      </c>
      <c r="EG9" s="74">
        <v>28362</v>
      </c>
      <c r="EH9" s="74">
        <f t="shared" si="1"/>
        <v>9718.7178696287046</v>
      </c>
      <c r="EI9" s="74">
        <f t="shared" si="2"/>
        <v>3273</v>
      </c>
      <c r="EJ9" s="74">
        <f t="shared" si="3"/>
        <v>38080.717869628701</v>
      </c>
      <c r="EK9" s="74">
        <f t="shared" si="4"/>
        <v>41353.717869628701</v>
      </c>
      <c r="EL9" s="74"/>
      <c r="EM9">
        <v>2010</v>
      </c>
      <c r="EN9">
        <v>9006</v>
      </c>
      <c r="EO9" s="74">
        <f>Fishery!FC100</f>
        <v>74</v>
      </c>
      <c r="EP9" s="74">
        <f t="shared" si="5"/>
        <v>9080</v>
      </c>
      <c r="EQ9" s="74"/>
      <c r="ER9">
        <v>2010</v>
      </c>
      <c r="ES9" s="74">
        <f>2976+33+5664</f>
        <v>8673</v>
      </c>
      <c r="ET9" s="74">
        <v>707</v>
      </c>
      <c r="EU9" s="74">
        <v>9380</v>
      </c>
      <c r="EV9" s="74"/>
      <c r="EW9" s="74">
        <f>1140+12</f>
        <v>1152</v>
      </c>
      <c r="EX9" s="74">
        <v>12</v>
      </c>
      <c r="EY9" s="74">
        <v>1164</v>
      </c>
      <c r="EZ9" s="74"/>
      <c r="FA9" s="74">
        <v>10544</v>
      </c>
      <c r="FC9">
        <v>2010</v>
      </c>
      <c r="FT9" s="74">
        <f t="shared" si="6"/>
        <v>51575</v>
      </c>
      <c r="FU9" s="74">
        <f t="shared" si="7"/>
        <v>13718</v>
      </c>
      <c r="FV9">
        <v>65293</v>
      </c>
      <c r="FZ9">
        <v>2010</v>
      </c>
      <c r="GA9">
        <v>201</v>
      </c>
      <c r="GB9">
        <v>864</v>
      </c>
      <c r="GC9">
        <f t="shared" si="8"/>
        <v>1065</v>
      </c>
      <c r="GD9" s="74">
        <f>GC9*FW$19</f>
        <v>841.24804308142768</v>
      </c>
      <c r="GE9" s="74">
        <f>GC9*FX$19</f>
        <v>223.75195691857226</v>
      </c>
      <c r="GG9">
        <v>2010</v>
      </c>
      <c r="GH9" s="74">
        <f t="shared" si="9"/>
        <v>51575</v>
      </c>
      <c r="GI9" s="74">
        <f t="shared" si="10"/>
        <v>13718</v>
      </c>
      <c r="GJ9" s="74"/>
      <c r="GK9" s="74">
        <f t="shared" si="11"/>
        <v>9380</v>
      </c>
      <c r="GL9" s="74">
        <f t="shared" si="12"/>
        <v>1164</v>
      </c>
      <c r="GM9" s="74"/>
      <c r="GN9" s="74">
        <f t="shared" si="13"/>
        <v>841.24804308142768</v>
      </c>
      <c r="GO9" s="74">
        <f t="shared" si="14"/>
        <v>223.75195691857226</v>
      </c>
      <c r="GP9" s="74"/>
      <c r="GQ9" s="74">
        <f>Fishery!FD40</f>
        <v>21611</v>
      </c>
      <c r="GR9" s="74">
        <f>Fishery!FA19</f>
        <v>370</v>
      </c>
      <c r="GS9" s="74"/>
      <c r="GT9" s="74">
        <f t="shared" si="15"/>
        <v>83407.248043081432</v>
      </c>
      <c r="GU9" s="74">
        <f t="shared" si="16"/>
        <v>15475.751956918572</v>
      </c>
      <c r="GW9">
        <v>2010</v>
      </c>
      <c r="GX9" s="74">
        <f t="shared" si="17"/>
        <v>83407.248043081432</v>
      </c>
      <c r="GY9" s="74">
        <f t="shared" si="18"/>
        <v>15475.751956918572</v>
      </c>
      <c r="HA9">
        <f>Fishery!FF40</f>
        <v>3192</v>
      </c>
      <c r="HB9">
        <f>Fishery!FD19</f>
        <v>55</v>
      </c>
      <c r="HD9">
        <f>Fishery!FC40</f>
        <v>5255</v>
      </c>
      <c r="HE9">
        <f>Fishery!FE19</f>
        <v>97</v>
      </c>
      <c r="HG9" s="74">
        <f t="shared" si="19"/>
        <v>91854.248043081432</v>
      </c>
      <c r="HH9" s="74">
        <f t="shared" si="20"/>
        <v>15627.751956918572</v>
      </c>
      <c r="HJ9">
        <v>2010</v>
      </c>
      <c r="HK9" s="74">
        <f t="shared" si="21"/>
        <v>9006</v>
      </c>
      <c r="HL9" s="74">
        <f t="shared" si="22"/>
        <v>74</v>
      </c>
      <c r="HM9" s="74"/>
      <c r="HN9" s="74">
        <f t="shared" si="23"/>
        <v>707</v>
      </c>
      <c r="HO9" s="74">
        <f t="shared" si="24"/>
        <v>12</v>
      </c>
      <c r="HP9" s="74"/>
      <c r="HQ9" s="74">
        <f t="shared" si="25"/>
        <v>21611</v>
      </c>
      <c r="HR9" s="74">
        <f t="shared" si="26"/>
        <v>370</v>
      </c>
      <c r="HS9" s="74"/>
      <c r="HT9" s="74">
        <f t="shared" si="27"/>
        <v>5255</v>
      </c>
      <c r="HU9" s="74">
        <f t="shared" si="28"/>
        <v>97</v>
      </c>
      <c r="HV9" s="74"/>
      <c r="HW9" s="74">
        <f t="shared" si="29"/>
        <v>3192</v>
      </c>
      <c r="HX9" s="74">
        <f t="shared" si="30"/>
        <v>55</v>
      </c>
      <c r="HY9" s="74"/>
      <c r="HZ9" s="74">
        <f t="shared" si="31"/>
        <v>39771</v>
      </c>
      <c r="IA9" s="74">
        <f t="shared" si="32"/>
        <v>608</v>
      </c>
      <c r="IC9">
        <v>1985</v>
      </c>
      <c r="ID9">
        <v>2549</v>
      </c>
      <c r="IE9" t="s">
        <v>163</v>
      </c>
      <c r="IF9" s="16">
        <v>7</v>
      </c>
      <c r="IG9">
        <v>0.2</v>
      </c>
      <c r="IH9" s="372">
        <v>0</v>
      </c>
      <c r="II9" s="16">
        <v>0.5</v>
      </c>
      <c r="IJ9">
        <v>0</v>
      </c>
      <c r="IK9">
        <v>0.5</v>
      </c>
      <c r="IL9">
        <v>0</v>
      </c>
      <c r="IM9">
        <v>0.2</v>
      </c>
      <c r="IN9">
        <v>0</v>
      </c>
      <c r="IO9">
        <v>0</v>
      </c>
      <c r="IP9">
        <v>0</v>
      </c>
      <c r="IQ9">
        <v>0</v>
      </c>
      <c r="IR9" s="372">
        <v>0</v>
      </c>
      <c r="IS9" s="16">
        <v>0.3</v>
      </c>
      <c r="IT9">
        <v>0</v>
      </c>
      <c r="IU9">
        <v>0</v>
      </c>
      <c r="IV9">
        <v>0</v>
      </c>
      <c r="IW9">
        <v>0</v>
      </c>
      <c r="IX9">
        <v>0.1</v>
      </c>
      <c r="IY9" s="372">
        <v>0</v>
      </c>
      <c r="IZ9">
        <v>0</v>
      </c>
      <c r="JA9">
        <v>0</v>
      </c>
      <c r="JB9">
        <v>0</v>
      </c>
      <c r="JC9">
        <v>0</v>
      </c>
      <c r="JD9">
        <v>0</v>
      </c>
      <c r="JE9">
        <v>0</v>
      </c>
      <c r="JF9">
        <v>18</v>
      </c>
      <c r="JG9">
        <v>19.8</v>
      </c>
      <c r="JH9">
        <v>0</v>
      </c>
      <c r="JI9">
        <v>53.5</v>
      </c>
    </row>
    <row r="10" spans="2:269" ht="15" x14ac:dyDescent="0.3">
      <c r="B10" s="191" t="s">
        <v>176</v>
      </c>
      <c r="C10" s="194">
        <v>106.1</v>
      </c>
      <c r="D10" s="194">
        <v>4.2</v>
      </c>
      <c r="E10" s="194">
        <v>4.5</v>
      </c>
      <c r="F10" s="194">
        <v>97.4</v>
      </c>
      <c r="G10" s="193">
        <v>10.6</v>
      </c>
      <c r="H10" s="192">
        <v>11.2</v>
      </c>
      <c r="I10" s="193">
        <v>72.099999999999994</v>
      </c>
      <c r="J10" s="194">
        <v>14.1</v>
      </c>
      <c r="L10" s="105">
        <v>1986</v>
      </c>
      <c r="M10" s="201">
        <v>39155</v>
      </c>
      <c r="N10" s="78">
        <v>2708</v>
      </c>
      <c r="O10" s="202">
        <v>7</v>
      </c>
      <c r="P10" s="78">
        <v>12591</v>
      </c>
      <c r="Q10" s="203">
        <v>32</v>
      </c>
      <c r="R10" s="203">
        <v>776</v>
      </c>
      <c r="S10" s="205" t="s">
        <v>190</v>
      </c>
      <c r="AR10" s="73"/>
      <c r="AT10" s="66">
        <v>1976</v>
      </c>
      <c r="AU10" s="66">
        <v>1833</v>
      </c>
      <c r="AV10" s="67">
        <v>0.40200000000000002</v>
      </c>
      <c r="AW10" s="67">
        <v>0.59199999999999997</v>
      </c>
      <c r="AX10" s="66">
        <v>1069</v>
      </c>
      <c r="AY10" s="68">
        <v>0</v>
      </c>
      <c r="AZ10" s="68">
        <v>0.64</v>
      </c>
      <c r="BA10" s="68">
        <v>0.35</v>
      </c>
      <c r="BB10" s="68">
        <v>0.01</v>
      </c>
      <c r="BC10" s="69">
        <v>0</v>
      </c>
      <c r="BF10" s="82" t="s">
        <v>89</v>
      </c>
      <c r="BG10" s="85">
        <v>22.1</v>
      </c>
      <c r="BH10" s="86" t="s">
        <v>81</v>
      </c>
      <c r="BI10" s="86" t="s">
        <v>81</v>
      </c>
      <c r="BJ10" s="86" t="s">
        <v>81</v>
      </c>
      <c r="BK10" s="86"/>
      <c r="BL10" s="86" t="s">
        <v>81</v>
      </c>
      <c r="BM10" s="86" t="s">
        <v>81</v>
      </c>
      <c r="BN10" s="85">
        <v>22.1</v>
      </c>
      <c r="BO10" s="85">
        <v>56.3</v>
      </c>
      <c r="BP10" s="85">
        <v>78.400000000000006</v>
      </c>
      <c r="DU10" s="253"/>
      <c r="DV10" s="253"/>
      <c r="DW10" s="74"/>
      <c r="DX10">
        <v>2011</v>
      </c>
      <c r="DY10" s="74">
        <f>1673-15</f>
        <v>1658</v>
      </c>
      <c r="DZ10" s="74">
        <v>553</v>
      </c>
      <c r="EA10" s="74">
        <v>756</v>
      </c>
      <c r="EB10" s="74">
        <v>2511</v>
      </c>
      <c r="EC10" s="74">
        <v>181</v>
      </c>
      <c r="ED10" s="74">
        <f t="shared" si="0"/>
        <v>5659</v>
      </c>
      <c r="EE10" s="74"/>
      <c r="EF10">
        <v>2011</v>
      </c>
      <c r="EG10" s="74">
        <v>23334</v>
      </c>
      <c r="EH10" s="74">
        <f t="shared" si="1"/>
        <v>9910.1540150423352</v>
      </c>
      <c r="EI10" s="74">
        <f t="shared" si="2"/>
        <v>5659</v>
      </c>
      <c r="EJ10" s="74">
        <f t="shared" si="3"/>
        <v>33244.154015042339</v>
      </c>
      <c r="EK10" s="74">
        <f t="shared" si="4"/>
        <v>38903.154015042339</v>
      </c>
      <c r="EL10" s="74"/>
      <c r="EM10">
        <v>2011</v>
      </c>
      <c r="EN10">
        <f>DO44</f>
        <v>4346</v>
      </c>
      <c r="EO10" s="74">
        <f>Fishery!FC101</f>
        <v>93</v>
      </c>
      <c r="EP10" s="74">
        <f t="shared" si="5"/>
        <v>4439</v>
      </c>
      <c r="EQ10" s="74"/>
      <c r="ER10">
        <v>2011</v>
      </c>
      <c r="ES10" s="74">
        <f>2593+34+1728</f>
        <v>4355</v>
      </c>
      <c r="ET10" s="74">
        <v>488</v>
      </c>
      <c r="EU10" s="74">
        <v>4843</v>
      </c>
      <c r="EV10" s="74"/>
      <c r="EW10" s="74">
        <f>1637+21</f>
        <v>1658</v>
      </c>
      <c r="EX10" s="74">
        <v>15</v>
      </c>
      <c r="EY10" s="74">
        <v>1673</v>
      </c>
      <c r="EZ10" s="74"/>
      <c r="FA10" s="74">
        <v>6516</v>
      </c>
      <c r="FC10">
        <v>2011</v>
      </c>
      <c r="FT10" s="74">
        <f t="shared" si="6"/>
        <v>34557</v>
      </c>
      <c r="FU10" s="74">
        <f t="shared" si="7"/>
        <v>9191</v>
      </c>
      <c r="FV10">
        <v>43748</v>
      </c>
      <c r="FZ10">
        <v>2011</v>
      </c>
      <c r="GA10">
        <v>87</v>
      </c>
      <c r="GB10">
        <v>927</v>
      </c>
      <c r="GC10">
        <f t="shared" si="8"/>
        <v>1014</v>
      </c>
      <c r="GD10" s="74">
        <f>GC10*FW$19</f>
        <v>800.96292552541559</v>
      </c>
      <c r="GE10" s="74">
        <f>GC10*FX$19</f>
        <v>213.03707447458427</v>
      </c>
      <c r="GG10">
        <v>2011</v>
      </c>
      <c r="GH10" s="74">
        <f t="shared" si="9"/>
        <v>34557</v>
      </c>
      <c r="GI10" s="74">
        <f t="shared" si="10"/>
        <v>9191</v>
      </c>
      <c r="GJ10" s="74"/>
      <c r="GK10" s="74">
        <f t="shared" si="11"/>
        <v>4843</v>
      </c>
      <c r="GL10" s="74">
        <f t="shared" si="12"/>
        <v>1673</v>
      </c>
      <c r="GM10" s="74"/>
      <c r="GN10" s="74">
        <f t="shared" si="13"/>
        <v>800.96292552541559</v>
      </c>
      <c r="GO10" s="74">
        <f t="shared" si="14"/>
        <v>213.03707447458427</v>
      </c>
      <c r="GP10" s="74"/>
      <c r="GQ10" s="74">
        <f>Fishery!FD39</f>
        <v>20582</v>
      </c>
      <c r="GR10" s="74">
        <f>Fishery!FA18</f>
        <v>434</v>
      </c>
      <c r="GS10" s="74"/>
      <c r="GT10" s="74">
        <f t="shared" si="15"/>
        <v>60782.962925525419</v>
      </c>
      <c r="GU10" s="74">
        <f t="shared" si="16"/>
        <v>11511.037074474585</v>
      </c>
      <c r="GW10">
        <v>2011</v>
      </c>
      <c r="GX10" s="74">
        <f t="shared" si="17"/>
        <v>60782.962925525419</v>
      </c>
      <c r="GY10" s="74">
        <f t="shared" si="18"/>
        <v>11511.037074474585</v>
      </c>
      <c r="HA10">
        <f>Fishery!FF39</f>
        <v>2118</v>
      </c>
      <c r="HB10">
        <f>Fishery!FD18</f>
        <v>118</v>
      </c>
      <c r="HD10">
        <f>Fishery!FC39</f>
        <v>1975</v>
      </c>
      <c r="HE10">
        <f>Fishery!FE18</f>
        <v>44</v>
      </c>
      <c r="HG10" s="74">
        <f t="shared" si="19"/>
        <v>64875.962925525419</v>
      </c>
      <c r="HH10" s="74">
        <f t="shared" si="20"/>
        <v>11673.037074474585</v>
      </c>
      <c r="HJ10">
        <v>2011</v>
      </c>
      <c r="HK10" s="74">
        <f t="shared" si="21"/>
        <v>4346</v>
      </c>
      <c r="HL10" s="74">
        <f t="shared" si="22"/>
        <v>93</v>
      </c>
      <c r="HM10" s="74"/>
      <c r="HN10" s="74">
        <f t="shared" si="23"/>
        <v>488</v>
      </c>
      <c r="HO10" s="74">
        <f t="shared" si="24"/>
        <v>15</v>
      </c>
      <c r="HP10" s="74"/>
      <c r="HQ10" s="74">
        <f t="shared" si="25"/>
        <v>20582</v>
      </c>
      <c r="HR10" s="74">
        <f t="shared" si="26"/>
        <v>434</v>
      </c>
      <c r="HS10" s="74"/>
      <c r="HT10" s="74">
        <f t="shared" si="27"/>
        <v>1975</v>
      </c>
      <c r="HU10" s="74">
        <f t="shared" si="28"/>
        <v>44</v>
      </c>
      <c r="HV10" s="74"/>
      <c r="HW10" s="74">
        <f t="shared" si="29"/>
        <v>2118</v>
      </c>
      <c r="HX10" s="74">
        <f t="shared" si="30"/>
        <v>118</v>
      </c>
      <c r="HY10" s="74"/>
      <c r="HZ10" s="74">
        <f t="shared" si="31"/>
        <v>29509</v>
      </c>
      <c r="IA10" s="74">
        <f t="shared" si="32"/>
        <v>704</v>
      </c>
      <c r="IC10">
        <v>1986</v>
      </c>
      <c r="ID10">
        <v>629</v>
      </c>
      <c r="IE10" t="s">
        <v>163</v>
      </c>
      <c r="IF10" s="16">
        <v>3.3</v>
      </c>
      <c r="IG10">
        <v>0.3</v>
      </c>
      <c r="IH10" s="372">
        <v>0</v>
      </c>
      <c r="II10" s="16">
        <v>6.2</v>
      </c>
      <c r="IJ10">
        <v>0</v>
      </c>
      <c r="IK10">
        <v>4.5</v>
      </c>
      <c r="IL10">
        <v>0.5</v>
      </c>
      <c r="IM10">
        <v>0.5</v>
      </c>
      <c r="IN10">
        <v>1.9</v>
      </c>
      <c r="IO10">
        <v>0</v>
      </c>
      <c r="IP10">
        <v>0</v>
      </c>
      <c r="IQ10">
        <v>0</v>
      </c>
      <c r="IR10" s="372">
        <v>0</v>
      </c>
      <c r="IS10" s="16">
        <v>0</v>
      </c>
      <c r="IT10">
        <v>0.2</v>
      </c>
      <c r="IU10">
        <v>0</v>
      </c>
      <c r="IV10">
        <v>0.3</v>
      </c>
      <c r="IW10">
        <v>0</v>
      </c>
      <c r="IX10">
        <v>0</v>
      </c>
      <c r="IY10" s="372">
        <v>0</v>
      </c>
      <c r="IZ10">
        <v>0</v>
      </c>
      <c r="JA10">
        <v>0</v>
      </c>
      <c r="JB10">
        <v>0</v>
      </c>
      <c r="JC10">
        <v>0</v>
      </c>
      <c r="JD10">
        <v>0</v>
      </c>
      <c r="JE10">
        <v>0</v>
      </c>
      <c r="JF10">
        <v>9.9</v>
      </c>
      <c r="JG10">
        <v>17.8</v>
      </c>
      <c r="JH10">
        <v>0</v>
      </c>
      <c r="JI10">
        <v>54.7</v>
      </c>
    </row>
    <row r="11" spans="2:269" ht="15" x14ac:dyDescent="0.3">
      <c r="B11" s="191" t="s">
        <v>177</v>
      </c>
      <c r="C11" s="194">
        <v>45.5</v>
      </c>
      <c r="D11" s="194">
        <v>1.3</v>
      </c>
      <c r="E11" s="194">
        <v>1.6</v>
      </c>
      <c r="F11" s="194">
        <v>42.6</v>
      </c>
      <c r="G11" s="193">
        <v>5.6</v>
      </c>
      <c r="H11" s="192">
        <v>13.4</v>
      </c>
      <c r="I11" s="193">
        <v>28</v>
      </c>
      <c r="J11" s="194">
        <v>8.6</v>
      </c>
      <c r="L11" s="105">
        <v>1987</v>
      </c>
      <c r="M11" s="201">
        <v>54832</v>
      </c>
      <c r="N11" s="78">
        <v>6442</v>
      </c>
      <c r="O11" s="202">
        <v>12</v>
      </c>
      <c r="P11" s="78">
        <v>16517</v>
      </c>
      <c r="Q11" s="203">
        <v>30</v>
      </c>
      <c r="R11" s="204">
        <v>1005</v>
      </c>
      <c r="S11" s="205" t="s">
        <v>190</v>
      </c>
      <c r="AR11" s="73"/>
      <c r="AT11" s="66">
        <v>1977</v>
      </c>
      <c r="AU11" s="66">
        <v>2650</v>
      </c>
      <c r="AV11" s="67">
        <v>0.63400000000000001</v>
      </c>
      <c r="AW11" s="67">
        <v>0.51800000000000002</v>
      </c>
      <c r="AX11" s="66">
        <v>1807</v>
      </c>
      <c r="AY11" s="68">
        <v>0</v>
      </c>
      <c r="AZ11" s="68">
        <v>0.49</v>
      </c>
      <c r="BA11" s="68">
        <v>0.49</v>
      </c>
      <c r="BB11" s="68">
        <v>0.01</v>
      </c>
      <c r="BC11" s="69">
        <v>0</v>
      </c>
      <c r="BF11" s="82" t="s">
        <v>90</v>
      </c>
      <c r="BG11" s="85">
        <v>36.1</v>
      </c>
      <c r="BH11" s="86" t="s">
        <v>81</v>
      </c>
      <c r="BI11" s="86" t="s">
        <v>81</v>
      </c>
      <c r="BJ11" s="86" t="s">
        <v>81</v>
      </c>
      <c r="BK11" s="86"/>
      <c r="BL11" s="86" t="s">
        <v>81</v>
      </c>
      <c r="BM11" s="86" t="s">
        <v>81</v>
      </c>
      <c r="BN11" s="85">
        <v>36.1</v>
      </c>
      <c r="BO11" s="85">
        <v>82.7</v>
      </c>
      <c r="BP11" s="85">
        <v>118.8</v>
      </c>
      <c r="DI11" s="253" t="s">
        <v>382</v>
      </c>
      <c r="DJ11" t="s">
        <v>382</v>
      </c>
      <c r="DK11">
        <v>38</v>
      </c>
      <c r="DL11">
        <v>8</v>
      </c>
      <c r="DM11">
        <v>12</v>
      </c>
      <c r="DN11">
        <v>181</v>
      </c>
      <c r="DO11">
        <v>34</v>
      </c>
      <c r="DP11">
        <v>104</v>
      </c>
      <c r="DQ11">
        <v>44</v>
      </c>
      <c r="DR11">
        <v>5</v>
      </c>
      <c r="DS11">
        <v>59</v>
      </c>
      <c r="DT11">
        <v>45</v>
      </c>
      <c r="DU11" s="253"/>
      <c r="DV11" s="253"/>
      <c r="DW11" s="74"/>
      <c r="DX11">
        <v>2012</v>
      </c>
      <c r="DY11" s="74">
        <f>1697-20</f>
        <v>1677</v>
      </c>
      <c r="DZ11" s="74">
        <v>348</v>
      </c>
      <c r="EA11" s="74">
        <v>544</v>
      </c>
      <c r="EB11" s="74">
        <v>1769</v>
      </c>
      <c r="EC11" s="74">
        <v>175</v>
      </c>
      <c r="ED11" s="74">
        <f t="shared" si="0"/>
        <v>4513</v>
      </c>
      <c r="EE11" s="74"/>
      <c r="EF11">
        <v>2012</v>
      </c>
      <c r="EG11" s="74">
        <v>21767</v>
      </c>
      <c r="EH11" s="74">
        <f t="shared" si="1"/>
        <v>6554.9045142577561</v>
      </c>
      <c r="EI11" s="74">
        <f t="shared" si="2"/>
        <v>4513</v>
      </c>
      <c r="EJ11" s="74">
        <f t="shared" si="3"/>
        <v>28321.904514257756</v>
      </c>
      <c r="EK11" s="74">
        <f t="shared" si="4"/>
        <v>32834.904514257752</v>
      </c>
      <c r="EL11" s="74"/>
      <c r="EM11">
        <v>2012</v>
      </c>
      <c r="EN11">
        <f>DP44</f>
        <v>4540</v>
      </c>
      <c r="EO11" s="74">
        <f>Fishery!FC102</f>
        <v>126</v>
      </c>
      <c r="EP11" s="74">
        <f t="shared" si="5"/>
        <v>4666</v>
      </c>
      <c r="EQ11" s="74"/>
      <c r="ER11">
        <v>2012</v>
      </c>
      <c r="ES11" s="74">
        <f>1684+30+1683</f>
        <v>3397</v>
      </c>
      <c r="ET11" s="74">
        <v>545</v>
      </c>
      <c r="EU11" s="74">
        <v>3942</v>
      </c>
      <c r="EV11" s="74"/>
      <c r="EW11" s="74">
        <f>1647+30</f>
        <v>1677</v>
      </c>
      <c r="EX11" s="74">
        <v>20</v>
      </c>
      <c r="EY11" s="74">
        <v>1697</v>
      </c>
      <c r="EZ11" s="74"/>
      <c r="FA11" s="74">
        <v>5639</v>
      </c>
      <c r="FC11">
        <v>2012</v>
      </c>
      <c r="FF11">
        <v>0</v>
      </c>
      <c r="FG11">
        <v>1</v>
      </c>
      <c r="FH11">
        <v>1</v>
      </c>
      <c r="FI11">
        <v>0</v>
      </c>
      <c r="FJ11">
        <v>1380</v>
      </c>
      <c r="FK11">
        <v>478</v>
      </c>
      <c r="FL11">
        <v>14514</v>
      </c>
      <c r="FM11">
        <v>4389</v>
      </c>
      <c r="FN11">
        <v>9316</v>
      </c>
      <c r="FO11">
        <v>2367</v>
      </c>
      <c r="FP11">
        <v>2232</v>
      </c>
      <c r="FQ11">
        <v>1039</v>
      </c>
      <c r="FR11">
        <v>46</v>
      </c>
      <c r="FS11">
        <v>136</v>
      </c>
      <c r="FT11" s="74">
        <f>FD11+FF11+FH11+FJ11+FL11+FN11+FP11+FR11</f>
        <v>27489</v>
      </c>
      <c r="FU11" s="74">
        <f>FE11+FG11+FI11+FK11+FM11+FO11+FQ11+FS11</f>
        <v>8410</v>
      </c>
      <c r="FV11">
        <f>SUM(FE11:FS11)</f>
        <v>35899</v>
      </c>
      <c r="FW11">
        <f>FT11/FV11</f>
        <v>0.76573163597871807</v>
      </c>
      <c r="FX11">
        <f>FU11/FV11</f>
        <v>0.23426836402128193</v>
      </c>
      <c r="FZ11">
        <v>2012</v>
      </c>
      <c r="GA11">
        <v>117</v>
      </c>
      <c r="GB11">
        <v>613</v>
      </c>
      <c r="GC11">
        <f t="shared" si="8"/>
        <v>730</v>
      </c>
      <c r="GD11" s="74">
        <f t="shared" ref="GD11:GD16" si="33">GC11*FW11</f>
        <v>558.98409426446415</v>
      </c>
      <c r="GE11" s="74">
        <f t="shared" ref="GE11:GE16" si="34">GC11*FX11</f>
        <v>171.0159057355358</v>
      </c>
      <c r="GG11">
        <v>2012</v>
      </c>
      <c r="GH11" s="74">
        <f t="shared" si="9"/>
        <v>27489</v>
      </c>
      <c r="GI11" s="74">
        <f t="shared" si="10"/>
        <v>8410</v>
      </c>
      <c r="GJ11" s="74"/>
      <c r="GK11" s="74">
        <f t="shared" si="11"/>
        <v>3942</v>
      </c>
      <c r="GL11" s="74">
        <f t="shared" si="12"/>
        <v>1697</v>
      </c>
      <c r="GM11" s="74"/>
      <c r="GN11" s="74">
        <f t="shared" si="13"/>
        <v>558.98409426446415</v>
      </c>
      <c r="GO11" s="74">
        <f t="shared" si="14"/>
        <v>171.0159057355358</v>
      </c>
      <c r="GP11" s="74"/>
      <c r="GQ11" s="74">
        <f>Fishery!FD38</f>
        <v>15096</v>
      </c>
      <c r="GR11" s="74">
        <f>Fishery!FA17</f>
        <v>310</v>
      </c>
      <c r="GS11" s="74"/>
      <c r="GT11" s="74">
        <f t="shared" si="15"/>
        <v>47085.984094264466</v>
      </c>
      <c r="GU11" s="74">
        <f t="shared" si="16"/>
        <v>10588.015905735536</v>
      </c>
      <c r="GW11">
        <v>2012</v>
      </c>
      <c r="GX11" s="74">
        <f t="shared" si="17"/>
        <v>47085.984094264466</v>
      </c>
      <c r="GY11" s="74">
        <f t="shared" si="18"/>
        <v>10588.015905735536</v>
      </c>
      <c r="HA11">
        <f>Fishery!FF38</f>
        <v>2242</v>
      </c>
      <c r="HB11">
        <f>Fishery!FD17</f>
        <v>48</v>
      </c>
      <c r="HD11">
        <f>Fishery!FC38</f>
        <v>3008</v>
      </c>
      <c r="HE11">
        <f>Fishery!FE17</f>
        <v>67</v>
      </c>
      <c r="HG11" s="74">
        <f t="shared" si="19"/>
        <v>52335.984094264466</v>
      </c>
      <c r="HH11" s="74">
        <f t="shared" si="20"/>
        <v>10703.015905735536</v>
      </c>
      <c r="HJ11">
        <v>2012</v>
      </c>
      <c r="HK11" s="74">
        <f t="shared" si="21"/>
        <v>4540</v>
      </c>
      <c r="HL11" s="74">
        <f t="shared" si="22"/>
        <v>126</v>
      </c>
      <c r="HM11" s="74"/>
      <c r="HN11" s="74">
        <f t="shared" si="23"/>
        <v>545</v>
      </c>
      <c r="HO11" s="74">
        <f t="shared" si="24"/>
        <v>20</v>
      </c>
      <c r="HP11" s="74"/>
      <c r="HQ11" s="74">
        <f t="shared" si="25"/>
        <v>15096</v>
      </c>
      <c r="HR11" s="74">
        <f t="shared" si="26"/>
        <v>310</v>
      </c>
      <c r="HS11" s="74"/>
      <c r="HT11" s="74">
        <f t="shared" si="27"/>
        <v>3008</v>
      </c>
      <c r="HU11" s="74">
        <f t="shared" si="28"/>
        <v>67</v>
      </c>
      <c r="HV11" s="74"/>
      <c r="HW11" s="74">
        <f t="shared" si="29"/>
        <v>2242</v>
      </c>
      <c r="HX11" s="74">
        <f t="shared" si="30"/>
        <v>48</v>
      </c>
      <c r="HY11" s="74"/>
      <c r="HZ11" s="74">
        <f t="shared" si="31"/>
        <v>25431</v>
      </c>
      <c r="IA11" s="74">
        <f t="shared" si="32"/>
        <v>571</v>
      </c>
      <c r="IC11">
        <v>1987</v>
      </c>
      <c r="ID11">
        <v>686</v>
      </c>
      <c r="IE11" t="s">
        <v>163</v>
      </c>
      <c r="IF11" s="16">
        <v>15.9</v>
      </c>
      <c r="IG11">
        <v>0</v>
      </c>
      <c r="IH11" s="372">
        <v>0.6</v>
      </c>
      <c r="II11" s="16">
        <v>12</v>
      </c>
      <c r="IJ11">
        <v>0</v>
      </c>
      <c r="IK11">
        <v>1.3</v>
      </c>
      <c r="IL11">
        <v>0.9</v>
      </c>
      <c r="IM11">
        <v>1</v>
      </c>
      <c r="IN11">
        <v>0.7</v>
      </c>
      <c r="IO11">
        <v>0</v>
      </c>
      <c r="IP11">
        <v>0</v>
      </c>
      <c r="IQ11">
        <v>0</v>
      </c>
      <c r="IR11" s="372">
        <v>0</v>
      </c>
      <c r="IS11" s="16">
        <v>1.7</v>
      </c>
      <c r="IT11">
        <v>0</v>
      </c>
      <c r="IU11">
        <v>1.2</v>
      </c>
      <c r="IV11">
        <v>0</v>
      </c>
      <c r="IW11">
        <v>0</v>
      </c>
      <c r="IX11">
        <v>0</v>
      </c>
      <c r="IY11" s="372">
        <v>0.6</v>
      </c>
      <c r="IZ11">
        <v>0</v>
      </c>
      <c r="JA11">
        <v>0</v>
      </c>
      <c r="JB11">
        <v>0</v>
      </c>
      <c r="JC11">
        <v>0</v>
      </c>
      <c r="JD11">
        <v>0</v>
      </c>
      <c r="JE11">
        <v>0</v>
      </c>
      <c r="JF11">
        <v>4.7</v>
      </c>
      <c r="JG11">
        <v>26.2</v>
      </c>
      <c r="JH11">
        <v>0</v>
      </c>
      <c r="JI11">
        <v>33.200000000000003</v>
      </c>
    </row>
    <row r="12" spans="2:269" ht="15" x14ac:dyDescent="0.3">
      <c r="B12" s="191" t="s">
        <v>178</v>
      </c>
      <c r="C12" s="194">
        <v>71</v>
      </c>
      <c r="D12" s="194">
        <v>2.2000000000000002</v>
      </c>
      <c r="E12" s="194">
        <v>2.9</v>
      </c>
      <c r="F12" s="194">
        <v>65.900000000000006</v>
      </c>
      <c r="G12" s="193">
        <v>15.4</v>
      </c>
      <c r="H12" s="192">
        <v>21.4</v>
      </c>
      <c r="I12" s="193">
        <v>42.1</v>
      </c>
      <c r="J12" s="194">
        <v>7.1</v>
      </c>
      <c r="L12" s="105">
        <v>1988</v>
      </c>
      <c r="M12" s="201">
        <v>70451</v>
      </c>
      <c r="N12" s="78">
        <v>8536</v>
      </c>
      <c r="O12" s="202">
        <v>12</v>
      </c>
      <c r="P12" s="78">
        <v>22534</v>
      </c>
      <c r="Q12" s="203">
        <v>32</v>
      </c>
      <c r="R12" s="204">
        <v>1253</v>
      </c>
      <c r="S12" s="206">
        <v>3700</v>
      </c>
      <c r="AR12" s="73"/>
      <c r="AT12" s="66">
        <v>1978</v>
      </c>
      <c r="AU12" s="66">
        <v>3020</v>
      </c>
      <c r="AV12" s="67">
        <v>0.33100000000000002</v>
      </c>
      <c r="AW12" s="67">
        <v>0.56000000000000005</v>
      </c>
      <c r="AX12" s="66">
        <v>1272</v>
      </c>
      <c r="AY12" s="68">
        <v>0</v>
      </c>
      <c r="AZ12" s="68">
        <v>0.49</v>
      </c>
      <c r="BA12" s="68">
        <v>0.5</v>
      </c>
      <c r="BB12" s="68">
        <v>0.01</v>
      </c>
      <c r="BC12" s="69">
        <v>0</v>
      </c>
      <c r="BF12" s="82">
        <v>1946</v>
      </c>
      <c r="BG12" s="85">
        <v>6.9</v>
      </c>
      <c r="BH12" s="86" t="s">
        <v>81</v>
      </c>
      <c r="BI12" s="85">
        <v>68.599999999999994</v>
      </c>
      <c r="BJ12" s="86" t="s">
        <v>81</v>
      </c>
      <c r="BK12" s="86"/>
      <c r="BL12" s="86" t="s">
        <v>81</v>
      </c>
      <c r="BM12" s="86" t="s">
        <v>81</v>
      </c>
      <c r="BN12" s="85">
        <v>75.5</v>
      </c>
      <c r="BO12" s="85">
        <v>123.8</v>
      </c>
      <c r="BP12" s="85">
        <v>199.3</v>
      </c>
      <c r="CB12" s="124">
        <v>1946</v>
      </c>
      <c r="CC12" s="115"/>
      <c r="CD12" s="115"/>
      <c r="CE12" s="115"/>
      <c r="CF12" s="125">
        <v>53000</v>
      </c>
      <c r="CG12" s="126">
        <v>0</v>
      </c>
      <c r="CH12" s="126">
        <v>0</v>
      </c>
      <c r="CI12" s="126">
        <v>0</v>
      </c>
      <c r="CJ12" s="126">
        <v>0</v>
      </c>
      <c r="CK12" s="126">
        <v>0</v>
      </c>
      <c r="CL12" s="126">
        <v>0</v>
      </c>
      <c r="CM12" s="107"/>
      <c r="CN12" s="126">
        <v>0</v>
      </c>
      <c r="CO12" s="126">
        <v>0</v>
      </c>
      <c r="CP12" s="126">
        <v>0</v>
      </c>
      <c r="CQ12" s="127">
        <v>0</v>
      </c>
      <c r="CR12" s="127">
        <v>0</v>
      </c>
      <c r="CS12" s="128">
        <v>1946</v>
      </c>
      <c r="DJ12" t="s">
        <v>384</v>
      </c>
      <c r="DK12">
        <v>0</v>
      </c>
      <c r="DL12">
        <v>0</v>
      </c>
      <c r="DM12">
        <v>0</v>
      </c>
      <c r="DN12">
        <v>0</v>
      </c>
      <c r="DO12">
        <v>0</v>
      </c>
      <c r="DP12">
        <v>0</v>
      </c>
      <c r="DQ12">
        <v>0</v>
      </c>
      <c r="DR12">
        <v>0</v>
      </c>
      <c r="DS12">
        <v>6</v>
      </c>
      <c r="DT12">
        <v>0</v>
      </c>
      <c r="DU12" s="253"/>
      <c r="DV12" s="253"/>
      <c r="DW12" s="74"/>
      <c r="DX12">
        <v>2013</v>
      </c>
      <c r="DY12" s="74">
        <f>2149-16</f>
        <v>2133</v>
      </c>
      <c r="DZ12" s="74">
        <v>341</v>
      </c>
      <c r="EA12" s="74">
        <v>631</v>
      </c>
      <c r="EB12" s="74">
        <v>1202</v>
      </c>
      <c r="EC12" s="74">
        <v>59</v>
      </c>
      <c r="ED12" s="74">
        <f t="shared" si="0"/>
        <v>4366</v>
      </c>
      <c r="EE12" s="74"/>
      <c r="EF12">
        <v>2013</v>
      </c>
      <c r="EG12" s="74">
        <v>18107</v>
      </c>
      <c r="EH12" s="74">
        <f t="shared" si="1"/>
        <v>6573.5919092727599</v>
      </c>
      <c r="EI12" s="74">
        <f t="shared" si="2"/>
        <v>4366</v>
      </c>
      <c r="EJ12" s="74">
        <f t="shared" si="3"/>
        <v>24680.59190927276</v>
      </c>
      <c r="EK12" s="74">
        <f t="shared" si="4"/>
        <v>29046.59190927276</v>
      </c>
      <c r="EL12" s="74"/>
      <c r="EM12">
        <v>2013</v>
      </c>
      <c r="EN12">
        <f>DQ44</f>
        <v>2193</v>
      </c>
      <c r="EO12" s="74">
        <f>Fishery!FC103</f>
        <v>59</v>
      </c>
      <c r="EP12" s="74">
        <f t="shared" si="5"/>
        <v>2252</v>
      </c>
      <c r="EQ12" s="74"/>
      <c r="ER12">
        <v>2013</v>
      </c>
      <c r="ES12" s="74">
        <f>1388+4+1870</f>
        <v>3262</v>
      </c>
      <c r="ET12" s="74">
        <v>368</v>
      </c>
      <c r="EU12" s="74">
        <v>3630</v>
      </c>
      <c r="EV12" s="74"/>
      <c r="EW12" s="74">
        <f>2126+7</f>
        <v>2133</v>
      </c>
      <c r="EX12" s="74">
        <v>16</v>
      </c>
      <c r="EY12" s="74">
        <v>2149</v>
      </c>
      <c r="EZ12" s="74"/>
      <c r="FA12" s="74">
        <v>5779</v>
      </c>
      <c r="FC12">
        <v>2013</v>
      </c>
      <c r="FF12">
        <v>2</v>
      </c>
      <c r="FG12">
        <v>0</v>
      </c>
      <c r="FH12">
        <v>31</v>
      </c>
      <c r="FI12">
        <v>14</v>
      </c>
      <c r="FJ12">
        <v>5958</v>
      </c>
      <c r="FK12">
        <v>1701</v>
      </c>
      <c r="FL12">
        <v>7972</v>
      </c>
      <c r="FM12">
        <v>2149</v>
      </c>
      <c r="FN12">
        <v>5828</v>
      </c>
      <c r="FO12">
        <v>2253</v>
      </c>
      <c r="FP12">
        <v>997</v>
      </c>
      <c r="FQ12">
        <v>642</v>
      </c>
      <c r="FR12">
        <v>73</v>
      </c>
      <c r="FS12">
        <v>277</v>
      </c>
      <c r="FT12" s="74">
        <f t="shared" ref="FT12:FT17" si="35">FD12+FF12+FH12+FJ12+FL12+FN12+FP12+FR12</f>
        <v>20861</v>
      </c>
      <c r="FU12" s="74">
        <f t="shared" ref="FU12:FU17" si="36">FE12+FG12+FI12+FK12+FM12+FO12+FQ12+FS12</f>
        <v>7036</v>
      </c>
      <c r="FV12">
        <f t="shared" ref="FV12:FV17" si="37">SUM(FE12:FS12)</f>
        <v>27897</v>
      </c>
      <c r="FW12">
        <f t="shared" ref="FW12:FW17" si="38">FT12/FV12</f>
        <v>0.7477865003405384</v>
      </c>
      <c r="FX12">
        <f t="shared" ref="FX12:FX17" si="39">FU12/FV12</f>
        <v>0.2522134996594616</v>
      </c>
      <c r="FZ12">
        <v>2013</v>
      </c>
      <c r="GA12">
        <v>125</v>
      </c>
      <c r="GB12">
        <v>551</v>
      </c>
      <c r="GC12">
        <f t="shared" si="8"/>
        <v>676</v>
      </c>
      <c r="GD12" s="74">
        <f t="shared" si="33"/>
        <v>505.50367423020396</v>
      </c>
      <c r="GE12" s="74">
        <f t="shared" si="34"/>
        <v>170.49632576979604</v>
      </c>
      <c r="GG12">
        <v>2013</v>
      </c>
      <c r="GH12" s="74">
        <f t="shared" si="9"/>
        <v>20861</v>
      </c>
      <c r="GI12" s="74">
        <f t="shared" si="10"/>
        <v>7036</v>
      </c>
      <c r="GJ12" s="74"/>
      <c r="GK12" s="74">
        <f t="shared" si="11"/>
        <v>3630</v>
      </c>
      <c r="GL12" s="74">
        <f t="shared" si="12"/>
        <v>2149</v>
      </c>
      <c r="GM12" s="74"/>
      <c r="GN12" s="74">
        <f t="shared" si="13"/>
        <v>505.50367423020396</v>
      </c>
      <c r="GO12" s="74">
        <f t="shared" si="14"/>
        <v>170.49632576979604</v>
      </c>
      <c r="GP12" s="74"/>
      <c r="GQ12" s="74">
        <f>Fishery!FD37</f>
        <v>6925</v>
      </c>
      <c r="GR12" s="74">
        <f>Fishery!FA16</f>
        <v>157</v>
      </c>
      <c r="GS12" s="74"/>
      <c r="GT12" s="74">
        <f t="shared" si="15"/>
        <v>31921.503674230204</v>
      </c>
      <c r="GU12" s="74">
        <f t="shared" si="16"/>
        <v>9512.4963257697964</v>
      </c>
      <c r="GW12">
        <v>2013</v>
      </c>
      <c r="GX12" s="74">
        <f t="shared" si="17"/>
        <v>31921.503674230204</v>
      </c>
      <c r="GY12" s="74">
        <f t="shared" si="18"/>
        <v>9512.4963257697964</v>
      </c>
      <c r="HA12">
        <f>Fishery!FF37</f>
        <v>1727</v>
      </c>
      <c r="HB12">
        <f>Fishery!FD16</f>
        <v>40</v>
      </c>
      <c r="HD12">
        <f>Fishery!FC37</f>
        <v>1652</v>
      </c>
      <c r="HE12">
        <f>Fishery!FE16</f>
        <v>27</v>
      </c>
      <c r="HG12" s="74">
        <f t="shared" si="19"/>
        <v>35300.503674230204</v>
      </c>
      <c r="HH12" s="74">
        <f t="shared" si="20"/>
        <v>9579.4963257697964</v>
      </c>
      <c r="HJ12">
        <v>2013</v>
      </c>
      <c r="HK12" s="74">
        <f t="shared" si="21"/>
        <v>2193</v>
      </c>
      <c r="HL12" s="74">
        <f t="shared" si="22"/>
        <v>59</v>
      </c>
      <c r="HM12" s="74"/>
      <c r="HN12" s="74">
        <f t="shared" si="23"/>
        <v>368</v>
      </c>
      <c r="HO12" s="74">
        <f t="shared" si="24"/>
        <v>16</v>
      </c>
      <c r="HP12" s="74"/>
      <c r="HQ12" s="74">
        <f t="shared" si="25"/>
        <v>6925</v>
      </c>
      <c r="HR12" s="74">
        <f t="shared" si="26"/>
        <v>157</v>
      </c>
      <c r="HS12" s="74"/>
      <c r="HT12" s="74">
        <f t="shared" si="27"/>
        <v>1652</v>
      </c>
      <c r="HU12" s="74">
        <f t="shared" si="28"/>
        <v>27</v>
      </c>
      <c r="HV12" s="74"/>
      <c r="HW12" s="74">
        <f t="shared" si="29"/>
        <v>1727</v>
      </c>
      <c r="HX12" s="74">
        <f t="shared" si="30"/>
        <v>40</v>
      </c>
      <c r="HY12" s="74"/>
      <c r="HZ12" s="74">
        <f t="shared" si="31"/>
        <v>12865</v>
      </c>
      <c r="IA12" s="74">
        <f t="shared" si="32"/>
        <v>299</v>
      </c>
      <c r="IC12">
        <v>1988</v>
      </c>
      <c r="ID12">
        <v>2014</v>
      </c>
      <c r="IE12" t="s">
        <v>163</v>
      </c>
      <c r="IF12" s="16">
        <v>10.7</v>
      </c>
      <c r="IG12">
        <v>0.3</v>
      </c>
      <c r="IH12" s="372">
        <v>0.5</v>
      </c>
      <c r="II12" s="16">
        <v>6.7</v>
      </c>
      <c r="IJ12">
        <v>0</v>
      </c>
      <c r="IK12">
        <v>3.5</v>
      </c>
      <c r="IL12">
        <v>0</v>
      </c>
      <c r="IM12">
        <v>0.7</v>
      </c>
      <c r="IN12">
        <v>0</v>
      </c>
      <c r="IO12">
        <v>0</v>
      </c>
      <c r="IP12">
        <v>0</v>
      </c>
      <c r="IQ12">
        <v>0</v>
      </c>
      <c r="IR12" s="372">
        <v>0</v>
      </c>
      <c r="IS12" s="16">
        <v>1.7</v>
      </c>
      <c r="IT12">
        <v>0</v>
      </c>
      <c r="IU12">
        <v>0.3</v>
      </c>
      <c r="IV12">
        <v>0.1</v>
      </c>
      <c r="IW12">
        <v>0</v>
      </c>
      <c r="IX12">
        <v>0</v>
      </c>
      <c r="IY12" s="372">
        <v>0</v>
      </c>
      <c r="IZ12">
        <v>0</v>
      </c>
      <c r="JA12">
        <v>0</v>
      </c>
      <c r="JB12">
        <v>0</v>
      </c>
      <c r="JC12">
        <v>0</v>
      </c>
      <c r="JD12">
        <v>0</v>
      </c>
      <c r="JE12">
        <v>0</v>
      </c>
      <c r="JF12">
        <v>6.5</v>
      </c>
      <c r="JG12">
        <v>28</v>
      </c>
      <c r="JH12">
        <v>0.1</v>
      </c>
      <c r="JI12">
        <v>40.799999999999997</v>
      </c>
    </row>
    <row r="13" spans="2:269" ht="15" x14ac:dyDescent="0.3">
      <c r="C13" s="197"/>
      <c r="D13" s="197"/>
      <c r="E13" s="197"/>
      <c r="F13" s="197"/>
      <c r="G13" s="197"/>
      <c r="H13" s="197"/>
      <c r="I13" s="197"/>
      <c r="J13" s="197"/>
      <c r="L13" s="105">
        <v>1989</v>
      </c>
      <c r="M13" s="201">
        <v>69180</v>
      </c>
      <c r="N13" s="78">
        <v>9375</v>
      </c>
      <c r="O13" s="202">
        <v>14</v>
      </c>
      <c r="P13" s="78">
        <v>27349</v>
      </c>
      <c r="Q13" s="203">
        <v>40</v>
      </c>
      <c r="R13" s="203">
        <v>865</v>
      </c>
      <c r="S13" s="206">
        <v>2520</v>
      </c>
      <c r="AR13" s="73"/>
      <c r="AT13" s="66">
        <v>1979</v>
      </c>
      <c r="AU13" s="66">
        <v>1107</v>
      </c>
      <c r="AV13" s="67">
        <v>0.63400000000000001</v>
      </c>
      <c r="AW13" s="67">
        <v>0.52700000000000002</v>
      </c>
      <c r="AX13" s="66">
        <v>781</v>
      </c>
      <c r="AY13" s="68">
        <v>0</v>
      </c>
      <c r="AZ13" s="68">
        <v>0.4</v>
      </c>
      <c r="BA13" s="68">
        <v>0.59</v>
      </c>
      <c r="BB13" s="68">
        <v>0.01</v>
      </c>
      <c r="BC13" s="69">
        <v>0</v>
      </c>
      <c r="BF13" s="82">
        <v>1947</v>
      </c>
      <c r="BG13" s="85">
        <v>7.3</v>
      </c>
      <c r="BH13" s="86" t="s">
        <v>81</v>
      </c>
      <c r="BI13" s="85">
        <v>59</v>
      </c>
      <c r="BJ13" s="86" t="s">
        <v>81</v>
      </c>
      <c r="BK13" s="86"/>
      <c r="BL13" s="86" t="s">
        <v>81</v>
      </c>
      <c r="BM13" s="86" t="s">
        <v>81</v>
      </c>
      <c r="BN13" s="85">
        <v>66.3</v>
      </c>
      <c r="BO13" s="85">
        <v>185.5</v>
      </c>
      <c r="BP13" s="85">
        <v>251.8</v>
      </c>
      <c r="CB13" s="124">
        <v>1947</v>
      </c>
      <c r="CC13" s="107"/>
      <c r="CD13" s="107"/>
      <c r="CE13" s="107"/>
      <c r="CF13" s="129">
        <v>45000</v>
      </c>
      <c r="CG13" s="127">
        <v>0</v>
      </c>
      <c r="CH13" s="127">
        <v>0</v>
      </c>
      <c r="CI13" s="127">
        <v>0</v>
      </c>
      <c r="CJ13" s="127">
        <v>0</v>
      </c>
      <c r="CK13" s="127">
        <v>0</v>
      </c>
      <c r="CL13" s="127">
        <v>0</v>
      </c>
      <c r="CM13" s="107"/>
      <c r="CN13" s="127">
        <v>0</v>
      </c>
      <c r="CO13" s="127">
        <v>0</v>
      </c>
      <c r="CP13" s="127">
        <v>0</v>
      </c>
      <c r="CQ13" s="127">
        <v>0</v>
      </c>
      <c r="CR13" s="127">
        <v>0</v>
      </c>
      <c r="CS13" s="128">
        <v>1947</v>
      </c>
      <c r="DJ13" s="253" t="s">
        <v>5</v>
      </c>
      <c r="DK13" s="253">
        <f>SUM(DK11:DK12)</f>
        <v>38</v>
      </c>
      <c r="DL13" s="253">
        <f t="shared" ref="DL13:DT13" si="40">SUM(DL11:DL12)</f>
        <v>8</v>
      </c>
      <c r="DM13" s="253">
        <f t="shared" si="40"/>
        <v>12</v>
      </c>
      <c r="DN13" s="253">
        <f t="shared" si="40"/>
        <v>181</v>
      </c>
      <c r="DO13" s="253">
        <f t="shared" si="40"/>
        <v>34</v>
      </c>
      <c r="DP13" s="253">
        <f t="shared" si="40"/>
        <v>104</v>
      </c>
      <c r="DQ13" s="253">
        <f t="shared" si="40"/>
        <v>44</v>
      </c>
      <c r="DR13" s="253">
        <f t="shared" si="40"/>
        <v>5</v>
      </c>
      <c r="DS13" s="253">
        <f t="shared" si="40"/>
        <v>65</v>
      </c>
      <c r="DT13" s="253">
        <f t="shared" si="40"/>
        <v>45</v>
      </c>
      <c r="DU13" s="253">
        <f>SUM(DK13:DT13)</f>
        <v>536</v>
      </c>
      <c r="DV13" s="253">
        <f>+DU13/10</f>
        <v>53.6</v>
      </c>
      <c r="DW13" s="74"/>
      <c r="DX13">
        <v>2014</v>
      </c>
      <c r="DY13" s="74">
        <f>907-5</f>
        <v>902</v>
      </c>
      <c r="DZ13" s="74">
        <v>366</v>
      </c>
      <c r="EA13" s="74">
        <v>886</v>
      </c>
      <c r="EB13" s="74">
        <v>1004</v>
      </c>
      <c r="EC13" s="74">
        <v>91</v>
      </c>
      <c r="ED13" s="74">
        <f t="shared" si="0"/>
        <v>3249</v>
      </c>
      <c r="EE13" s="74"/>
      <c r="EF13">
        <v>2014</v>
      </c>
      <c r="EG13" s="74">
        <v>17889</v>
      </c>
      <c r="EH13" s="74">
        <f t="shared" si="1"/>
        <v>6483.3279090220476</v>
      </c>
      <c r="EI13" s="74">
        <f t="shared" si="2"/>
        <v>3249</v>
      </c>
      <c r="EJ13" s="74">
        <f t="shared" si="3"/>
        <v>24372.327909022046</v>
      </c>
      <c r="EK13" s="74">
        <f t="shared" si="4"/>
        <v>27621.327909022046</v>
      </c>
      <c r="EL13" s="74"/>
      <c r="EM13">
        <v>2014</v>
      </c>
      <c r="EN13">
        <f>DR44</f>
        <v>3191</v>
      </c>
      <c r="EO13" s="74">
        <f>Fishery!FC104</f>
        <v>75</v>
      </c>
      <c r="EP13" s="74">
        <f t="shared" si="5"/>
        <v>3266</v>
      </c>
      <c r="EQ13" s="74"/>
      <c r="ER13">
        <v>2014</v>
      </c>
      <c r="ES13" s="74">
        <f>1210+19+2937</f>
        <v>4166</v>
      </c>
      <c r="ET13" s="74">
        <v>307</v>
      </c>
      <c r="EU13" s="74">
        <v>4473</v>
      </c>
      <c r="EV13" s="74"/>
      <c r="EW13" s="74">
        <f>888+14</f>
        <v>902</v>
      </c>
      <c r="EX13" s="74">
        <v>5</v>
      </c>
      <c r="EY13" s="74">
        <v>907</v>
      </c>
      <c r="EZ13" s="74"/>
      <c r="FA13" s="74">
        <v>5380</v>
      </c>
      <c r="FC13">
        <v>2014</v>
      </c>
      <c r="FH13">
        <v>11</v>
      </c>
      <c r="FI13">
        <v>5</v>
      </c>
      <c r="FJ13">
        <v>2297</v>
      </c>
      <c r="FK13">
        <v>811</v>
      </c>
      <c r="FL13">
        <v>13395</v>
      </c>
      <c r="FM13">
        <v>3152</v>
      </c>
      <c r="FN13">
        <v>5791</v>
      </c>
      <c r="FO13">
        <v>1600</v>
      </c>
      <c r="FP13">
        <v>2101</v>
      </c>
      <c r="FQ13">
        <v>730</v>
      </c>
      <c r="FR13">
        <v>64</v>
      </c>
      <c r="FS13">
        <v>114</v>
      </c>
      <c r="FT13" s="74">
        <f t="shared" ref="FT13" si="41">FD13+FF13+FH13+FJ13+FL13+FN13+FP13+FR13</f>
        <v>23659</v>
      </c>
      <c r="FU13" s="74">
        <f t="shared" ref="FU13" si="42">FE13+FG13+FI13+FK13+FM13+FO13+FQ13+FS13</f>
        <v>6412</v>
      </c>
      <c r="FV13">
        <f t="shared" ref="FV13" si="43">SUM(FE13:FS13)</f>
        <v>30071</v>
      </c>
      <c r="FW13">
        <f t="shared" si="38"/>
        <v>0.78677130790462568</v>
      </c>
      <c r="FX13">
        <f t="shared" si="39"/>
        <v>0.21322869209537429</v>
      </c>
      <c r="FZ13">
        <v>2014</v>
      </c>
      <c r="GA13">
        <v>135</v>
      </c>
      <c r="GB13">
        <v>2680</v>
      </c>
      <c r="GC13">
        <f t="shared" si="8"/>
        <v>2815</v>
      </c>
      <c r="GD13" s="74">
        <f t="shared" si="33"/>
        <v>2214.7612317515213</v>
      </c>
      <c r="GE13" s="74">
        <f t="shared" si="34"/>
        <v>600.23876824847866</v>
      </c>
      <c r="GG13">
        <v>2014</v>
      </c>
      <c r="GH13" s="74">
        <f t="shared" si="9"/>
        <v>23659</v>
      </c>
      <c r="GI13" s="74">
        <f t="shared" si="10"/>
        <v>6412</v>
      </c>
      <c r="GJ13" s="74"/>
      <c r="GK13" s="74">
        <f t="shared" si="11"/>
        <v>4473</v>
      </c>
      <c r="GL13" s="74">
        <f t="shared" si="12"/>
        <v>907</v>
      </c>
      <c r="GM13" s="74"/>
      <c r="GN13" s="74">
        <f t="shared" si="13"/>
        <v>2214.7612317515213</v>
      </c>
      <c r="GO13" s="74">
        <f t="shared" si="14"/>
        <v>600.23876824847866</v>
      </c>
      <c r="GP13" s="74"/>
      <c r="GQ13" s="74">
        <f>Fishery!FD36</f>
        <v>7803</v>
      </c>
      <c r="GR13" s="74">
        <f>Fishery!FA15</f>
        <v>169</v>
      </c>
      <c r="GS13" s="74"/>
      <c r="GT13" s="74">
        <f t="shared" si="15"/>
        <v>38149.761231751523</v>
      </c>
      <c r="GU13" s="74">
        <f t="shared" si="16"/>
        <v>8088.2387682484787</v>
      </c>
      <c r="GW13">
        <v>2014</v>
      </c>
      <c r="GX13" s="74">
        <f t="shared" si="17"/>
        <v>38149.761231751523</v>
      </c>
      <c r="GY13" s="74">
        <f t="shared" si="18"/>
        <v>8088.2387682484787</v>
      </c>
      <c r="HA13">
        <f>Fishery!FF36</f>
        <v>1228</v>
      </c>
      <c r="HB13">
        <f>Fishery!FD15</f>
        <v>31</v>
      </c>
      <c r="HD13">
        <f>Fishery!FC36</f>
        <v>2230</v>
      </c>
      <c r="HE13">
        <f>Fishery!FE15</f>
        <v>38</v>
      </c>
      <c r="HG13" s="74">
        <f t="shared" si="19"/>
        <v>41607.761231751523</v>
      </c>
      <c r="HH13" s="74">
        <f t="shared" si="20"/>
        <v>8157.2387682484787</v>
      </c>
      <c r="HJ13">
        <v>2014</v>
      </c>
      <c r="HK13" s="74">
        <f t="shared" si="21"/>
        <v>3191</v>
      </c>
      <c r="HL13" s="74">
        <f t="shared" si="22"/>
        <v>75</v>
      </c>
      <c r="HM13" s="74"/>
      <c r="HN13" s="74">
        <f t="shared" si="23"/>
        <v>307</v>
      </c>
      <c r="HO13" s="74">
        <f t="shared" si="24"/>
        <v>5</v>
      </c>
      <c r="HP13" s="74"/>
      <c r="HQ13" s="74">
        <f t="shared" si="25"/>
        <v>7803</v>
      </c>
      <c r="HR13" s="74">
        <f t="shared" si="26"/>
        <v>169</v>
      </c>
      <c r="HS13" s="74"/>
      <c r="HT13" s="74">
        <f t="shared" si="27"/>
        <v>2230</v>
      </c>
      <c r="HU13" s="74">
        <f t="shared" si="28"/>
        <v>38</v>
      </c>
      <c r="HV13" s="74"/>
      <c r="HW13" s="74">
        <f t="shared" si="29"/>
        <v>1228</v>
      </c>
      <c r="HX13" s="74">
        <f t="shared" si="30"/>
        <v>31</v>
      </c>
      <c r="HY13" s="74"/>
      <c r="HZ13" s="74">
        <f t="shared" si="31"/>
        <v>14759</v>
      </c>
      <c r="IA13" s="74">
        <f t="shared" si="32"/>
        <v>318</v>
      </c>
      <c r="IC13">
        <v>1989</v>
      </c>
      <c r="ID13">
        <v>2681</v>
      </c>
      <c r="IE13" t="s">
        <v>163</v>
      </c>
      <c r="IF13" s="16">
        <v>5.2</v>
      </c>
      <c r="IG13">
        <v>0</v>
      </c>
      <c r="IH13" s="372">
        <v>0.2</v>
      </c>
      <c r="II13" s="16">
        <v>1.8</v>
      </c>
      <c r="IJ13">
        <v>0</v>
      </c>
      <c r="IK13">
        <v>1.5</v>
      </c>
      <c r="IL13">
        <v>0.3</v>
      </c>
      <c r="IM13">
        <v>0</v>
      </c>
      <c r="IN13">
        <v>0.1</v>
      </c>
      <c r="IO13">
        <v>0</v>
      </c>
      <c r="IP13">
        <v>0</v>
      </c>
      <c r="IQ13">
        <v>0.1</v>
      </c>
      <c r="IR13" s="372">
        <v>0.4</v>
      </c>
      <c r="IS13" s="16">
        <v>1.6</v>
      </c>
      <c r="IT13">
        <v>0.1</v>
      </c>
      <c r="IU13">
        <v>0</v>
      </c>
      <c r="IV13">
        <v>0</v>
      </c>
      <c r="IW13">
        <v>0</v>
      </c>
      <c r="IX13">
        <v>0</v>
      </c>
      <c r="IY13" s="372">
        <v>0.1</v>
      </c>
      <c r="IZ13">
        <v>0</v>
      </c>
      <c r="JA13">
        <v>0</v>
      </c>
      <c r="JB13">
        <v>0</v>
      </c>
      <c r="JC13">
        <v>0</v>
      </c>
      <c r="JD13">
        <v>0</v>
      </c>
      <c r="JE13">
        <v>0</v>
      </c>
      <c r="JF13">
        <v>12.3</v>
      </c>
      <c r="JG13">
        <v>20.399999999999999</v>
      </c>
      <c r="JH13">
        <v>0</v>
      </c>
      <c r="JI13">
        <v>55.7</v>
      </c>
    </row>
    <row r="14" spans="2:269" ht="15" x14ac:dyDescent="0.3">
      <c r="L14" s="105">
        <v>1990</v>
      </c>
      <c r="M14" s="201">
        <v>71273</v>
      </c>
      <c r="N14" s="78">
        <v>10856</v>
      </c>
      <c r="O14" s="202">
        <v>15</v>
      </c>
      <c r="P14" s="78">
        <v>29692</v>
      </c>
      <c r="Q14" s="203">
        <v>42</v>
      </c>
      <c r="R14" s="204">
        <v>1847</v>
      </c>
      <c r="S14" s="206">
        <v>1425</v>
      </c>
      <c r="AC14" s="59">
        <v>1980</v>
      </c>
      <c r="AD14" s="59">
        <v>2589</v>
      </c>
      <c r="AE14" s="60">
        <v>0.32600000000000001</v>
      </c>
      <c r="AF14" s="61">
        <v>0.13</v>
      </c>
      <c r="AG14" s="61">
        <v>0.60099999999999998</v>
      </c>
      <c r="AH14" s="62">
        <v>0</v>
      </c>
      <c r="AI14" s="62">
        <v>0.6</v>
      </c>
      <c r="AJ14" s="63">
        <v>0.39</v>
      </c>
      <c r="AK14" s="63">
        <v>0.01</v>
      </c>
      <c r="AR14" s="73"/>
      <c r="AT14" s="66">
        <v>1980</v>
      </c>
      <c r="AU14" s="66">
        <v>1972</v>
      </c>
      <c r="AV14" s="67">
        <v>0.67100000000000004</v>
      </c>
      <c r="AW14" s="67">
        <v>0.41699999999999998</v>
      </c>
      <c r="AX14" s="66">
        <v>947</v>
      </c>
      <c r="AY14" s="68">
        <v>0</v>
      </c>
      <c r="AZ14" s="68">
        <v>0.5</v>
      </c>
      <c r="BA14" s="68">
        <v>0.47</v>
      </c>
      <c r="BB14" s="68">
        <v>0.03</v>
      </c>
      <c r="BC14" s="69">
        <v>0</v>
      </c>
      <c r="BF14" s="82">
        <v>1948</v>
      </c>
      <c r="BG14" s="85">
        <v>7.5</v>
      </c>
      <c r="BH14" s="86" t="s">
        <v>81</v>
      </c>
      <c r="BI14" s="85">
        <v>40.1</v>
      </c>
      <c r="BJ14" s="86" t="s">
        <v>81</v>
      </c>
      <c r="BK14" s="86"/>
      <c r="BL14" s="86" t="s">
        <v>81</v>
      </c>
      <c r="BM14" s="86" t="s">
        <v>81</v>
      </c>
      <c r="BN14" s="85">
        <v>47.6</v>
      </c>
      <c r="BO14" s="85">
        <v>125.7</v>
      </c>
      <c r="BP14" s="85">
        <v>173.3</v>
      </c>
      <c r="CB14" s="124">
        <v>1948</v>
      </c>
      <c r="CC14" s="107"/>
      <c r="CD14" s="107"/>
      <c r="CE14" s="107"/>
      <c r="CF14" s="129">
        <v>30000</v>
      </c>
      <c r="CG14" s="127">
        <v>0</v>
      </c>
      <c r="CH14" s="127">
        <v>0</v>
      </c>
      <c r="CI14" s="127">
        <v>0</v>
      </c>
      <c r="CJ14" s="127">
        <v>0</v>
      </c>
      <c r="CK14" s="127">
        <v>0</v>
      </c>
      <c r="CL14" s="127">
        <v>0</v>
      </c>
      <c r="CM14" s="107"/>
      <c r="CN14" s="127">
        <v>0</v>
      </c>
      <c r="CO14" s="127">
        <v>0</v>
      </c>
      <c r="CP14" s="127">
        <v>0</v>
      </c>
      <c r="CQ14" s="127">
        <v>0</v>
      </c>
      <c r="CR14" s="127">
        <v>0</v>
      </c>
      <c r="CS14" s="128">
        <v>1948</v>
      </c>
      <c r="DU14" s="253"/>
      <c r="DV14" s="253"/>
      <c r="DW14" s="74"/>
      <c r="DX14">
        <v>2015</v>
      </c>
      <c r="DY14" s="74">
        <f>2321-6</f>
        <v>2315</v>
      </c>
      <c r="DZ14" s="74">
        <v>361</v>
      </c>
      <c r="EA14" s="74">
        <v>629</v>
      </c>
      <c r="EB14" s="74">
        <v>1608</v>
      </c>
      <c r="EC14" s="74">
        <v>139</v>
      </c>
      <c r="ED14" s="74">
        <f t="shared" si="0"/>
        <v>5052</v>
      </c>
      <c r="EE14" s="74"/>
      <c r="EF14">
        <v>2015</v>
      </c>
      <c r="EG14" s="74">
        <v>26683</v>
      </c>
      <c r="EH14" s="74">
        <f t="shared" si="1"/>
        <v>8032.1222428604588</v>
      </c>
      <c r="EI14" s="74">
        <f t="shared" si="2"/>
        <v>5052</v>
      </c>
      <c r="EJ14" s="74">
        <f t="shared" si="3"/>
        <v>34715.12224286046</v>
      </c>
      <c r="EK14" s="74">
        <f t="shared" si="4"/>
        <v>39767.12224286046</v>
      </c>
      <c r="EL14" s="74"/>
      <c r="EM14">
        <v>2015</v>
      </c>
      <c r="EN14">
        <f>DS44</f>
        <v>5897</v>
      </c>
      <c r="EO14" s="74">
        <f>Fishery!FC105</f>
        <v>62</v>
      </c>
      <c r="EP14" s="74">
        <f t="shared" si="5"/>
        <v>5959</v>
      </c>
      <c r="EQ14" s="74"/>
      <c r="ER14">
        <v>2015</v>
      </c>
      <c r="ES14" s="74">
        <f>1944+4+3448</f>
        <v>5396</v>
      </c>
      <c r="ET14" s="74">
        <v>412</v>
      </c>
      <c r="EU14" s="74">
        <v>5808</v>
      </c>
      <c r="EV14" s="74"/>
      <c r="EW14" s="74">
        <f>2310+5</f>
        <v>2315</v>
      </c>
      <c r="EX14" s="74">
        <v>6</v>
      </c>
      <c r="EY14" s="74">
        <v>2321</v>
      </c>
      <c r="EZ14" s="74"/>
      <c r="FA14" s="74">
        <v>8129</v>
      </c>
      <c r="FC14">
        <v>2015</v>
      </c>
      <c r="FH14">
        <v>175</v>
      </c>
      <c r="FI14">
        <v>71</v>
      </c>
      <c r="FJ14">
        <v>14422</v>
      </c>
      <c r="FK14">
        <v>3018</v>
      </c>
      <c r="FL14">
        <v>22180</v>
      </c>
      <c r="FM14">
        <v>4324</v>
      </c>
      <c r="FN14">
        <v>4605</v>
      </c>
      <c r="FO14">
        <v>1210</v>
      </c>
      <c r="FP14">
        <v>563</v>
      </c>
      <c r="FQ14">
        <v>236</v>
      </c>
      <c r="FR14">
        <v>153</v>
      </c>
      <c r="FS14">
        <v>89</v>
      </c>
      <c r="FT14" s="74">
        <f t="shared" si="35"/>
        <v>42098</v>
      </c>
      <c r="FU14" s="74">
        <f t="shared" si="36"/>
        <v>8948</v>
      </c>
      <c r="FV14">
        <f t="shared" si="37"/>
        <v>51046</v>
      </c>
      <c r="FW14">
        <f t="shared" si="38"/>
        <v>0.82470712690514436</v>
      </c>
      <c r="FX14">
        <f t="shared" si="39"/>
        <v>0.17529287309485561</v>
      </c>
      <c r="FZ14">
        <v>2015</v>
      </c>
      <c r="GA14">
        <v>732</v>
      </c>
      <c r="GB14">
        <v>5182</v>
      </c>
      <c r="GC14">
        <f t="shared" si="8"/>
        <v>5914</v>
      </c>
      <c r="GD14" s="74">
        <f t="shared" si="33"/>
        <v>4877.317948517024</v>
      </c>
      <c r="GE14" s="74">
        <f t="shared" si="34"/>
        <v>1036.682051482976</v>
      </c>
      <c r="GG14">
        <v>2015</v>
      </c>
      <c r="GH14" s="74">
        <f t="shared" si="9"/>
        <v>42098</v>
      </c>
      <c r="GI14" s="74">
        <f t="shared" si="10"/>
        <v>8948</v>
      </c>
      <c r="GJ14" s="74"/>
      <c r="GK14" s="74">
        <f t="shared" si="11"/>
        <v>5808</v>
      </c>
      <c r="GL14" s="74">
        <f t="shared" si="12"/>
        <v>2321</v>
      </c>
      <c r="GM14" s="74"/>
      <c r="GN14" s="74">
        <f t="shared" si="13"/>
        <v>4877.317948517024</v>
      </c>
      <c r="GO14" s="74">
        <f t="shared" si="14"/>
        <v>1036.682051482976</v>
      </c>
      <c r="GP14" s="74"/>
      <c r="GQ14" s="74">
        <f>Fishery!FD35</f>
        <v>13235</v>
      </c>
      <c r="GR14" s="74">
        <f>Fishery!FA14</f>
        <v>226</v>
      </c>
      <c r="GS14" s="74"/>
      <c r="GT14" s="74">
        <f t="shared" si="15"/>
        <v>66018.317948517026</v>
      </c>
      <c r="GU14" s="74">
        <f t="shared" si="16"/>
        <v>12531.682051482976</v>
      </c>
      <c r="GW14">
        <v>2015</v>
      </c>
      <c r="GX14" s="74">
        <f t="shared" si="17"/>
        <v>66018.317948517026</v>
      </c>
      <c r="GY14" s="74">
        <f t="shared" si="18"/>
        <v>12531.682051482976</v>
      </c>
      <c r="HA14">
        <f>Fishery!FF35</f>
        <v>2494</v>
      </c>
      <c r="HB14">
        <f>Fishery!FD14</f>
        <v>48</v>
      </c>
      <c r="HD14">
        <f>Fishery!FC35</f>
        <v>3403</v>
      </c>
      <c r="HE14">
        <f>Fishery!FE14</f>
        <v>39</v>
      </c>
      <c r="HG14" s="74">
        <f t="shared" si="19"/>
        <v>71915.317948517026</v>
      </c>
      <c r="HH14" s="74">
        <f t="shared" si="20"/>
        <v>12618.682051482976</v>
      </c>
      <c r="HJ14">
        <v>2015</v>
      </c>
      <c r="HK14" s="74">
        <f t="shared" si="21"/>
        <v>5897</v>
      </c>
      <c r="HL14" s="74">
        <f t="shared" si="22"/>
        <v>62</v>
      </c>
      <c r="HM14" s="74"/>
      <c r="HN14" s="74">
        <f t="shared" si="23"/>
        <v>412</v>
      </c>
      <c r="HO14" s="74">
        <f t="shared" si="24"/>
        <v>6</v>
      </c>
      <c r="HP14" s="74"/>
      <c r="HQ14" s="74">
        <f t="shared" si="25"/>
        <v>13235</v>
      </c>
      <c r="HR14" s="74">
        <f t="shared" si="26"/>
        <v>226</v>
      </c>
      <c r="HS14" s="74"/>
      <c r="HT14" s="74">
        <f t="shared" si="27"/>
        <v>3403</v>
      </c>
      <c r="HU14" s="74">
        <f t="shared" si="28"/>
        <v>39</v>
      </c>
      <c r="HV14" s="74"/>
      <c r="HW14" s="74">
        <f t="shared" si="29"/>
        <v>2494</v>
      </c>
      <c r="HX14" s="74">
        <f t="shared" si="30"/>
        <v>48</v>
      </c>
      <c r="HY14" s="74"/>
      <c r="HZ14" s="74">
        <f t="shared" si="31"/>
        <v>25441</v>
      </c>
      <c r="IA14" s="74">
        <f t="shared" si="32"/>
        <v>381</v>
      </c>
      <c r="IC14">
        <v>1990</v>
      </c>
      <c r="ID14">
        <v>2668</v>
      </c>
      <c r="IE14" t="s">
        <v>163</v>
      </c>
      <c r="IF14" s="16">
        <v>8.5</v>
      </c>
      <c r="IG14">
        <v>0.6</v>
      </c>
      <c r="IH14" s="372">
        <v>0.2</v>
      </c>
      <c r="II14" s="16">
        <v>1.6</v>
      </c>
      <c r="IJ14">
        <v>0</v>
      </c>
      <c r="IK14">
        <v>2.2999999999999998</v>
      </c>
      <c r="IL14">
        <v>0.6</v>
      </c>
      <c r="IM14">
        <v>0.2</v>
      </c>
      <c r="IN14">
        <v>0.3</v>
      </c>
      <c r="IO14">
        <v>0.3</v>
      </c>
      <c r="IP14">
        <v>0</v>
      </c>
      <c r="IQ14">
        <v>0.1</v>
      </c>
      <c r="IR14" s="372">
        <v>0</v>
      </c>
      <c r="IS14" s="16">
        <v>1.3</v>
      </c>
      <c r="IT14">
        <v>0.1</v>
      </c>
      <c r="IU14">
        <v>0</v>
      </c>
      <c r="IV14">
        <v>0</v>
      </c>
      <c r="IW14">
        <v>0</v>
      </c>
      <c r="IX14">
        <v>0</v>
      </c>
      <c r="IY14" s="372">
        <v>0</v>
      </c>
      <c r="IZ14">
        <v>0</v>
      </c>
      <c r="JA14">
        <v>0</v>
      </c>
      <c r="JB14">
        <v>0</v>
      </c>
      <c r="JC14">
        <v>0</v>
      </c>
      <c r="JD14">
        <v>0</v>
      </c>
      <c r="JE14">
        <v>0</v>
      </c>
      <c r="JF14">
        <v>16.3</v>
      </c>
      <c r="JG14">
        <v>27.5</v>
      </c>
      <c r="JH14">
        <v>0</v>
      </c>
      <c r="JI14">
        <v>40.200000000000003</v>
      </c>
    </row>
    <row r="15" spans="2:269" ht="15" x14ac:dyDescent="0.3">
      <c r="L15" s="105">
        <v>1991</v>
      </c>
      <c r="M15" s="201">
        <v>52516</v>
      </c>
      <c r="N15" s="78">
        <v>8323</v>
      </c>
      <c r="O15" s="202">
        <v>16</v>
      </c>
      <c r="P15" s="78">
        <v>20685</v>
      </c>
      <c r="Q15" s="203">
        <v>39</v>
      </c>
      <c r="R15" s="204">
        <v>2776</v>
      </c>
      <c r="S15" s="206">
        <v>2992</v>
      </c>
      <c r="AC15" s="59">
        <v>1981</v>
      </c>
      <c r="AD15" s="59">
        <v>3642</v>
      </c>
      <c r="AE15" s="60">
        <v>0.32600000000000001</v>
      </c>
      <c r="AF15" s="61">
        <v>0.23</v>
      </c>
      <c r="AG15" s="61">
        <v>0.67600000000000005</v>
      </c>
      <c r="AH15" s="62">
        <v>0</v>
      </c>
      <c r="AI15" s="62">
        <v>0.6</v>
      </c>
      <c r="AJ15" s="63">
        <v>0.39</v>
      </c>
      <c r="AK15" s="63">
        <v>0.01</v>
      </c>
      <c r="AR15" s="73"/>
      <c r="AT15" s="66">
        <v>1981</v>
      </c>
      <c r="AU15" s="66">
        <v>1087</v>
      </c>
      <c r="AV15" s="67">
        <v>0.58399999999999996</v>
      </c>
      <c r="AW15" s="67">
        <v>0.50600000000000001</v>
      </c>
      <c r="AX15" s="66">
        <v>650</v>
      </c>
      <c r="AY15" s="68">
        <v>0</v>
      </c>
      <c r="AZ15" s="68">
        <v>0.48</v>
      </c>
      <c r="BA15" s="68">
        <v>0.5</v>
      </c>
      <c r="BB15" s="68">
        <v>0.01</v>
      </c>
      <c r="BC15" s="69">
        <v>0</v>
      </c>
      <c r="BF15" s="82">
        <v>1949</v>
      </c>
      <c r="BG15" s="85">
        <v>2.2999999999999998</v>
      </c>
      <c r="BH15" s="86" t="s">
        <v>81</v>
      </c>
      <c r="BI15" s="85">
        <v>37.9</v>
      </c>
      <c r="BJ15" s="86" t="s">
        <v>81</v>
      </c>
      <c r="BK15" s="86"/>
      <c r="BL15" s="86" t="s">
        <v>81</v>
      </c>
      <c r="BM15" s="86" t="s">
        <v>81</v>
      </c>
      <c r="BN15" s="85">
        <v>40.200000000000003</v>
      </c>
      <c r="BO15" s="85">
        <v>138.1</v>
      </c>
      <c r="BP15" s="85">
        <v>178.3</v>
      </c>
      <c r="CB15" s="124">
        <v>1949</v>
      </c>
      <c r="CC15" s="107"/>
      <c r="CD15" s="107"/>
      <c r="CE15" s="107"/>
      <c r="CF15" s="129">
        <v>27000</v>
      </c>
      <c r="CG15" s="127">
        <v>0</v>
      </c>
      <c r="CH15" s="127">
        <v>0</v>
      </c>
      <c r="CI15" s="127">
        <v>0</v>
      </c>
      <c r="CJ15" s="127">
        <v>0</v>
      </c>
      <c r="CK15" s="127">
        <v>0</v>
      </c>
      <c r="CL15" s="127">
        <v>0</v>
      </c>
      <c r="CM15" s="107"/>
      <c r="CN15" s="127">
        <v>0</v>
      </c>
      <c r="CO15" s="127">
        <v>0</v>
      </c>
      <c r="CP15" s="127">
        <v>0</v>
      </c>
      <c r="CQ15" s="127">
        <v>0</v>
      </c>
      <c r="CR15" s="127">
        <v>0</v>
      </c>
      <c r="CS15" s="128">
        <v>1949</v>
      </c>
      <c r="DI15" s="253" t="s">
        <v>385</v>
      </c>
      <c r="DJ15" s="253" t="s">
        <v>5</v>
      </c>
      <c r="DK15" s="253">
        <v>0</v>
      </c>
      <c r="DL15" s="253">
        <v>0</v>
      </c>
      <c r="DM15" s="253">
        <v>0</v>
      </c>
      <c r="DN15" s="253">
        <v>0</v>
      </c>
      <c r="DO15" s="253">
        <v>0</v>
      </c>
      <c r="DP15" s="253">
        <v>0</v>
      </c>
      <c r="DQ15" s="253">
        <v>0</v>
      </c>
      <c r="DR15" s="253">
        <v>0</v>
      </c>
      <c r="DS15" s="253">
        <v>6</v>
      </c>
      <c r="DT15" s="253">
        <v>0</v>
      </c>
      <c r="DU15" s="253"/>
      <c r="DV15" s="253"/>
      <c r="DW15" s="74"/>
      <c r="DX15">
        <v>2016</v>
      </c>
      <c r="DY15" s="74">
        <f>3490-3</f>
        <v>3487</v>
      </c>
      <c r="DZ15" s="74">
        <v>327</v>
      </c>
      <c r="EA15" s="74">
        <v>499</v>
      </c>
      <c r="EB15" s="74">
        <v>1716</v>
      </c>
      <c r="EC15" s="74">
        <v>226</v>
      </c>
      <c r="ED15" s="74">
        <f t="shared" si="0"/>
        <v>6255</v>
      </c>
      <c r="EE15" s="74"/>
      <c r="EF15">
        <v>2016</v>
      </c>
      <c r="EG15" s="74">
        <v>13011</v>
      </c>
      <c r="EH15" s="74">
        <f t="shared" si="1"/>
        <v>5093.3661011574441</v>
      </c>
      <c r="EI15" s="74">
        <f t="shared" si="2"/>
        <v>6255</v>
      </c>
      <c r="EJ15" s="74">
        <f t="shared" si="3"/>
        <v>18104.366101157444</v>
      </c>
      <c r="EK15" s="74">
        <f t="shared" si="4"/>
        <v>24359.366101157444</v>
      </c>
      <c r="EL15" s="74"/>
      <c r="EM15">
        <v>2016</v>
      </c>
      <c r="EN15">
        <f>DT44</f>
        <v>3951</v>
      </c>
      <c r="EO15" s="74">
        <f>Fishery!FC106</f>
        <v>61</v>
      </c>
      <c r="EP15" s="74">
        <f t="shared" si="5"/>
        <v>4012</v>
      </c>
      <c r="EQ15" s="74"/>
      <c r="ER15">
        <v>2016</v>
      </c>
      <c r="ES15" s="74">
        <f>846+1+1186</f>
        <v>2033</v>
      </c>
      <c r="ET15" s="74">
        <v>42</v>
      </c>
      <c r="EU15" s="74">
        <v>2075</v>
      </c>
      <c r="EV15" s="74"/>
      <c r="EW15" s="74">
        <f>3481+6</f>
        <v>3487</v>
      </c>
      <c r="EX15" s="74">
        <v>3</v>
      </c>
      <c r="EY15" s="74">
        <v>3490</v>
      </c>
      <c r="EZ15" s="74"/>
      <c r="FA15" s="74">
        <v>5565</v>
      </c>
      <c r="FC15">
        <v>2016</v>
      </c>
      <c r="FF15">
        <v>2</v>
      </c>
      <c r="FG15">
        <v>0</v>
      </c>
      <c r="FH15">
        <v>30</v>
      </c>
      <c r="FI15">
        <v>5</v>
      </c>
      <c r="FJ15">
        <v>3150</v>
      </c>
      <c r="FK15">
        <v>1023</v>
      </c>
      <c r="FL15">
        <v>10037</v>
      </c>
      <c r="FM15">
        <v>2593</v>
      </c>
      <c r="FN15">
        <v>7620</v>
      </c>
      <c r="FO15">
        <v>2043</v>
      </c>
      <c r="FP15">
        <v>2781</v>
      </c>
      <c r="FQ15">
        <v>833</v>
      </c>
      <c r="FR15">
        <v>66</v>
      </c>
      <c r="FS15">
        <v>134</v>
      </c>
      <c r="FT15" s="74">
        <f t="shared" si="35"/>
        <v>23686</v>
      </c>
      <c r="FU15" s="74">
        <f t="shared" si="36"/>
        <v>6631</v>
      </c>
      <c r="FV15">
        <f t="shared" si="37"/>
        <v>30317</v>
      </c>
      <c r="FW15">
        <f t="shared" si="38"/>
        <v>0.78127783091994596</v>
      </c>
      <c r="FX15">
        <f t="shared" si="39"/>
        <v>0.2187221690800541</v>
      </c>
      <c r="FZ15">
        <v>2016</v>
      </c>
      <c r="GA15">
        <v>251</v>
      </c>
      <c r="GB15">
        <v>2853</v>
      </c>
      <c r="GC15">
        <f t="shared" si="8"/>
        <v>3104</v>
      </c>
      <c r="GD15" s="74">
        <f t="shared" si="33"/>
        <v>2425.0863871755123</v>
      </c>
      <c r="GE15" s="74">
        <f t="shared" si="34"/>
        <v>678.91361282448793</v>
      </c>
      <c r="GG15">
        <v>2016</v>
      </c>
      <c r="GH15" s="74">
        <f t="shared" si="9"/>
        <v>23686</v>
      </c>
      <c r="GI15" s="74">
        <f t="shared" si="10"/>
        <v>6631</v>
      </c>
      <c r="GJ15" s="74"/>
      <c r="GK15" s="74">
        <f t="shared" si="11"/>
        <v>2075</v>
      </c>
      <c r="GL15" s="74">
        <f t="shared" si="12"/>
        <v>3490</v>
      </c>
      <c r="GM15" s="74"/>
      <c r="GN15" s="74">
        <f t="shared" si="13"/>
        <v>2425.0863871755123</v>
      </c>
      <c r="GO15" s="74">
        <f t="shared" si="14"/>
        <v>678.91361282448793</v>
      </c>
      <c r="GP15" s="74"/>
      <c r="GQ15" s="74">
        <f>Fishery!FD34</f>
        <v>5747</v>
      </c>
      <c r="GR15" s="74">
        <f>Fishery!FA13</f>
        <v>142</v>
      </c>
      <c r="GS15" s="74"/>
      <c r="GT15" s="74">
        <f t="shared" si="15"/>
        <v>33933.086387175514</v>
      </c>
      <c r="GU15" s="74">
        <f t="shared" si="16"/>
        <v>10941.913612824488</v>
      </c>
      <c r="GW15">
        <v>2016</v>
      </c>
      <c r="GX15" s="74">
        <f t="shared" si="17"/>
        <v>33933.086387175514</v>
      </c>
      <c r="GY15" s="74">
        <f t="shared" si="18"/>
        <v>10941.913612824488</v>
      </c>
      <c r="HA15">
        <f>Fishery!FF34</f>
        <v>922</v>
      </c>
      <c r="HB15">
        <f>Fishery!FD13</f>
        <v>24</v>
      </c>
      <c r="HD15">
        <f>Fishery!FC34</f>
        <v>1385</v>
      </c>
      <c r="HE15">
        <f>Fishery!FE13</f>
        <v>19</v>
      </c>
      <c r="HG15" s="74">
        <f t="shared" si="19"/>
        <v>36240.086387175514</v>
      </c>
      <c r="HH15" s="74">
        <f t="shared" si="20"/>
        <v>10984.913612824488</v>
      </c>
      <c r="HJ15">
        <v>2016</v>
      </c>
      <c r="HK15" s="74">
        <f t="shared" si="21"/>
        <v>3951</v>
      </c>
      <c r="HL15" s="74">
        <f t="shared" si="22"/>
        <v>61</v>
      </c>
      <c r="HM15" s="74"/>
      <c r="HN15" s="74">
        <f t="shared" si="23"/>
        <v>42</v>
      </c>
      <c r="HO15" s="74">
        <f t="shared" si="24"/>
        <v>3</v>
      </c>
      <c r="HP15" s="74"/>
      <c r="HQ15" s="74">
        <f t="shared" si="25"/>
        <v>5747</v>
      </c>
      <c r="HR15" s="74">
        <f t="shared" si="26"/>
        <v>142</v>
      </c>
      <c r="HS15" s="74"/>
      <c r="HT15" s="74">
        <f t="shared" si="27"/>
        <v>1385</v>
      </c>
      <c r="HU15" s="74">
        <f t="shared" si="28"/>
        <v>19</v>
      </c>
      <c r="HV15" s="74"/>
      <c r="HW15" s="74">
        <f t="shared" si="29"/>
        <v>922</v>
      </c>
      <c r="HX15" s="74">
        <f t="shared" si="30"/>
        <v>24</v>
      </c>
      <c r="HY15" s="74"/>
      <c r="HZ15" s="74">
        <f t="shared" si="31"/>
        <v>12047</v>
      </c>
      <c r="IA15" s="74">
        <f t="shared" si="32"/>
        <v>249</v>
      </c>
      <c r="IC15">
        <v>1991</v>
      </c>
      <c r="ID15">
        <v>2895</v>
      </c>
      <c r="IE15" t="s">
        <v>163</v>
      </c>
      <c r="IF15" s="16">
        <v>3.7</v>
      </c>
      <c r="IG15">
        <v>1.5</v>
      </c>
      <c r="IH15" s="372">
        <v>0.6</v>
      </c>
      <c r="II15" s="16">
        <v>1.7</v>
      </c>
      <c r="IJ15">
        <v>0</v>
      </c>
      <c r="IK15">
        <v>0.3</v>
      </c>
      <c r="IL15">
        <v>0.1</v>
      </c>
      <c r="IM15">
        <v>0</v>
      </c>
      <c r="IN15">
        <v>0.1</v>
      </c>
      <c r="IO15">
        <v>0</v>
      </c>
      <c r="IP15">
        <v>0</v>
      </c>
      <c r="IQ15">
        <v>0</v>
      </c>
      <c r="IR15" s="372">
        <v>0.2</v>
      </c>
      <c r="IS15" s="16">
        <v>0.5</v>
      </c>
      <c r="IT15">
        <v>0.1</v>
      </c>
      <c r="IU15">
        <v>0</v>
      </c>
      <c r="IV15">
        <v>0</v>
      </c>
      <c r="IW15">
        <v>0</v>
      </c>
      <c r="IX15">
        <v>0</v>
      </c>
      <c r="IY15" s="372">
        <v>0</v>
      </c>
      <c r="IZ15">
        <v>0</v>
      </c>
      <c r="JA15">
        <v>0</v>
      </c>
      <c r="JB15">
        <v>0</v>
      </c>
      <c r="JC15">
        <v>0</v>
      </c>
      <c r="JD15">
        <v>0</v>
      </c>
      <c r="JE15">
        <v>0</v>
      </c>
      <c r="JF15">
        <v>5.8</v>
      </c>
      <c r="JG15">
        <v>43</v>
      </c>
      <c r="JH15">
        <v>0</v>
      </c>
      <c r="JI15">
        <v>42.1</v>
      </c>
    </row>
    <row r="16" spans="2:269" ht="15" x14ac:dyDescent="0.3">
      <c r="L16" s="105">
        <v>1992</v>
      </c>
      <c r="M16" s="201">
        <v>42004</v>
      </c>
      <c r="N16" s="78">
        <v>7424</v>
      </c>
      <c r="O16" s="202">
        <v>18</v>
      </c>
      <c r="P16" s="78">
        <v>15743</v>
      </c>
      <c r="Q16" s="203">
        <v>37</v>
      </c>
      <c r="R16" s="204">
        <v>4535</v>
      </c>
      <c r="S16" s="206">
        <v>2206</v>
      </c>
      <c r="AC16" s="59">
        <v>1982</v>
      </c>
      <c r="AD16" s="59">
        <v>3550</v>
      </c>
      <c r="AE16" s="60">
        <v>0.32600000000000001</v>
      </c>
      <c r="AF16" s="61">
        <v>0.21</v>
      </c>
      <c r="AG16" s="61">
        <v>0.65500000000000003</v>
      </c>
      <c r="AH16" s="62">
        <v>0</v>
      </c>
      <c r="AI16" s="62">
        <v>0.6</v>
      </c>
      <c r="AJ16" s="63">
        <v>0.39</v>
      </c>
      <c r="AK16" s="63">
        <v>0.01</v>
      </c>
      <c r="AR16" s="73"/>
      <c r="AT16" s="66">
        <v>1982</v>
      </c>
      <c r="AU16" s="66">
        <v>1706</v>
      </c>
      <c r="AV16" s="67">
        <v>0.432</v>
      </c>
      <c r="AW16" s="67">
        <v>0.47499999999999998</v>
      </c>
      <c r="AX16" s="66">
        <v>666</v>
      </c>
      <c r="AY16" s="68">
        <v>0</v>
      </c>
      <c r="AZ16" s="68">
        <v>0.59</v>
      </c>
      <c r="BA16" s="68">
        <v>0.4</v>
      </c>
      <c r="BB16" s="68">
        <v>0.01</v>
      </c>
      <c r="BC16" s="69">
        <v>0</v>
      </c>
      <c r="BF16" s="82">
        <v>1950</v>
      </c>
      <c r="BG16" s="85">
        <v>1.6</v>
      </c>
      <c r="BH16" s="86" t="s">
        <v>81</v>
      </c>
      <c r="BI16" s="85">
        <v>24.8</v>
      </c>
      <c r="BJ16" s="86" t="s">
        <v>81</v>
      </c>
      <c r="BK16" s="86"/>
      <c r="BL16" s="86" t="s">
        <v>81</v>
      </c>
      <c r="BM16" s="86" t="s">
        <v>81</v>
      </c>
      <c r="BN16" s="85">
        <v>26.4</v>
      </c>
      <c r="BO16" s="85">
        <v>119.7</v>
      </c>
      <c r="BP16" s="85">
        <v>146.1</v>
      </c>
      <c r="CB16" s="130">
        <v>1950</v>
      </c>
      <c r="CC16" s="113"/>
      <c r="CD16" s="113"/>
      <c r="CE16" s="113"/>
      <c r="CF16" s="131">
        <v>14500</v>
      </c>
      <c r="CG16" s="132">
        <v>0</v>
      </c>
      <c r="CH16" s="132">
        <v>0</v>
      </c>
      <c r="CI16" s="132">
        <v>0</v>
      </c>
      <c r="CJ16" s="132">
        <v>0</v>
      </c>
      <c r="CK16" s="132">
        <v>0</v>
      </c>
      <c r="CL16" s="132">
        <v>0</v>
      </c>
      <c r="CM16" s="113"/>
      <c r="CN16" s="131">
        <v>2200</v>
      </c>
      <c r="CO16" s="132">
        <v>0</v>
      </c>
      <c r="CP16" s="132">
        <v>0</v>
      </c>
      <c r="CQ16" s="132">
        <v>0</v>
      </c>
      <c r="CR16" s="132">
        <v>0</v>
      </c>
      <c r="CS16" s="133">
        <v>1950</v>
      </c>
      <c r="DU16" s="253"/>
      <c r="DV16" s="253"/>
      <c r="EH16" s="74"/>
      <c r="EI16" s="74"/>
      <c r="ER16">
        <v>2017</v>
      </c>
      <c r="FC16">
        <v>2017</v>
      </c>
      <c r="FJ16">
        <v>14</v>
      </c>
      <c r="FK16">
        <v>3</v>
      </c>
      <c r="FL16">
        <v>14467</v>
      </c>
      <c r="FM16">
        <v>2999</v>
      </c>
      <c r="FN16">
        <v>10761</v>
      </c>
      <c r="FO16">
        <v>2002</v>
      </c>
      <c r="FP16">
        <v>2999</v>
      </c>
      <c r="FQ16">
        <v>858</v>
      </c>
      <c r="FR16">
        <v>40</v>
      </c>
      <c r="FS16">
        <v>43</v>
      </c>
      <c r="FT16" s="74">
        <f t="shared" si="35"/>
        <v>28281</v>
      </c>
      <c r="FU16" s="74">
        <f t="shared" si="36"/>
        <v>5905</v>
      </c>
      <c r="FV16">
        <f t="shared" si="37"/>
        <v>34186</v>
      </c>
      <c r="FW16">
        <f t="shared" si="38"/>
        <v>0.82726847247411217</v>
      </c>
      <c r="FX16">
        <f t="shared" si="39"/>
        <v>0.1727315275258878</v>
      </c>
      <c r="FZ16">
        <v>2017</v>
      </c>
      <c r="GA16">
        <v>267</v>
      </c>
      <c r="GB16">
        <v>2170</v>
      </c>
      <c r="GC16">
        <f t="shared" si="8"/>
        <v>2437</v>
      </c>
      <c r="GD16" s="74">
        <f t="shared" si="33"/>
        <v>2016.0532674194114</v>
      </c>
      <c r="GE16" s="74">
        <f t="shared" si="34"/>
        <v>420.94673258058856</v>
      </c>
      <c r="GG16">
        <v>2017</v>
      </c>
      <c r="GH16" s="74">
        <f t="shared" si="9"/>
        <v>28281</v>
      </c>
      <c r="GI16" s="74">
        <f t="shared" si="10"/>
        <v>5905</v>
      </c>
      <c r="GJ16" s="74"/>
      <c r="GK16" s="74"/>
      <c r="GL16" s="74"/>
      <c r="GM16" s="74"/>
      <c r="GN16" s="74">
        <f>GD16</f>
        <v>2016.0532674194114</v>
      </c>
      <c r="GO16" s="74">
        <f>GE16</f>
        <v>420.94673258058856</v>
      </c>
      <c r="GP16" s="74"/>
      <c r="GQ16" s="74"/>
      <c r="GR16" s="74"/>
      <c r="GS16" s="74"/>
      <c r="GT16" s="74"/>
      <c r="GU16" s="74"/>
      <c r="GW16">
        <v>2017</v>
      </c>
      <c r="HL16" s="74"/>
      <c r="HN16" s="74"/>
      <c r="HO16" s="74"/>
      <c r="HQ16" s="74"/>
      <c r="HR16" s="74"/>
      <c r="IC16">
        <v>1992</v>
      </c>
      <c r="ID16">
        <v>2722</v>
      </c>
      <c r="IE16" t="s">
        <v>163</v>
      </c>
      <c r="IF16" s="16">
        <v>6</v>
      </c>
      <c r="IG16">
        <v>4.5999999999999996</v>
      </c>
      <c r="IH16" s="372">
        <v>0.2</v>
      </c>
      <c r="II16" s="16">
        <v>1.4</v>
      </c>
      <c r="IJ16">
        <v>0</v>
      </c>
      <c r="IK16">
        <v>2.2999999999999998</v>
      </c>
      <c r="IL16">
        <v>0.1</v>
      </c>
      <c r="IM16">
        <v>0</v>
      </c>
      <c r="IN16">
        <v>0.1</v>
      </c>
      <c r="IO16">
        <v>0.1</v>
      </c>
      <c r="IP16">
        <v>0</v>
      </c>
      <c r="IQ16">
        <v>0</v>
      </c>
      <c r="IR16" s="372">
        <v>0</v>
      </c>
      <c r="IS16" s="16">
        <v>2.2000000000000002</v>
      </c>
      <c r="IT16">
        <v>0.2</v>
      </c>
      <c r="IU16">
        <v>0</v>
      </c>
      <c r="IV16">
        <v>0.1</v>
      </c>
      <c r="IW16">
        <v>0</v>
      </c>
      <c r="IX16">
        <v>0</v>
      </c>
      <c r="IY16" s="372">
        <v>0.5</v>
      </c>
      <c r="IZ16">
        <v>0</v>
      </c>
      <c r="JA16">
        <v>0</v>
      </c>
      <c r="JB16">
        <v>0</v>
      </c>
      <c r="JC16">
        <v>0</v>
      </c>
      <c r="JD16">
        <v>0</v>
      </c>
      <c r="JE16">
        <v>0</v>
      </c>
      <c r="JF16">
        <v>5.3</v>
      </c>
      <c r="JG16">
        <v>28.8</v>
      </c>
      <c r="JH16">
        <v>0</v>
      </c>
      <c r="JI16">
        <v>48.1</v>
      </c>
    </row>
    <row r="17" spans="2:269" ht="15" x14ac:dyDescent="0.3">
      <c r="L17" s="105">
        <v>1993</v>
      </c>
      <c r="M17" s="201">
        <v>31966</v>
      </c>
      <c r="N17" s="78">
        <v>8161</v>
      </c>
      <c r="O17" s="202">
        <v>26</v>
      </c>
      <c r="P17" s="78">
        <v>14636</v>
      </c>
      <c r="Q17" s="203">
        <v>46</v>
      </c>
      <c r="R17" s="204">
        <v>4635</v>
      </c>
      <c r="S17" s="206">
        <v>1386</v>
      </c>
      <c r="AC17" s="59">
        <v>1983</v>
      </c>
      <c r="AD17" s="59">
        <v>3170</v>
      </c>
      <c r="AE17" s="60">
        <v>0.32600000000000001</v>
      </c>
      <c r="AF17" s="61">
        <v>0.28999999999999998</v>
      </c>
      <c r="AG17" s="61">
        <v>0.63900000000000001</v>
      </c>
      <c r="AH17" s="62">
        <v>0</v>
      </c>
      <c r="AI17" s="62">
        <v>0.6</v>
      </c>
      <c r="AJ17" s="63">
        <v>0.39</v>
      </c>
      <c r="AK17" s="63">
        <v>0.01</v>
      </c>
      <c r="AR17" s="73"/>
      <c r="AT17" s="66">
        <v>1983</v>
      </c>
      <c r="AU17" s="66">
        <v>1405</v>
      </c>
      <c r="AV17" s="67">
        <v>0.72899999999999998</v>
      </c>
      <c r="AW17" s="67">
        <v>0.47099999999999997</v>
      </c>
      <c r="AX17" s="66">
        <v>913</v>
      </c>
      <c r="AY17" s="68">
        <v>0</v>
      </c>
      <c r="AZ17" s="68">
        <v>0.6</v>
      </c>
      <c r="BA17" s="68">
        <v>0.4</v>
      </c>
      <c r="BB17" s="68">
        <v>0.01</v>
      </c>
      <c r="BC17" s="69">
        <v>0</v>
      </c>
      <c r="BF17" s="82">
        <v>1951</v>
      </c>
      <c r="BG17" s="85">
        <v>3.5</v>
      </c>
      <c r="BH17" s="86" t="s">
        <v>81</v>
      </c>
      <c r="BI17" s="85">
        <v>49.6</v>
      </c>
      <c r="BJ17" s="86" t="s">
        <v>81</v>
      </c>
      <c r="BK17" s="86"/>
      <c r="BL17" s="86" t="s">
        <v>81</v>
      </c>
      <c r="BM17" s="86" t="s">
        <v>81</v>
      </c>
      <c r="BN17" s="85">
        <v>53.1</v>
      </c>
      <c r="BO17" s="85">
        <v>205.9</v>
      </c>
      <c r="BP17" s="85">
        <v>259</v>
      </c>
      <c r="CB17" s="134">
        <v>1951</v>
      </c>
      <c r="CC17" s="115"/>
      <c r="CD17" s="115"/>
      <c r="CE17" s="115"/>
      <c r="CF17" s="125">
        <v>34300</v>
      </c>
      <c r="CG17" s="126">
        <v>0</v>
      </c>
      <c r="CH17" s="126">
        <v>0</v>
      </c>
      <c r="CI17" s="126">
        <v>0</v>
      </c>
      <c r="CJ17" s="126">
        <v>0</v>
      </c>
      <c r="CK17" s="126">
        <v>0</v>
      </c>
      <c r="CL17" s="126">
        <v>0</v>
      </c>
      <c r="CM17" s="115"/>
      <c r="CN17" s="125">
        <v>1200</v>
      </c>
      <c r="CO17" s="126">
        <v>0</v>
      </c>
      <c r="CP17" s="126">
        <v>0</v>
      </c>
      <c r="CQ17" s="126">
        <v>0</v>
      </c>
      <c r="CR17" s="126">
        <v>0</v>
      </c>
      <c r="CS17" s="135">
        <v>1951</v>
      </c>
      <c r="DI17" s="253" t="s">
        <v>386</v>
      </c>
      <c r="DJ17" s="253" t="s">
        <v>5</v>
      </c>
      <c r="DK17" s="253">
        <v>28</v>
      </c>
      <c r="DL17" s="253">
        <v>4</v>
      </c>
      <c r="DM17" s="253">
        <v>62</v>
      </c>
      <c r="DN17" s="253">
        <v>135</v>
      </c>
      <c r="DO17" s="253">
        <v>137</v>
      </c>
      <c r="DP17" s="253">
        <v>79</v>
      </c>
      <c r="DQ17" s="253">
        <v>71</v>
      </c>
      <c r="DR17" s="253">
        <v>80</v>
      </c>
      <c r="DS17" s="253">
        <v>89</v>
      </c>
      <c r="DT17" s="253">
        <v>58</v>
      </c>
      <c r="DU17" s="253">
        <f>SUM(DK17:DT17)</f>
        <v>743</v>
      </c>
      <c r="DV17" s="253">
        <f>+DU17/10</f>
        <v>74.3</v>
      </c>
      <c r="DY17" s="485" t="s">
        <v>717</v>
      </c>
      <c r="DZ17" s="485"/>
      <c r="EA17" s="485"/>
      <c r="EB17" s="485"/>
      <c r="EC17" s="485"/>
      <c r="EF17" s="253" t="s">
        <v>718</v>
      </c>
      <c r="EI17" s="356">
        <f>AVERAGE(EI6:EI15)</f>
        <v>4368.5</v>
      </c>
      <c r="EJ17" s="356">
        <f>AVERAGE(EJ6:EJ15)</f>
        <v>26391.835572719989</v>
      </c>
      <c r="EK17" s="356"/>
      <c r="EL17" s="74"/>
      <c r="EM17" s="253" t="s">
        <v>718</v>
      </c>
      <c r="EP17" s="356">
        <f>AVERAGE(EP6:EP16)</f>
        <v>3897.2</v>
      </c>
      <c r="EQ17" s="356"/>
      <c r="ER17" s="253"/>
      <c r="ES17" s="356"/>
      <c r="ET17" s="356"/>
      <c r="EU17" s="356"/>
      <c r="EV17" s="356"/>
      <c r="EW17" s="356"/>
      <c r="EX17" s="356"/>
      <c r="FC17">
        <v>2018</v>
      </c>
      <c r="FH17">
        <v>8</v>
      </c>
      <c r="FI17">
        <v>5</v>
      </c>
      <c r="FJ17">
        <v>1898</v>
      </c>
      <c r="FK17">
        <v>565</v>
      </c>
      <c r="FL17">
        <v>10578</v>
      </c>
      <c r="FM17">
        <v>2208</v>
      </c>
      <c r="FN17">
        <v>5572</v>
      </c>
      <c r="FO17">
        <v>1719</v>
      </c>
      <c r="FP17">
        <v>1456</v>
      </c>
      <c r="FQ17">
        <v>499</v>
      </c>
      <c r="FR17">
        <v>19</v>
      </c>
      <c r="FS17">
        <v>16</v>
      </c>
      <c r="FT17" s="74">
        <f t="shared" si="35"/>
        <v>19531</v>
      </c>
      <c r="FU17" s="74">
        <f t="shared" si="36"/>
        <v>5012</v>
      </c>
      <c r="FV17">
        <f t="shared" si="37"/>
        <v>24543</v>
      </c>
      <c r="FW17">
        <f t="shared" si="38"/>
        <v>0.79578698610601806</v>
      </c>
      <c r="FX17">
        <f t="shared" si="39"/>
        <v>0.204213013893982</v>
      </c>
      <c r="FZ17">
        <v>2018</v>
      </c>
      <c r="GG17">
        <v>2018</v>
      </c>
      <c r="GH17" s="74">
        <f t="shared" si="9"/>
        <v>19531</v>
      </c>
      <c r="GI17" s="74">
        <f t="shared" si="10"/>
        <v>5012</v>
      </c>
      <c r="GJ17" s="74"/>
      <c r="GK17" s="74"/>
      <c r="GL17" s="74"/>
      <c r="GM17" s="74"/>
      <c r="GN17" s="74"/>
      <c r="GO17" s="74"/>
      <c r="GP17" s="74"/>
      <c r="GQ17" s="74"/>
      <c r="GR17" s="74"/>
      <c r="GS17" s="74"/>
      <c r="GT17" s="74"/>
      <c r="GU17" s="74"/>
      <c r="GW17">
        <v>2018</v>
      </c>
      <c r="HJ17" s="253" t="s">
        <v>718</v>
      </c>
      <c r="HK17" s="356">
        <f>AVERAGE(HK6:HK15)</f>
        <v>3828.7</v>
      </c>
      <c r="HL17" s="356">
        <f>AVERAGE(HL6:HL15)</f>
        <v>68.5</v>
      </c>
      <c r="HM17" s="253"/>
      <c r="HN17" s="356">
        <f>AVERAGE(HN6:HN15)</f>
        <v>348.4</v>
      </c>
      <c r="HO17" s="356">
        <f>AVERAGE(HO6:HO15)</f>
        <v>10.199999999999999</v>
      </c>
      <c r="HP17" s="253"/>
      <c r="HQ17" s="356">
        <f>AVERAGE(HQ6:HQ15)</f>
        <v>10467</v>
      </c>
      <c r="HR17" s="356">
        <f>AVERAGE(HR6:HR15)</f>
        <v>240.1</v>
      </c>
      <c r="HS17" s="253"/>
      <c r="HT17" s="356">
        <f>AVERAGE(HT6:HT15)</f>
        <v>2195.9</v>
      </c>
      <c r="HU17" s="356">
        <f>AVERAGE(HU6:HU15)</f>
        <v>41.2</v>
      </c>
      <c r="HV17" s="253"/>
      <c r="HW17" s="356">
        <f>AVERAGE(HW6:HW15)</f>
        <v>1553.2</v>
      </c>
      <c r="HX17" s="356">
        <f>AVERAGE(HX6:HX15)</f>
        <v>44.3</v>
      </c>
      <c r="HY17" s="253"/>
      <c r="HZ17" s="356">
        <f>AVERAGE(HZ6:HZ15)</f>
        <v>18393.2</v>
      </c>
      <c r="IA17" s="356">
        <f>AVERAGE(IA6:IA15)</f>
        <v>404.3</v>
      </c>
      <c r="IC17">
        <v>1993</v>
      </c>
      <c r="ID17">
        <v>5080</v>
      </c>
      <c r="IE17" t="s">
        <v>163</v>
      </c>
      <c r="IF17" s="16">
        <v>11.2</v>
      </c>
      <c r="IG17">
        <v>0</v>
      </c>
      <c r="IH17" s="372">
        <v>0</v>
      </c>
      <c r="II17" s="16">
        <v>1.3</v>
      </c>
      <c r="IJ17">
        <v>0.1</v>
      </c>
      <c r="IK17">
        <v>1.4</v>
      </c>
      <c r="IL17">
        <v>0.2</v>
      </c>
      <c r="IM17">
        <v>0</v>
      </c>
      <c r="IN17">
        <v>0</v>
      </c>
      <c r="IO17">
        <v>0</v>
      </c>
      <c r="IP17">
        <v>0</v>
      </c>
      <c r="IQ17">
        <v>0</v>
      </c>
      <c r="IR17" s="372">
        <v>0</v>
      </c>
      <c r="IS17" s="16">
        <v>1.6</v>
      </c>
      <c r="IT17">
        <v>0.1</v>
      </c>
      <c r="IU17">
        <v>0</v>
      </c>
      <c r="IV17">
        <v>0</v>
      </c>
      <c r="IW17">
        <v>0</v>
      </c>
      <c r="IX17">
        <v>0</v>
      </c>
      <c r="IY17" s="372">
        <v>0</v>
      </c>
      <c r="IZ17">
        <v>0</v>
      </c>
      <c r="JA17">
        <v>0</v>
      </c>
      <c r="JB17">
        <v>0</v>
      </c>
      <c r="JC17">
        <v>0</v>
      </c>
      <c r="JD17">
        <v>0</v>
      </c>
      <c r="JE17">
        <v>0</v>
      </c>
      <c r="JF17">
        <v>0.8</v>
      </c>
      <c r="JG17">
        <v>42</v>
      </c>
      <c r="JH17">
        <v>0</v>
      </c>
      <c r="JI17">
        <v>41.3</v>
      </c>
    </row>
    <row r="18" spans="2:269" ht="15" x14ac:dyDescent="0.3">
      <c r="L18" s="105">
        <v>1994</v>
      </c>
      <c r="M18" s="201">
        <v>26102</v>
      </c>
      <c r="N18" s="78">
        <v>4273</v>
      </c>
      <c r="O18" s="202">
        <v>16</v>
      </c>
      <c r="P18" s="78">
        <v>9795</v>
      </c>
      <c r="Q18" s="203">
        <v>38</v>
      </c>
      <c r="R18" s="204">
        <v>3675</v>
      </c>
      <c r="S18" s="214">
        <v>3193</v>
      </c>
      <c r="AC18" s="59">
        <v>1984</v>
      </c>
      <c r="AD18" s="59">
        <v>3334</v>
      </c>
      <c r="AE18" s="60">
        <v>0.32600000000000001</v>
      </c>
      <c r="AF18" s="61">
        <v>0.22</v>
      </c>
      <c r="AG18" s="61">
        <v>0.6</v>
      </c>
      <c r="AH18" s="62">
        <v>0</v>
      </c>
      <c r="AI18" s="62">
        <v>0.6</v>
      </c>
      <c r="AJ18" s="63">
        <v>0.39</v>
      </c>
      <c r="AK18" s="63">
        <v>0.01</v>
      </c>
      <c r="AR18" s="73"/>
      <c r="AT18" s="66">
        <v>1984</v>
      </c>
      <c r="AU18" s="66">
        <v>921</v>
      </c>
      <c r="AV18" s="67">
        <v>0.63400000000000001</v>
      </c>
      <c r="AW18" s="67">
        <v>0.50900000000000001</v>
      </c>
      <c r="AX18" s="66">
        <v>606</v>
      </c>
      <c r="AY18" s="68">
        <v>0</v>
      </c>
      <c r="AZ18" s="68">
        <v>0.56000000000000005</v>
      </c>
      <c r="BA18" s="68">
        <v>0.43</v>
      </c>
      <c r="BB18" s="68">
        <v>0.01</v>
      </c>
      <c r="BC18" s="69">
        <v>0</v>
      </c>
      <c r="BF18" s="82">
        <v>1952</v>
      </c>
      <c r="BG18" s="85">
        <v>6.4</v>
      </c>
      <c r="BH18" s="86" t="s">
        <v>81</v>
      </c>
      <c r="BI18" s="85">
        <v>67.5</v>
      </c>
      <c r="BJ18" s="86" t="s">
        <v>81</v>
      </c>
      <c r="BK18" s="86"/>
      <c r="BL18" s="86" t="s">
        <v>81</v>
      </c>
      <c r="BM18" s="86" t="s">
        <v>81</v>
      </c>
      <c r="BN18" s="85">
        <v>73.900000000000006</v>
      </c>
      <c r="BO18" s="85">
        <v>245.9</v>
      </c>
      <c r="BP18" s="85">
        <v>319.8</v>
      </c>
      <c r="CB18" s="124">
        <v>1952</v>
      </c>
      <c r="CC18" s="107"/>
      <c r="CD18" s="107"/>
      <c r="CE18" s="107"/>
      <c r="CF18" s="129">
        <v>52200</v>
      </c>
      <c r="CG18" s="127">
        <v>0</v>
      </c>
      <c r="CH18" s="127">
        <v>0</v>
      </c>
      <c r="CI18" s="127">
        <v>0</v>
      </c>
      <c r="CJ18" s="127">
        <v>0</v>
      </c>
      <c r="CK18" s="127">
        <v>0</v>
      </c>
      <c r="CL18" s="127">
        <v>0</v>
      </c>
      <c r="CM18" s="107"/>
      <c r="CN18" s="129">
        <v>3400</v>
      </c>
      <c r="CO18" s="127">
        <v>0</v>
      </c>
      <c r="CP18" s="127">
        <v>0</v>
      </c>
      <c r="CQ18" s="127">
        <v>0</v>
      </c>
      <c r="CR18" s="127">
        <v>0</v>
      </c>
      <c r="CS18" s="128">
        <v>1952</v>
      </c>
      <c r="DU18" s="253"/>
      <c r="DV18" s="253"/>
      <c r="DX18" s="324" t="s">
        <v>3</v>
      </c>
      <c r="DY18" s="354" t="s">
        <v>327</v>
      </c>
      <c r="DZ18" s="354" t="s">
        <v>474</v>
      </c>
      <c r="EA18" s="354" t="s">
        <v>611</v>
      </c>
      <c r="EB18" s="354" t="s">
        <v>44</v>
      </c>
      <c r="EC18" s="354" t="s">
        <v>333</v>
      </c>
      <c r="EF18" s="87"/>
      <c r="EM18" s="87"/>
      <c r="ER18" s="87" t="s">
        <v>718</v>
      </c>
      <c r="FA18" s="74">
        <f>AVERAGE(FA6:FA15)</f>
        <v>6701.6</v>
      </c>
      <c r="HL18" s="74"/>
      <c r="HN18" s="74"/>
      <c r="HO18" s="74"/>
      <c r="HQ18" s="74"/>
      <c r="HR18" s="74"/>
      <c r="IC18">
        <v>1994</v>
      </c>
      <c r="ID18">
        <v>4910</v>
      </c>
      <c r="IE18" t="s">
        <v>163</v>
      </c>
      <c r="IF18" s="16">
        <v>5.4</v>
      </c>
      <c r="IG18">
        <v>0.7</v>
      </c>
      <c r="IH18" s="372">
        <v>0.7</v>
      </c>
      <c r="II18" s="16">
        <v>0.8</v>
      </c>
      <c r="IJ18">
        <v>0.1</v>
      </c>
      <c r="IK18">
        <v>0.8</v>
      </c>
      <c r="IL18">
        <v>0</v>
      </c>
      <c r="IM18">
        <v>0.2</v>
      </c>
      <c r="IN18">
        <v>0.1</v>
      </c>
      <c r="IO18">
        <v>0</v>
      </c>
      <c r="IP18">
        <v>0</v>
      </c>
      <c r="IQ18">
        <v>0</v>
      </c>
      <c r="IR18" s="372">
        <v>0</v>
      </c>
      <c r="IS18" s="16">
        <v>0.1</v>
      </c>
      <c r="IT18">
        <v>0</v>
      </c>
      <c r="IU18">
        <v>0.1</v>
      </c>
      <c r="IV18">
        <v>0.1</v>
      </c>
      <c r="IW18">
        <v>0</v>
      </c>
      <c r="IX18">
        <v>0</v>
      </c>
      <c r="IY18" s="372">
        <v>0.1</v>
      </c>
      <c r="IZ18">
        <v>0</v>
      </c>
      <c r="JA18">
        <v>0</v>
      </c>
      <c r="JB18">
        <v>0</v>
      </c>
      <c r="JC18">
        <v>0</v>
      </c>
      <c r="JD18">
        <v>0</v>
      </c>
      <c r="JE18">
        <v>0</v>
      </c>
      <c r="JF18">
        <v>4.9000000000000004</v>
      </c>
      <c r="JG18">
        <v>38.4</v>
      </c>
      <c r="JH18">
        <v>0.5</v>
      </c>
      <c r="JI18">
        <v>47.1</v>
      </c>
    </row>
    <row r="19" spans="2:269" ht="15" x14ac:dyDescent="0.3">
      <c r="L19" s="105">
        <v>1995</v>
      </c>
      <c r="M19" s="201">
        <v>20592</v>
      </c>
      <c r="N19" s="78">
        <v>3380</v>
      </c>
      <c r="O19" s="202">
        <v>16</v>
      </c>
      <c r="P19" s="78">
        <v>8757</v>
      </c>
      <c r="Q19" s="203">
        <v>43</v>
      </c>
      <c r="R19" s="204">
        <v>3112</v>
      </c>
      <c r="S19" s="214">
        <v>1504</v>
      </c>
      <c r="AC19" s="59">
        <v>1985</v>
      </c>
      <c r="AD19" s="59">
        <v>2067</v>
      </c>
      <c r="AE19" s="60">
        <v>0.32600000000000001</v>
      </c>
      <c r="AF19" s="61">
        <v>0.1</v>
      </c>
      <c r="AG19" s="61">
        <v>0.57299999999999995</v>
      </c>
      <c r="AH19" s="62">
        <v>0</v>
      </c>
      <c r="AI19" s="62">
        <v>0.6</v>
      </c>
      <c r="AJ19" s="63">
        <v>0.39</v>
      </c>
      <c r="AK19" s="63">
        <v>0.01</v>
      </c>
      <c r="AR19" s="73"/>
      <c r="AT19" s="66">
        <v>1985</v>
      </c>
      <c r="AU19" s="66">
        <v>808</v>
      </c>
      <c r="AV19" s="67">
        <v>0.63400000000000001</v>
      </c>
      <c r="AW19" s="67">
        <v>0.52200000000000002</v>
      </c>
      <c r="AX19" s="66">
        <v>560</v>
      </c>
      <c r="AY19" s="68">
        <v>0</v>
      </c>
      <c r="AZ19" s="68">
        <v>0.6</v>
      </c>
      <c r="BA19" s="68">
        <v>0.39</v>
      </c>
      <c r="BB19" s="68">
        <v>0.01</v>
      </c>
      <c r="BC19" s="69">
        <v>0</v>
      </c>
      <c r="BF19" s="82">
        <v>1953</v>
      </c>
      <c r="BG19" s="85">
        <v>16.2</v>
      </c>
      <c r="BH19" s="86" t="s">
        <v>81</v>
      </c>
      <c r="BI19" s="85">
        <v>96.8</v>
      </c>
      <c r="BJ19" s="86" t="s">
        <v>81</v>
      </c>
      <c r="BK19" s="86"/>
      <c r="BL19" s="86" t="s">
        <v>81</v>
      </c>
      <c r="BM19" s="86" t="s">
        <v>81</v>
      </c>
      <c r="BN19" s="85">
        <v>113</v>
      </c>
      <c r="BO19" s="85">
        <v>229.4</v>
      </c>
      <c r="BP19" s="85">
        <v>342.4</v>
      </c>
      <c r="CB19" s="124">
        <v>1953</v>
      </c>
      <c r="CC19" s="136">
        <v>72300</v>
      </c>
      <c r="CD19" s="129">
        <v>4146</v>
      </c>
      <c r="CE19" s="107"/>
      <c r="CF19" s="129">
        <v>76446</v>
      </c>
      <c r="CG19" s="127">
        <v>0</v>
      </c>
      <c r="CH19" s="127">
        <v>0</v>
      </c>
      <c r="CI19" s="127">
        <v>0</v>
      </c>
      <c r="CJ19" s="127">
        <v>0</v>
      </c>
      <c r="CK19" s="127">
        <v>0</v>
      </c>
      <c r="CL19" s="127">
        <v>0</v>
      </c>
      <c r="CM19" s="107"/>
      <c r="CN19" s="129">
        <v>1200</v>
      </c>
      <c r="CO19" s="127">
        <v>0</v>
      </c>
      <c r="CP19" s="127">
        <v>0</v>
      </c>
      <c r="CQ19" s="127">
        <v>0</v>
      </c>
      <c r="CR19" s="127">
        <v>0</v>
      </c>
      <c r="CS19" s="128">
        <v>1953</v>
      </c>
      <c r="CU19" s="74">
        <f t="shared" ref="CU19:CU53" si="44">CC19+CD19</f>
        <v>76446</v>
      </c>
      <c r="DI19" s="253" t="s">
        <v>42</v>
      </c>
      <c r="DJ19" t="s">
        <v>387</v>
      </c>
      <c r="DK19">
        <v>352</v>
      </c>
      <c r="DL19">
        <v>8</v>
      </c>
      <c r="DM19">
        <v>485</v>
      </c>
      <c r="DN19">
        <v>796</v>
      </c>
      <c r="DO19">
        <v>634</v>
      </c>
      <c r="DP19">
        <v>592</v>
      </c>
      <c r="DQ19">
        <v>293</v>
      </c>
      <c r="DR19">
        <v>1398</v>
      </c>
      <c r="DS19">
        <v>1741</v>
      </c>
      <c r="DT19">
        <v>565</v>
      </c>
      <c r="DU19" s="253"/>
      <c r="DV19" s="253"/>
      <c r="DX19">
        <v>2007</v>
      </c>
      <c r="DZ19">
        <v>0.78</v>
      </c>
      <c r="EA19">
        <v>0.86</v>
      </c>
      <c r="EB19">
        <v>0.28000000000000003</v>
      </c>
      <c r="EC19">
        <v>0.85</v>
      </c>
      <c r="EF19" t="s">
        <v>721</v>
      </c>
      <c r="FC19" t="s">
        <v>718</v>
      </c>
      <c r="FE19" t="s">
        <v>726</v>
      </c>
      <c r="FW19">
        <f>AVERAGE(FW11:FW17)</f>
        <v>0.7899042658041574</v>
      </c>
      <c r="FX19">
        <f>AVERAGE(FX11:FX17)</f>
        <v>0.21009573419584249</v>
      </c>
      <c r="FZ19" s="525" t="s">
        <v>729</v>
      </c>
      <c r="GA19" s="525"/>
      <c r="GB19" s="525"/>
      <c r="GC19" s="525"/>
      <c r="GD19" s="525"/>
      <c r="GE19" s="525"/>
      <c r="GW19" s="253" t="s">
        <v>718</v>
      </c>
      <c r="GX19" s="253"/>
      <c r="GY19" s="253"/>
      <c r="GZ19" s="253"/>
      <c r="HA19" s="253"/>
      <c r="HB19" s="253"/>
      <c r="HC19" s="253"/>
      <c r="HD19" s="253"/>
      <c r="HE19" s="253"/>
      <c r="HF19" s="253"/>
      <c r="HG19" s="356">
        <f>AVERAGE(HG6:HG15)</f>
        <v>47929.990642900077</v>
      </c>
      <c r="HH19" s="356">
        <f>AVERAGE(HH6:HH15)</f>
        <v>9665.6093570999292</v>
      </c>
      <c r="HL19" s="74"/>
      <c r="HN19" s="74"/>
      <c r="HO19" s="74"/>
      <c r="HQ19" s="74"/>
      <c r="HR19" s="74"/>
      <c r="IC19">
        <v>1995</v>
      </c>
      <c r="ID19">
        <v>4367</v>
      </c>
      <c r="IE19" t="s">
        <v>163</v>
      </c>
      <c r="IF19" s="16">
        <v>4.5</v>
      </c>
      <c r="IG19">
        <v>0.1</v>
      </c>
      <c r="IH19" s="372">
        <v>0.3</v>
      </c>
      <c r="II19" s="16">
        <v>1.2</v>
      </c>
      <c r="IJ19">
        <v>0</v>
      </c>
      <c r="IK19">
        <v>0.5</v>
      </c>
      <c r="IL19">
        <v>0.1</v>
      </c>
      <c r="IM19">
        <v>0</v>
      </c>
      <c r="IN19">
        <v>0.3</v>
      </c>
      <c r="IO19">
        <v>0</v>
      </c>
      <c r="IP19">
        <v>0</v>
      </c>
      <c r="IQ19">
        <v>0</v>
      </c>
      <c r="IR19" s="372">
        <v>0</v>
      </c>
      <c r="IS19" s="16">
        <v>0</v>
      </c>
      <c r="IT19">
        <v>0</v>
      </c>
      <c r="IU19">
        <v>0</v>
      </c>
      <c r="IV19">
        <v>0</v>
      </c>
      <c r="IW19">
        <v>0</v>
      </c>
      <c r="IX19">
        <v>0</v>
      </c>
      <c r="IY19" s="372">
        <v>0.3</v>
      </c>
      <c r="IZ19">
        <v>0</v>
      </c>
      <c r="JA19">
        <v>0</v>
      </c>
      <c r="JB19">
        <v>0</v>
      </c>
      <c r="JC19">
        <v>0</v>
      </c>
      <c r="JD19">
        <v>0</v>
      </c>
      <c r="JE19">
        <v>0</v>
      </c>
      <c r="JF19">
        <v>0.3</v>
      </c>
      <c r="JG19">
        <v>42.6</v>
      </c>
      <c r="JH19">
        <v>0.1</v>
      </c>
      <c r="JI19">
        <v>49.8</v>
      </c>
    </row>
    <row r="20" spans="2:269" ht="15" x14ac:dyDescent="0.3">
      <c r="L20" s="105">
        <v>1996</v>
      </c>
      <c r="M20" s="201">
        <v>21605</v>
      </c>
      <c r="N20" s="78">
        <v>5041</v>
      </c>
      <c r="O20" s="202">
        <v>23</v>
      </c>
      <c r="P20" s="78">
        <v>10056</v>
      </c>
      <c r="Q20" s="203">
        <v>47</v>
      </c>
      <c r="R20" s="204">
        <v>3044</v>
      </c>
      <c r="S20" s="214">
        <v>4386</v>
      </c>
      <c r="AC20" s="59">
        <v>1986</v>
      </c>
      <c r="AD20" s="59">
        <v>2192</v>
      </c>
      <c r="AE20" s="60">
        <v>0.32600000000000001</v>
      </c>
      <c r="AF20" s="61">
        <v>0.2</v>
      </c>
      <c r="AG20" s="61">
        <v>0.64400000000000002</v>
      </c>
      <c r="AH20" s="62">
        <v>0</v>
      </c>
      <c r="AI20" s="62">
        <v>0.6</v>
      </c>
      <c r="AJ20" s="63">
        <v>0.39</v>
      </c>
      <c r="AK20" s="63">
        <v>0.01</v>
      </c>
      <c r="AR20" s="73"/>
      <c r="AT20" s="66">
        <v>1986</v>
      </c>
      <c r="AU20" s="66">
        <v>1736</v>
      </c>
      <c r="AV20" s="67">
        <v>0.432</v>
      </c>
      <c r="AW20" s="67">
        <v>0.48399999999999999</v>
      </c>
      <c r="AX20" s="66">
        <v>702</v>
      </c>
      <c r="AY20" s="68">
        <v>0</v>
      </c>
      <c r="AZ20" s="68">
        <v>0.71</v>
      </c>
      <c r="BA20" s="68">
        <v>0.28999999999999998</v>
      </c>
      <c r="BB20" s="68">
        <v>0.01</v>
      </c>
      <c r="BC20" s="69">
        <v>0</v>
      </c>
      <c r="BF20" s="82">
        <v>1954</v>
      </c>
      <c r="BG20" s="85">
        <v>4.2</v>
      </c>
      <c r="BH20" s="86" t="s">
        <v>81</v>
      </c>
      <c r="BI20" s="85">
        <v>44.4</v>
      </c>
      <c r="BJ20" s="86" t="s">
        <v>81</v>
      </c>
      <c r="BK20" s="86"/>
      <c r="BL20" s="86" t="s">
        <v>81</v>
      </c>
      <c r="BM20" s="86" t="s">
        <v>81</v>
      </c>
      <c r="BN20" s="85">
        <v>48.6</v>
      </c>
      <c r="BO20" s="85">
        <v>188.8</v>
      </c>
      <c r="BP20" s="85">
        <v>237.4</v>
      </c>
      <c r="CB20" s="124">
        <v>1954</v>
      </c>
      <c r="CC20" s="136">
        <v>29300</v>
      </c>
      <c r="CD20" s="129">
        <v>1827</v>
      </c>
      <c r="CE20" s="107"/>
      <c r="CF20" s="129">
        <v>31127</v>
      </c>
      <c r="CG20" s="127">
        <v>225</v>
      </c>
      <c r="CH20" s="127">
        <v>145</v>
      </c>
      <c r="CI20" s="127">
        <v>0</v>
      </c>
      <c r="CJ20" s="127">
        <v>315</v>
      </c>
      <c r="CK20" s="127">
        <v>160</v>
      </c>
      <c r="CL20" s="127">
        <v>0</v>
      </c>
      <c r="CM20" s="107"/>
      <c r="CN20" s="129">
        <v>5200</v>
      </c>
      <c r="CO20" s="127">
        <v>0</v>
      </c>
      <c r="CP20" s="127">
        <v>0</v>
      </c>
      <c r="CQ20" s="127">
        <v>0</v>
      </c>
      <c r="CR20" s="127">
        <v>0</v>
      </c>
      <c r="CS20" s="128">
        <v>1954</v>
      </c>
      <c r="CU20" s="74">
        <f t="shared" si="44"/>
        <v>31127</v>
      </c>
      <c r="DJ20" t="s">
        <v>388</v>
      </c>
      <c r="DK20">
        <v>4</v>
      </c>
      <c r="DL20">
        <v>4</v>
      </c>
      <c r="DM20">
        <v>12</v>
      </c>
      <c r="DN20">
        <v>4</v>
      </c>
      <c r="DO20">
        <v>10</v>
      </c>
      <c r="DP20">
        <v>4</v>
      </c>
      <c r="DQ20">
        <v>0</v>
      </c>
      <c r="DR20">
        <v>0</v>
      </c>
      <c r="DS20">
        <v>6</v>
      </c>
      <c r="DT20">
        <v>0</v>
      </c>
      <c r="DU20" s="253"/>
      <c r="DV20" s="253"/>
      <c r="DX20">
        <v>2008</v>
      </c>
      <c r="DZ20">
        <v>0.27</v>
      </c>
      <c r="EA20">
        <v>0.62</v>
      </c>
      <c r="EB20">
        <v>0.43</v>
      </c>
      <c r="EC20">
        <v>0.59</v>
      </c>
      <c r="FC20" s="253" t="s">
        <v>718</v>
      </c>
      <c r="FT20" s="356">
        <f>AVERAGE(FT6:FT16)</f>
        <v>27468</v>
      </c>
      <c r="FU20" s="356">
        <f>AVERAGE(FU6:FU16)</f>
        <v>7230.363636363636</v>
      </c>
      <c r="FZ20" s="525"/>
      <c r="GA20" s="525"/>
      <c r="GB20" s="525"/>
      <c r="GC20" s="525"/>
      <c r="GD20" s="525"/>
      <c r="GE20" s="525"/>
      <c r="HJ20" s="485" t="s">
        <v>773</v>
      </c>
      <c r="HK20" s="485"/>
      <c r="HL20" s="485"/>
      <c r="HM20" s="485"/>
      <c r="HN20" s="485"/>
      <c r="HO20" s="485"/>
      <c r="HP20" s="485"/>
      <c r="HQ20" s="485"/>
      <c r="HR20" s="485"/>
      <c r="HS20" s="485"/>
      <c r="HT20" s="485"/>
      <c r="HU20" s="485"/>
      <c r="HV20" s="485"/>
      <c r="HW20" s="485"/>
      <c r="HX20" s="485"/>
      <c r="HY20" s="87"/>
      <c r="HZ20" s="87"/>
      <c r="IA20" s="87"/>
      <c r="IC20">
        <v>1996</v>
      </c>
      <c r="ID20">
        <v>3645</v>
      </c>
      <c r="IE20" t="s">
        <v>163</v>
      </c>
      <c r="IF20" s="16">
        <v>2.2000000000000002</v>
      </c>
      <c r="IG20">
        <v>0</v>
      </c>
      <c r="IH20" s="372">
        <v>0</v>
      </c>
      <c r="II20" s="16">
        <v>0.2</v>
      </c>
      <c r="IJ20">
        <v>0</v>
      </c>
      <c r="IK20">
        <v>0.1</v>
      </c>
      <c r="IL20">
        <v>0</v>
      </c>
      <c r="IM20">
        <v>0</v>
      </c>
      <c r="IN20">
        <v>0.1</v>
      </c>
      <c r="IO20">
        <v>0</v>
      </c>
      <c r="IP20">
        <v>0</v>
      </c>
      <c r="IQ20">
        <v>0</v>
      </c>
      <c r="IR20" s="372">
        <v>0</v>
      </c>
      <c r="IS20" s="16">
        <v>0</v>
      </c>
      <c r="IT20">
        <v>0</v>
      </c>
      <c r="IU20">
        <v>0.1</v>
      </c>
      <c r="IV20">
        <v>0</v>
      </c>
      <c r="IW20">
        <v>0</v>
      </c>
      <c r="IX20">
        <v>0</v>
      </c>
      <c r="IY20" s="372">
        <v>0.1</v>
      </c>
      <c r="IZ20">
        <v>0</v>
      </c>
      <c r="JA20">
        <v>0</v>
      </c>
      <c r="JB20">
        <v>0</v>
      </c>
      <c r="JC20">
        <v>0</v>
      </c>
      <c r="JD20">
        <v>0</v>
      </c>
      <c r="JE20">
        <v>0</v>
      </c>
      <c r="JF20">
        <v>0.8</v>
      </c>
      <c r="JG20">
        <v>33.9</v>
      </c>
      <c r="JH20">
        <v>0.4</v>
      </c>
      <c r="JI20">
        <v>62.1</v>
      </c>
    </row>
    <row r="21" spans="2:269" ht="15" x14ac:dyDescent="0.3">
      <c r="L21" s="105">
        <v>1997</v>
      </c>
      <c r="M21" s="201">
        <v>26885</v>
      </c>
      <c r="N21" s="78">
        <v>4022</v>
      </c>
      <c r="O21" s="202">
        <v>15</v>
      </c>
      <c r="P21" s="78">
        <v>14752</v>
      </c>
      <c r="Q21" s="203">
        <v>55</v>
      </c>
      <c r="R21" s="204">
        <v>2670</v>
      </c>
      <c r="S21" s="207">
        <v>539</v>
      </c>
      <c r="AC21" s="59">
        <v>1987</v>
      </c>
      <c r="AD21" s="59">
        <v>2785</v>
      </c>
      <c r="AE21" s="60">
        <v>0.32600000000000001</v>
      </c>
      <c r="AF21" s="61">
        <v>0.11</v>
      </c>
      <c r="AG21" s="61">
        <v>0.56200000000000006</v>
      </c>
      <c r="AH21" s="62">
        <v>0</v>
      </c>
      <c r="AI21" s="62">
        <v>0.6</v>
      </c>
      <c r="AJ21" s="63">
        <v>0.39</v>
      </c>
      <c r="AK21" s="63">
        <v>0.01</v>
      </c>
      <c r="AR21" s="73"/>
      <c r="AT21" s="66">
        <v>1987</v>
      </c>
      <c r="AU21" s="66">
        <v>2933</v>
      </c>
      <c r="AV21" s="67">
        <v>0.71399999999999997</v>
      </c>
      <c r="AW21" s="67">
        <v>0.51200000000000001</v>
      </c>
      <c r="AX21" s="66">
        <v>2199</v>
      </c>
      <c r="AY21" s="68">
        <v>0</v>
      </c>
      <c r="AZ21" s="68">
        <v>0.68</v>
      </c>
      <c r="BA21" s="68">
        <v>0.32</v>
      </c>
      <c r="BB21" s="68">
        <v>0.01</v>
      </c>
      <c r="BC21" s="69">
        <v>0</v>
      </c>
      <c r="BF21" s="82">
        <v>1955</v>
      </c>
      <c r="BG21" s="85">
        <v>3.6</v>
      </c>
      <c r="BH21" s="86" t="s">
        <v>81</v>
      </c>
      <c r="BI21" s="85">
        <v>32.5</v>
      </c>
      <c r="BJ21" s="86" t="s">
        <v>81</v>
      </c>
      <c r="BK21" s="86"/>
      <c r="BL21" s="86" t="s">
        <v>81</v>
      </c>
      <c r="BM21" s="86" t="s">
        <v>81</v>
      </c>
      <c r="BN21" s="85">
        <v>36.1</v>
      </c>
      <c r="BO21" s="85">
        <v>281</v>
      </c>
      <c r="BP21" s="85">
        <v>317.10000000000002</v>
      </c>
      <c r="CB21" s="124">
        <v>1955</v>
      </c>
      <c r="CC21" s="136">
        <v>20500</v>
      </c>
      <c r="CD21" s="129">
        <v>1500</v>
      </c>
      <c r="CE21" s="107"/>
      <c r="CF21" s="129">
        <v>22000</v>
      </c>
      <c r="CG21" s="127">
        <v>75</v>
      </c>
      <c r="CH21" s="127">
        <v>0</v>
      </c>
      <c r="CI21" s="127">
        <v>0</v>
      </c>
      <c r="CJ21" s="127">
        <v>340</v>
      </c>
      <c r="CK21" s="129">
        <v>1810</v>
      </c>
      <c r="CL21" s="127">
        <v>0</v>
      </c>
      <c r="CM21" s="107"/>
      <c r="CN21" s="129">
        <v>2100</v>
      </c>
      <c r="CO21" s="127">
        <v>0</v>
      </c>
      <c r="CP21" s="127">
        <v>0</v>
      </c>
      <c r="CQ21" s="127">
        <v>0</v>
      </c>
      <c r="CR21" s="127">
        <v>0</v>
      </c>
      <c r="CS21" s="128">
        <v>1955</v>
      </c>
      <c r="CU21" s="74">
        <f t="shared" si="44"/>
        <v>22000</v>
      </c>
      <c r="DJ21" s="253" t="s">
        <v>5</v>
      </c>
      <c r="DK21" s="253">
        <f>SUM(DK19:DK20)</f>
        <v>356</v>
      </c>
      <c r="DL21" s="253">
        <f t="shared" ref="DL21:DT21" si="45">SUM(DL19:DL20)</f>
        <v>12</v>
      </c>
      <c r="DM21" s="253">
        <f t="shared" si="45"/>
        <v>497</v>
      </c>
      <c r="DN21" s="253">
        <f t="shared" si="45"/>
        <v>800</v>
      </c>
      <c r="DO21" s="253">
        <f t="shared" si="45"/>
        <v>644</v>
      </c>
      <c r="DP21" s="253">
        <f t="shared" si="45"/>
        <v>596</v>
      </c>
      <c r="DQ21" s="253">
        <f t="shared" si="45"/>
        <v>293</v>
      </c>
      <c r="DR21" s="253">
        <f t="shared" si="45"/>
        <v>1398</v>
      </c>
      <c r="DS21" s="253">
        <f t="shared" si="45"/>
        <v>1747</v>
      </c>
      <c r="DT21" s="253">
        <f t="shared" si="45"/>
        <v>565</v>
      </c>
      <c r="DU21" s="253">
        <f>SUM(DK21:DT21)</f>
        <v>6908</v>
      </c>
      <c r="DV21" s="253">
        <f>+DU21/10</f>
        <v>690.8</v>
      </c>
      <c r="DX21">
        <v>2009</v>
      </c>
      <c r="DZ21">
        <v>0.56000000000000005</v>
      </c>
      <c r="EA21">
        <v>0.36</v>
      </c>
      <c r="EB21">
        <v>0.53</v>
      </c>
      <c r="EC21">
        <v>0.83</v>
      </c>
      <c r="EF21" t="s">
        <v>722</v>
      </c>
      <c r="HK21" s="485" t="s">
        <v>750</v>
      </c>
      <c r="HL21" s="485"/>
      <c r="HN21" s="485" t="s">
        <v>751</v>
      </c>
      <c r="HO21" s="485"/>
      <c r="HQ21" s="485" t="s">
        <v>752</v>
      </c>
      <c r="HR21" s="485"/>
      <c r="HT21" s="485" t="s">
        <v>531</v>
      </c>
      <c r="HU21" s="485"/>
      <c r="HW21" s="485" t="s">
        <v>753</v>
      </c>
      <c r="HX21" s="485"/>
      <c r="HY21" s="87"/>
      <c r="HZ21" s="87"/>
      <c r="IA21" s="87"/>
      <c r="IC21">
        <v>1997</v>
      </c>
      <c r="ID21">
        <v>2218</v>
      </c>
      <c r="IE21" t="s">
        <v>163</v>
      </c>
      <c r="IF21" s="16">
        <v>4.3</v>
      </c>
      <c r="IG21">
        <v>0</v>
      </c>
      <c r="IH21" s="372">
        <v>0</v>
      </c>
      <c r="II21" s="16">
        <v>0.3</v>
      </c>
      <c r="IJ21">
        <v>0</v>
      </c>
      <c r="IK21">
        <v>0</v>
      </c>
      <c r="IL21">
        <v>0</v>
      </c>
      <c r="IM21">
        <v>0</v>
      </c>
      <c r="IN21">
        <v>0</v>
      </c>
      <c r="IO21">
        <v>0</v>
      </c>
      <c r="IP21">
        <v>0</v>
      </c>
      <c r="IQ21">
        <v>0</v>
      </c>
      <c r="IR21" s="372">
        <v>0</v>
      </c>
      <c r="IS21" s="16">
        <v>0.1</v>
      </c>
      <c r="IT21">
        <v>0</v>
      </c>
      <c r="IU21">
        <v>0.2</v>
      </c>
      <c r="IV21">
        <v>0</v>
      </c>
      <c r="IW21">
        <v>0</v>
      </c>
      <c r="IX21">
        <v>0</v>
      </c>
      <c r="IY21" s="372">
        <v>0</v>
      </c>
      <c r="IZ21">
        <v>0</v>
      </c>
      <c r="JA21">
        <v>0</v>
      </c>
      <c r="JB21">
        <v>0</v>
      </c>
      <c r="JC21">
        <v>0</v>
      </c>
      <c r="JD21">
        <v>0</v>
      </c>
      <c r="JE21">
        <v>0</v>
      </c>
      <c r="JF21">
        <v>0.8</v>
      </c>
      <c r="JG21">
        <v>15.7</v>
      </c>
      <c r="JH21">
        <v>0.1</v>
      </c>
      <c r="JI21">
        <v>78.400000000000006</v>
      </c>
    </row>
    <row r="22" spans="2:269" ht="15" x14ac:dyDescent="0.3">
      <c r="L22" s="105">
        <v>1998</v>
      </c>
      <c r="M22" s="201">
        <v>34461</v>
      </c>
      <c r="N22" s="78">
        <v>6125</v>
      </c>
      <c r="O22" s="202">
        <v>18</v>
      </c>
      <c r="P22" s="78">
        <v>16414</v>
      </c>
      <c r="Q22" s="203">
        <v>48</v>
      </c>
      <c r="R22" s="204">
        <v>4530</v>
      </c>
      <c r="S22" s="206">
        <v>7590</v>
      </c>
      <c r="AC22" s="59">
        <v>1988</v>
      </c>
      <c r="AD22" s="59">
        <v>3769</v>
      </c>
      <c r="AE22" s="60">
        <v>0.32600000000000001</v>
      </c>
      <c r="AF22" s="61">
        <v>0.12</v>
      </c>
      <c r="AG22" s="61">
        <v>0.49399999999999999</v>
      </c>
      <c r="AH22" s="62">
        <v>0</v>
      </c>
      <c r="AI22" s="62">
        <v>0.6</v>
      </c>
      <c r="AJ22" s="63">
        <v>0.39</v>
      </c>
      <c r="AK22" s="63">
        <v>0.01</v>
      </c>
      <c r="AR22" s="73"/>
      <c r="AT22" s="66">
        <v>1988</v>
      </c>
      <c r="AU22" s="66">
        <v>6613</v>
      </c>
      <c r="AV22" s="67">
        <v>0.77900000000000003</v>
      </c>
      <c r="AW22" s="67">
        <v>0.47399999999999998</v>
      </c>
      <c r="AX22" s="66">
        <v>4647</v>
      </c>
      <c r="AY22" s="68">
        <v>0</v>
      </c>
      <c r="AZ22" s="68">
        <v>0.63</v>
      </c>
      <c r="BA22" s="68">
        <v>0.36</v>
      </c>
      <c r="BB22" s="68">
        <v>0.01</v>
      </c>
      <c r="BC22" s="69">
        <v>0</v>
      </c>
      <c r="BF22" s="82">
        <v>1956</v>
      </c>
      <c r="BG22" s="85">
        <v>3.4</v>
      </c>
      <c r="BH22" s="86" t="s">
        <v>81</v>
      </c>
      <c r="BI22" s="85">
        <v>77.599999999999994</v>
      </c>
      <c r="BJ22" s="86" t="s">
        <v>81</v>
      </c>
      <c r="BK22" s="86"/>
      <c r="BL22" s="86" t="s">
        <v>81</v>
      </c>
      <c r="BM22" s="86" t="s">
        <v>81</v>
      </c>
      <c r="BN22" s="85">
        <v>81</v>
      </c>
      <c r="BO22" s="85">
        <v>216.9</v>
      </c>
      <c r="BP22" s="85">
        <v>297.89999999999998</v>
      </c>
      <c r="CB22" s="124">
        <v>1956</v>
      </c>
      <c r="CC22" s="136">
        <v>58000</v>
      </c>
      <c r="CD22" s="127">
        <v>600</v>
      </c>
      <c r="CE22" s="107"/>
      <c r="CF22" s="129">
        <v>58600</v>
      </c>
      <c r="CG22" s="127">
        <v>6</v>
      </c>
      <c r="CH22" s="127">
        <v>15</v>
      </c>
      <c r="CI22" s="127">
        <v>0</v>
      </c>
      <c r="CJ22" s="129">
        <v>2600</v>
      </c>
      <c r="CK22" s="129">
        <v>6035</v>
      </c>
      <c r="CL22" s="127">
        <v>0</v>
      </c>
      <c r="CM22" s="107"/>
      <c r="CN22" s="129">
        <v>3800</v>
      </c>
      <c r="CO22" s="127">
        <v>0</v>
      </c>
      <c r="CP22" s="127">
        <v>0</v>
      </c>
      <c r="CQ22" s="127">
        <v>0</v>
      </c>
      <c r="CR22" s="127">
        <v>0</v>
      </c>
      <c r="CS22" s="128">
        <v>1956</v>
      </c>
      <c r="CU22" s="74">
        <f t="shared" si="44"/>
        <v>58600</v>
      </c>
      <c r="DU22" s="253"/>
      <c r="DV22" s="253"/>
      <c r="DX22">
        <v>2010</v>
      </c>
      <c r="DZ22">
        <v>0.82</v>
      </c>
      <c r="EA22">
        <v>0.84</v>
      </c>
      <c r="EB22">
        <v>0.61</v>
      </c>
      <c r="EC22">
        <v>0.65</v>
      </c>
      <c r="EF22" t="s">
        <v>723</v>
      </c>
      <c r="HJ22" s="354" t="s">
        <v>3</v>
      </c>
      <c r="HK22" s="354" t="s">
        <v>6</v>
      </c>
      <c r="HL22" s="354" t="s">
        <v>418</v>
      </c>
      <c r="HM22" s="26"/>
      <c r="HN22" s="354" t="s">
        <v>6</v>
      </c>
      <c r="HO22" s="354" t="s">
        <v>418</v>
      </c>
      <c r="HP22" s="26"/>
      <c r="HQ22" s="354" t="s">
        <v>6</v>
      </c>
      <c r="HR22" s="354" t="s">
        <v>418</v>
      </c>
      <c r="HS22" s="26"/>
      <c r="HT22" s="354" t="s">
        <v>6</v>
      </c>
      <c r="HU22" s="354" t="s">
        <v>418</v>
      </c>
      <c r="HV22" s="26"/>
      <c r="HW22" s="354" t="s">
        <v>6</v>
      </c>
      <c r="HX22" s="354" t="s">
        <v>418</v>
      </c>
      <c r="HY22" s="198"/>
      <c r="HZ22" s="198"/>
      <c r="IA22" s="198"/>
      <c r="IC22">
        <v>1998</v>
      </c>
      <c r="ID22">
        <v>1575</v>
      </c>
      <c r="IE22" t="s">
        <v>163</v>
      </c>
      <c r="IF22" s="16">
        <v>5.0999999999999996</v>
      </c>
      <c r="IG22">
        <v>0.2</v>
      </c>
      <c r="IH22" s="372">
        <v>0.3</v>
      </c>
      <c r="II22" s="16">
        <v>0</v>
      </c>
      <c r="IJ22">
        <v>0</v>
      </c>
      <c r="IK22">
        <v>0.1</v>
      </c>
      <c r="IL22">
        <v>0</v>
      </c>
      <c r="IM22">
        <v>0</v>
      </c>
      <c r="IN22">
        <v>0</v>
      </c>
      <c r="IO22">
        <v>0</v>
      </c>
      <c r="IP22">
        <v>0</v>
      </c>
      <c r="IQ22">
        <v>0</v>
      </c>
      <c r="IR22" s="372">
        <v>0</v>
      </c>
      <c r="IS22" s="16">
        <v>0.1</v>
      </c>
      <c r="IT22">
        <v>0</v>
      </c>
      <c r="IU22">
        <v>0</v>
      </c>
      <c r="IV22">
        <v>0</v>
      </c>
      <c r="IW22">
        <v>0</v>
      </c>
      <c r="IX22">
        <v>0</v>
      </c>
      <c r="IY22" s="372">
        <v>0.4</v>
      </c>
      <c r="IZ22">
        <v>0</v>
      </c>
      <c r="JA22">
        <v>0</v>
      </c>
      <c r="JB22">
        <v>0</v>
      </c>
      <c r="JC22">
        <v>0</v>
      </c>
      <c r="JD22">
        <v>0</v>
      </c>
      <c r="JE22">
        <v>0</v>
      </c>
      <c r="JF22">
        <v>0.4</v>
      </c>
      <c r="JG22">
        <v>16.600000000000001</v>
      </c>
      <c r="JH22">
        <v>0</v>
      </c>
      <c r="JI22">
        <v>77</v>
      </c>
    </row>
    <row r="23" spans="2:269" ht="15" x14ac:dyDescent="0.3">
      <c r="L23" s="105">
        <v>1999</v>
      </c>
      <c r="M23" s="201">
        <v>40410</v>
      </c>
      <c r="N23" s="78">
        <v>6367</v>
      </c>
      <c r="O23" s="202">
        <v>16</v>
      </c>
      <c r="P23" s="78">
        <v>18725</v>
      </c>
      <c r="Q23" s="203">
        <v>46</v>
      </c>
      <c r="R23" s="204">
        <v>4562</v>
      </c>
      <c r="S23" s="206">
        <v>7689</v>
      </c>
      <c r="AC23" s="59">
        <v>1989</v>
      </c>
      <c r="AD23" s="59">
        <v>3481</v>
      </c>
      <c r="AE23" s="60">
        <v>0.32600000000000001</v>
      </c>
      <c r="AF23" s="61">
        <v>0.21</v>
      </c>
      <c r="AG23" s="61">
        <v>0.56399999999999995</v>
      </c>
      <c r="AH23" s="62">
        <v>0</v>
      </c>
      <c r="AI23" s="62">
        <v>0.6</v>
      </c>
      <c r="AJ23" s="63">
        <v>0.39</v>
      </c>
      <c r="AK23" s="63">
        <v>0.01</v>
      </c>
      <c r="AR23" s="73"/>
      <c r="AT23" s="66">
        <v>1989</v>
      </c>
      <c r="AU23" s="66">
        <v>3852</v>
      </c>
      <c r="AV23" s="67">
        <v>0.59</v>
      </c>
      <c r="AW23" s="67">
        <v>0.51100000000000001</v>
      </c>
      <c r="AX23" s="66">
        <v>2372</v>
      </c>
      <c r="AY23" s="68">
        <v>0</v>
      </c>
      <c r="AZ23" s="68">
        <v>0.41</v>
      </c>
      <c r="BA23" s="68">
        <v>0.57999999999999996</v>
      </c>
      <c r="BB23" s="68">
        <v>0.01</v>
      </c>
      <c r="BC23" s="69">
        <v>0</v>
      </c>
      <c r="BF23" s="82">
        <v>1957</v>
      </c>
      <c r="BG23" s="85">
        <v>2</v>
      </c>
      <c r="BH23" s="86" t="s">
        <v>81</v>
      </c>
      <c r="BI23" s="85">
        <v>52.8</v>
      </c>
      <c r="BJ23" s="86" t="s">
        <v>81</v>
      </c>
      <c r="BK23" s="86"/>
      <c r="BL23" s="86" t="s">
        <v>81</v>
      </c>
      <c r="BM23" s="86" t="s">
        <v>81</v>
      </c>
      <c r="BN23" s="85">
        <v>54.8</v>
      </c>
      <c r="BO23" s="85">
        <v>253</v>
      </c>
      <c r="BP23" s="85">
        <v>307.8</v>
      </c>
      <c r="CB23" s="124">
        <v>1957</v>
      </c>
      <c r="CC23" s="136">
        <v>37107</v>
      </c>
      <c r="CD23" s="129">
        <v>2193</v>
      </c>
      <c r="CE23" s="107"/>
      <c r="CF23" s="129">
        <v>39300</v>
      </c>
      <c r="CG23" s="127">
        <v>6</v>
      </c>
      <c r="CH23" s="127">
        <v>47</v>
      </c>
      <c r="CI23" s="127">
        <v>0</v>
      </c>
      <c r="CJ23" s="129">
        <v>2950</v>
      </c>
      <c r="CK23" s="129">
        <v>1200</v>
      </c>
      <c r="CL23" s="127">
        <v>0</v>
      </c>
      <c r="CM23" s="107"/>
      <c r="CN23" s="129">
        <v>7500</v>
      </c>
      <c r="CO23" s="127">
        <v>0</v>
      </c>
      <c r="CP23" s="127">
        <v>0</v>
      </c>
      <c r="CQ23" s="127">
        <v>0</v>
      </c>
      <c r="CR23" s="127">
        <v>0</v>
      </c>
      <c r="CS23" s="128">
        <v>1957</v>
      </c>
      <c r="CU23" s="74">
        <f t="shared" si="44"/>
        <v>39300</v>
      </c>
      <c r="DI23" s="253" t="s">
        <v>43</v>
      </c>
      <c r="DJ23" t="s">
        <v>389</v>
      </c>
      <c r="DK23">
        <v>333</v>
      </c>
      <c r="DL23">
        <v>67</v>
      </c>
      <c r="DM23">
        <v>731</v>
      </c>
      <c r="DN23">
        <v>2204</v>
      </c>
      <c r="DO23">
        <v>1372</v>
      </c>
      <c r="DP23">
        <v>1718</v>
      </c>
      <c r="DQ23">
        <v>635</v>
      </c>
      <c r="DR23">
        <v>556</v>
      </c>
      <c r="DS23">
        <v>947</v>
      </c>
      <c r="DT23">
        <v>1798</v>
      </c>
      <c r="DU23" s="253"/>
      <c r="DV23" s="253"/>
      <c r="DX23">
        <v>2011</v>
      </c>
      <c r="DZ23">
        <v>0.64</v>
      </c>
      <c r="EA23">
        <v>0.61</v>
      </c>
      <c r="EB23">
        <v>0.35</v>
      </c>
      <c r="EC23">
        <v>0.65</v>
      </c>
      <c r="FK23" s="87"/>
      <c r="HJ23">
        <v>2007</v>
      </c>
      <c r="HK23" s="218">
        <f t="shared" ref="HK23:HK32" si="46">HK6/HG6</f>
        <v>6.1411072868955016E-2</v>
      </c>
      <c r="HL23" s="218">
        <f t="shared" ref="HL23:HL32" si="47">HL6/HH6</f>
        <v>1.1712064126525021E-2</v>
      </c>
      <c r="HM23" s="218"/>
      <c r="HN23" s="218">
        <f t="shared" ref="HN23:HN32" si="48">HN6/HG6</f>
        <v>6.0438165809581267E-3</v>
      </c>
      <c r="HO23" s="218">
        <f t="shared" ref="HO23:HO32" si="49">HO6/HH6</f>
        <v>1.0787427484957256E-3</v>
      </c>
      <c r="HP23" s="218"/>
      <c r="HQ23" s="218">
        <f t="shared" ref="HQ23:HQ32" si="50">HQ6/HG6</f>
        <v>0.15867229677422751</v>
      </c>
      <c r="HR23" s="218">
        <f t="shared" ref="HR23:HR32" si="51">HR6/HH6</f>
        <v>3.7139571769638551E-2</v>
      </c>
      <c r="HS23" s="218"/>
      <c r="HT23" s="218">
        <f t="shared" ref="HT23:HT32" si="52">HT6/HG6</f>
        <v>4.5815077886872821E-2</v>
      </c>
      <c r="HU23" s="218">
        <f t="shared" ref="HU23:HU32" si="53">HU6/HH6</f>
        <v>7.3970931325421183E-3</v>
      </c>
      <c r="HV23" s="218"/>
      <c r="HW23" s="218">
        <f t="shared" ref="HW23:HW32" si="54">HW6/HG6</f>
        <v>3.5142582265863836E-2</v>
      </c>
      <c r="HX23" s="218">
        <f t="shared" ref="HX23:HX32" si="55">HX6/HH6</f>
        <v>1.1866170233452981E-2</v>
      </c>
      <c r="HY23" s="218"/>
      <c r="HZ23" s="218"/>
      <c r="IA23" s="218"/>
      <c r="IC23">
        <v>1999</v>
      </c>
      <c r="ID23">
        <v>1770</v>
      </c>
      <c r="IE23" t="s">
        <v>163</v>
      </c>
      <c r="IF23" s="16">
        <v>7.5</v>
      </c>
      <c r="IG23">
        <v>0</v>
      </c>
      <c r="IH23" s="372">
        <v>0.7</v>
      </c>
      <c r="II23" s="16">
        <v>0</v>
      </c>
      <c r="IJ23">
        <v>0</v>
      </c>
      <c r="IK23">
        <v>0</v>
      </c>
      <c r="IL23">
        <v>0.7</v>
      </c>
      <c r="IM23">
        <v>0</v>
      </c>
      <c r="IN23">
        <v>0</v>
      </c>
      <c r="IO23">
        <v>0</v>
      </c>
      <c r="IP23">
        <v>0</v>
      </c>
      <c r="IQ23">
        <v>0</v>
      </c>
      <c r="IR23" s="372">
        <v>0</v>
      </c>
      <c r="IS23" s="16">
        <v>0</v>
      </c>
      <c r="IT23">
        <v>0</v>
      </c>
      <c r="IU23">
        <v>0</v>
      </c>
      <c r="IV23">
        <v>0.1</v>
      </c>
      <c r="IW23">
        <v>0</v>
      </c>
      <c r="IX23">
        <v>0</v>
      </c>
      <c r="IY23" s="372">
        <v>0</v>
      </c>
      <c r="IZ23">
        <v>0</v>
      </c>
      <c r="JA23">
        <v>0</v>
      </c>
      <c r="JB23">
        <v>0</v>
      </c>
      <c r="JC23">
        <v>0</v>
      </c>
      <c r="JD23">
        <v>0</v>
      </c>
      <c r="JE23">
        <v>0</v>
      </c>
      <c r="JF23">
        <v>0.8</v>
      </c>
      <c r="JG23">
        <v>14.8</v>
      </c>
      <c r="JH23">
        <v>0.2</v>
      </c>
      <c r="JI23">
        <v>75.2</v>
      </c>
    </row>
    <row r="24" spans="2:269" ht="15" x14ac:dyDescent="0.3">
      <c r="B24" s="195">
        <v>2000</v>
      </c>
      <c r="C24" s="194">
        <v>55.7</v>
      </c>
      <c r="D24" s="452">
        <v>1.1000000000000001</v>
      </c>
      <c r="E24" s="452">
        <v>0.2</v>
      </c>
      <c r="F24" s="452">
        <v>56.2</v>
      </c>
      <c r="G24" s="453">
        <v>9</v>
      </c>
      <c r="H24" s="454">
        <v>16</v>
      </c>
      <c r="I24" s="453">
        <v>39.1</v>
      </c>
      <c r="J24" s="452">
        <v>7.8</v>
      </c>
      <c r="L24" s="105">
        <v>2000</v>
      </c>
      <c r="M24" s="201">
        <v>39073</v>
      </c>
      <c r="N24" s="78">
        <v>5119</v>
      </c>
      <c r="O24" s="202">
        <v>13</v>
      </c>
      <c r="P24" s="78">
        <v>16158</v>
      </c>
      <c r="Q24" s="203">
        <v>41</v>
      </c>
      <c r="R24" s="204">
        <v>4296</v>
      </c>
      <c r="S24" s="207">
        <v>0</v>
      </c>
      <c r="U24">
        <f t="shared" ref="U24:U38" si="56">D24*1000+E24*1000+G24*1000+N26</f>
        <v>22962</v>
      </c>
      <c r="AC24" s="59">
        <v>1990</v>
      </c>
      <c r="AD24" s="59">
        <v>4133</v>
      </c>
      <c r="AE24" s="60">
        <v>0.32600000000000001</v>
      </c>
      <c r="AF24" s="61">
        <v>7.0000000000000007E-2</v>
      </c>
      <c r="AG24" s="61">
        <v>0.45400000000000001</v>
      </c>
      <c r="AH24" s="62">
        <v>0</v>
      </c>
      <c r="AI24" s="62">
        <v>0.6</v>
      </c>
      <c r="AJ24" s="63">
        <v>0.39</v>
      </c>
      <c r="AK24" s="63">
        <v>0.01</v>
      </c>
      <c r="AR24" s="73"/>
      <c r="AT24" s="66">
        <v>1990</v>
      </c>
      <c r="AU24" s="66">
        <v>6988</v>
      </c>
      <c r="AV24" s="67">
        <v>0.77200000000000002</v>
      </c>
      <c r="AW24" s="67">
        <v>0.48599999999999999</v>
      </c>
      <c r="AX24" s="66">
        <v>5100</v>
      </c>
      <c r="AY24" s="68">
        <v>0</v>
      </c>
      <c r="AZ24" s="68">
        <v>0.56000000000000005</v>
      </c>
      <c r="BA24" s="68">
        <v>0.43</v>
      </c>
      <c r="BB24" s="68">
        <v>0.01</v>
      </c>
      <c r="BC24" s="69">
        <v>0</v>
      </c>
      <c r="BF24" s="82">
        <v>1958</v>
      </c>
      <c r="BG24" s="85">
        <v>7.2</v>
      </c>
      <c r="BH24" s="86" t="s">
        <v>81</v>
      </c>
      <c r="BI24" s="85">
        <v>62.8</v>
      </c>
      <c r="BJ24" s="86" t="s">
        <v>81</v>
      </c>
      <c r="BK24" s="86"/>
      <c r="BL24" s="86" t="s">
        <v>81</v>
      </c>
      <c r="BM24" s="86" t="s">
        <v>81</v>
      </c>
      <c r="BN24" s="85">
        <v>70</v>
      </c>
      <c r="BO24" s="85">
        <v>198.5</v>
      </c>
      <c r="BP24" s="85">
        <v>268.5</v>
      </c>
      <c r="CB24" s="124">
        <v>1958</v>
      </c>
      <c r="CC24" s="136">
        <v>42850</v>
      </c>
      <c r="CD24" s="129">
        <v>2350</v>
      </c>
      <c r="CE24" s="107"/>
      <c r="CF24" s="129">
        <v>45200</v>
      </c>
      <c r="CG24" s="127">
        <v>96</v>
      </c>
      <c r="CH24" s="127">
        <v>29</v>
      </c>
      <c r="CI24" s="127">
        <v>0</v>
      </c>
      <c r="CJ24" s="127">
        <v>394</v>
      </c>
      <c r="CK24" s="127">
        <v>976</v>
      </c>
      <c r="CL24" s="127">
        <v>0</v>
      </c>
      <c r="CM24" s="107"/>
      <c r="CN24" s="129">
        <v>5500</v>
      </c>
      <c r="CO24" s="127">
        <v>0</v>
      </c>
      <c r="CP24" s="127">
        <v>0</v>
      </c>
      <c r="CQ24" s="127">
        <v>0</v>
      </c>
      <c r="CR24" s="127">
        <v>0</v>
      </c>
      <c r="CS24" s="128">
        <v>1958</v>
      </c>
      <c r="CU24" s="74">
        <f t="shared" si="44"/>
        <v>45200</v>
      </c>
      <c r="DJ24" t="s">
        <v>390</v>
      </c>
      <c r="DK24">
        <v>0</v>
      </c>
      <c r="DL24">
        <v>0</v>
      </c>
      <c r="DM24">
        <v>0</v>
      </c>
      <c r="DN24">
        <v>0</v>
      </c>
      <c r="DO24">
        <v>0</v>
      </c>
      <c r="DP24">
        <v>0</v>
      </c>
      <c r="DQ24">
        <v>0</v>
      </c>
      <c r="DR24">
        <v>0</v>
      </c>
      <c r="DS24">
        <v>0</v>
      </c>
      <c r="DT24">
        <v>19</v>
      </c>
      <c r="DU24" s="253"/>
      <c r="DV24" s="253"/>
      <c r="DX24">
        <v>2012</v>
      </c>
      <c r="DZ24">
        <v>0.76</v>
      </c>
      <c r="EA24">
        <v>0.67</v>
      </c>
      <c r="EB24">
        <v>0.39</v>
      </c>
      <c r="EC24">
        <v>0.93</v>
      </c>
      <c r="FC24" s="486"/>
      <c r="FD24" s="486"/>
      <c r="FE24" s="486"/>
      <c r="FF24" s="486"/>
      <c r="FG24" s="486"/>
      <c r="FH24" s="486"/>
      <c r="FI24" s="486"/>
      <c r="FK24" s="198"/>
      <c r="HJ24">
        <v>2008</v>
      </c>
      <c r="HK24" s="218">
        <f t="shared" si="46"/>
        <v>5.9412588742095021E-3</v>
      </c>
      <c r="HL24" s="218">
        <f t="shared" si="47"/>
        <v>1.7510064954755255E-3</v>
      </c>
      <c r="HM24" s="218"/>
      <c r="HN24" s="218">
        <f t="shared" si="48"/>
        <v>9.161330477788698E-3</v>
      </c>
      <c r="HO24" s="218">
        <f t="shared" si="49"/>
        <v>2.4076339312788476E-3</v>
      </c>
      <c r="HP24" s="218"/>
      <c r="HQ24" s="218">
        <f t="shared" si="50"/>
        <v>0.19506377418301579</v>
      </c>
      <c r="HR24" s="218">
        <f t="shared" si="51"/>
        <v>5.0341436744921357E-2</v>
      </c>
      <c r="HS24" s="218"/>
      <c r="HT24" s="218">
        <f t="shared" si="52"/>
        <v>8.8438586295484962E-3</v>
      </c>
      <c r="HU24" s="218">
        <f t="shared" si="53"/>
        <v>1.7510064954755255E-3</v>
      </c>
      <c r="HV24" s="218"/>
      <c r="HW24" s="218">
        <f t="shared" si="54"/>
        <v>4.3538996330084907E-3</v>
      </c>
      <c r="HX24" s="218">
        <f t="shared" si="55"/>
        <v>0</v>
      </c>
      <c r="HY24" s="218"/>
      <c r="HZ24" s="218"/>
      <c r="IA24" s="218"/>
      <c r="IC24">
        <v>2000</v>
      </c>
      <c r="ID24">
        <v>6525</v>
      </c>
      <c r="IE24" t="s">
        <v>163</v>
      </c>
      <c r="IF24" s="16">
        <v>11.8</v>
      </c>
      <c r="IG24">
        <v>0.1</v>
      </c>
      <c r="IH24" s="372">
        <v>0.8</v>
      </c>
      <c r="II24" s="16">
        <v>0.2</v>
      </c>
      <c r="IJ24">
        <v>0.4</v>
      </c>
      <c r="IK24">
        <v>0.4</v>
      </c>
      <c r="IL24">
        <v>0.1</v>
      </c>
      <c r="IM24">
        <v>0</v>
      </c>
      <c r="IN24">
        <v>0</v>
      </c>
      <c r="IO24">
        <v>0</v>
      </c>
      <c r="IP24">
        <v>0</v>
      </c>
      <c r="IQ24">
        <v>0</v>
      </c>
      <c r="IR24" s="372">
        <v>0.2</v>
      </c>
      <c r="IS24" s="16">
        <v>0.1</v>
      </c>
      <c r="IT24">
        <v>0.2</v>
      </c>
      <c r="IU24">
        <v>0.1</v>
      </c>
      <c r="IV24">
        <v>0.1</v>
      </c>
      <c r="IW24">
        <v>0</v>
      </c>
      <c r="IX24">
        <v>0</v>
      </c>
      <c r="IY24" s="372">
        <v>0</v>
      </c>
      <c r="IZ24">
        <v>0</v>
      </c>
      <c r="JA24">
        <v>0</v>
      </c>
      <c r="JB24">
        <v>0</v>
      </c>
      <c r="JC24">
        <v>0</v>
      </c>
      <c r="JD24">
        <v>0</v>
      </c>
      <c r="JE24">
        <v>0</v>
      </c>
      <c r="JF24">
        <v>2.2000000000000002</v>
      </c>
      <c r="JG24">
        <v>29.2</v>
      </c>
      <c r="JH24">
        <v>0</v>
      </c>
      <c r="JI24">
        <v>54.2</v>
      </c>
    </row>
    <row r="25" spans="2:269" ht="15" x14ac:dyDescent="0.3">
      <c r="B25" s="195">
        <v>2001</v>
      </c>
      <c r="C25" s="194">
        <v>78.5</v>
      </c>
      <c r="D25" s="452">
        <v>3.5</v>
      </c>
      <c r="E25" s="452">
        <v>3.8</v>
      </c>
      <c r="F25" s="452">
        <v>72.900000000000006</v>
      </c>
      <c r="G25" s="453">
        <v>7.6</v>
      </c>
      <c r="H25" s="454">
        <v>10</v>
      </c>
      <c r="I25" s="453">
        <v>54</v>
      </c>
      <c r="J25" s="452">
        <v>10.8</v>
      </c>
      <c r="L25" s="105">
        <v>2001</v>
      </c>
      <c r="M25" s="201">
        <v>53973</v>
      </c>
      <c r="N25" s="78">
        <v>5538</v>
      </c>
      <c r="O25" s="202">
        <v>10</v>
      </c>
      <c r="P25" s="78">
        <v>21246</v>
      </c>
      <c r="Q25" s="203">
        <v>39</v>
      </c>
      <c r="R25" s="204">
        <v>6155</v>
      </c>
      <c r="S25" s="207">
        <v>0</v>
      </c>
      <c r="U25">
        <f t="shared" si="56"/>
        <v>25686</v>
      </c>
      <c r="AC25" s="59">
        <v>1991</v>
      </c>
      <c r="AD25" s="59">
        <v>5592</v>
      </c>
      <c r="AE25" s="60">
        <v>0.32600000000000001</v>
      </c>
      <c r="AF25" s="61">
        <v>0.09</v>
      </c>
      <c r="AG25" s="61">
        <v>0.49299999999999999</v>
      </c>
      <c r="AH25" s="62">
        <v>0</v>
      </c>
      <c r="AI25" s="62">
        <v>0.6</v>
      </c>
      <c r="AJ25" s="63">
        <v>0.39</v>
      </c>
      <c r="AK25" s="63">
        <v>0.01</v>
      </c>
      <c r="AR25" s="73"/>
      <c r="AT25" s="66">
        <v>1991</v>
      </c>
      <c r="AU25" s="66">
        <v>4287</v>
      </c>
      <c r="AV25" s="67">
        <v>0.47299999999999998</v>
      </c>
      <c r="AW25" s="67">
        <v>0.54100000000000004</v>
      </c>
      <c r="AX25" s="66">
        <v>2395</v>
      </c>
      <c r="AY25" s="68">
        <v>0</v>
      </c>
      <c r="AZ25" s="68">
        <v>0.4</v>
      </c>
      <c r="BA25" s="68">
        <v>0.56999999999999995</v>
      </c>
      <c r="BB25" s="68">
        <v>0.02</v>
      </c>
      <c r="BC25" s="69">
        <v>0</v>
      </c>
      <c r="BF25" s="82">
        <v>1959</v>
      </c>
      <c r="BG25" s="85">
        <v>7.3</v>
      </c>
      <c r="BH25" s="86" t="s">
        <v>81</v>
      </c>
      <c r="BI25" s="85">
        <v>53.4</v>
      </c>
      <c r="BJ25" s="86" t="s">
        <v>81</v>
      </c>
      <c r="BK25" s="86"/>
      <c r="BL25" s="86" t="s">
        <v>81</v>
      </c>
      <c r="BM25" s="86" t="s">
        <v>81</v>
      </c>
      <c r="BN25" s="85">
        <v>60.7</v>
      </c>
      <c r="BO25" s="85">
        <v>137.5</v>
      </c>
      <c r="BP25" s="85">
        <v>198.2</v>
      </c>
      <c r="CB25" s="124">
        <v>1959</v>
      </c>
      <c r="CC25" s="136">
        <v>29600</v>
      </c>
      <c r="CD25" s="129">
        <v>2300</v>
      </c>
      <c r="CE25" s="107"/>
      <c r="CF25" s="129">
        <v>31900</v>
      </c>
      <c r="CG25" s="127">
        <v>14</v>
      </c>
      <c r="CH25" s="127">
        <v>2</v>
      </c>
      <c r="CI25" s="127">
        <v>0</v>
      </c>
      <c r="CJ25" s="129">
        <v>2065</v>
      </c>
      <c r="CK25" s="127">
        <v>840</v>
      </c>
      <c r="CL25" s="127">
        <v>0</v>
      </c>
      <c r="CM25" s="107"/>
      <c r="CN25" s="129">
        <v>3700</v>
      </c>
      <c r="CO25" s="127">
        <v>0</v>
      </c>
      <c r="CP25" s="127">
        <v>0</v>
      </c>
      <c r="CQ25" s="127">
        <v>0</v>
      </c>
      <c r="CR25" s="127">
        <v>0</v>
      </c>
      <c r="CS25" s="128">
        <v>1959</v>
      </c>
      <c r="CU25" s="74">
        <f t="shared" si="44"/>
        <v>31900</v>
      </c>
      <c r="DJ25" t="s">
        <v>391</v>
      </c>
      <c r="DK25">
        <v>0</v>
      </c>
      <c r="DL25">
        <v>0</v>
      </c>
      <c r="DM25">
        <v>0</v>
      </c>
      <c r="DN25">
        <v>0</v>
      </c>
      <c r="DO25">
        <v>0</v>
      </c>
      <c r="DP25">
        <v>0</v>
      </c>
      <c r="DQ25">
        <v>0</v>
      </c>
      <c r="DR25">
        <v>0</v>
      </c>
      <c r="DS25">
        <v>12</v>
      </c>
      <c r="DT25">
        <v>0</v>
      </c>
      <c r="DU25" s="253"/>
      <c r="DV25" s="253"/>
      <c r="DX25">
        <v>2013</v>
      </c>
      <c r="DZ25">
        <v>0.78</v>
      </c>
      <c r="EA25">
        <v>0.45</v>
      </c>
      <c r="EB25">
        <v>0.33</v>
      </c>
      <c r="EC25">
        <v>0.94</v>
      </c>
      <c r="FG25" s="198"/>
      <c r="HJ25">
        <v>2009</v>
      </c>
      <c r="HK25" s="218">
        <f t="shared" si="46"/>
        <v>0.1009866539802102</v>
      </c>
      <c r="HL25" s="218">
        <f t="shared" si="47"/>
        <v>8.15462252022605E-3</v>
      </c>
      <c r="HM25" s="218"/>
      <c r="HN25" s="218">
        <f t="shared" si="48"/>
        <v>7.1228294431616556E-3</v>
      </c>
      <c r="HO25" s="218">
        <f t="shared" si="49"/>
        <v>1.1192619145408303E-3</v>
      </c>
      <c r="HP25" s="218"/>
      <c r="HQ25" s="218">
        <f t="shared" si="50"/>
        <v>0.13656655682369559</v>
      </c>
      <c r="HR25" s="218">
        <f t="shared" si="51"/>
        <v>1.9507136224854473E-2</v>
      </c>
      <c r="HS25" s="218"/>
      <c r="HT25" s="218">
        <f t="shared" si="52"/>
        <v>4.4586172764406136E-2</v>
      </c>
      <c r="HU25" s="218">
        <f t="shared" si="53"/>
        <v>3.9973639805029656E-3</v>
      </c>
      <c r="HV25" s="218"/>
      <c r="HW25" s="218">
        <f t="shared" si="54"/>
        <v>1.0992443515648516E-2</v>
      </c>
      <c r="HX25" s="218">
        <f t="shared" si="55"/>
        <v>3.1978911844023723E-4</v>
      </c>
      <c r="HY25" s="218"/>
      <c r="HZ25" s="218"/>
      <c r="IA25" s="218"/>
      <c r="IC25">
        <v>2001</v>
      </c>
      <c r="ID25">
        <v>33958</v>
      </c>
      <c r="IE25" t="s">
        <v>163</v>
      </c>
      <c r="IF25" s="16">
        <v>1.6</v>
      </c>
      <c r="IG25">
        <v>0</v>
      </c>
      <c r="IH25" s="372">
        <v>0.1</v>
      </c>
      <c r="II25" s="16">
        <v>0.1</v>
      </c>
      <c r="IJ25">
        <v>0.1</v>
      </c>
      <c r="IK25">
        <v>0.5</v>
      </c>
      <c r="IL25">
        <v>0.1</v>
      </c>
      <c r="IM25">
        <v>0</v>
      </c>
      <c r="IN25">
        <v>0</v>
      </c>
      <c r="IO25">
        <v>0</v>
      </c>
      <c r="IP25">
        <v>0</v>
      </c>
      <c r="IQ25">
        <v>0</v>
      </c>
      <c r="IR25" s="372">
        <v>0</v>
      </c>
      <c r="IS25" s="16">
        <v>0.2</v>
      </c>
      <c r="IT25">
        <v>0</v>
      </c>
      <c r="IU25">
        <v>0.2</v>
      </c>
      <c r="IV25">
        <v>0</v>
      </c>
      <c r="IW25">
        <v>0</v>
      </c>
      <c r="IX25">
        <v>0</v>
      </c>
      <c r="IY25" s="372">
        <v>0.2</v>
      </c>
      <c r="IZ25">
        <v>0</v>
      </c>
      <c r="JA25">
        <v>0</v>
      </c>
      <c r="JB25">
        <v>0</v>
      </c>
      <c r="JC25">
        <v>0</v>
      </c>
      <c r="JD25">
        <v>0</v>
      </c>
      <c r="JE25">
        <v>0</v>
      </c>
      <c r="JF25">
        <v>3.5</v>
      </c>
      <c r="JG25">
        <v>23.9</v>
      </c>
      <c r="JH25">
        <v>0</v>
      </c>
      <c r="JI25">
        <v>69.7</v>
      </c>
    </row>
    <row r="26" spans="2:269" ht="15" x14ac:dyDescent="0.3">
      <c r="B26" s="195">
        <v>2002</v>
      </c>
      <c r="C26" s="194">
        <v>120.2</v>
      </c>
      <c r="D26" s="452">
        <v>7.4</v>
      </c>
      <c r="E26" s="452">
        <v>5.2</v>
      </c>
      <c r="F26" s="452">
        <v>109.1</v>
      </c>
      <c r="G26" s="453">
        <v>10.8</v>
      </c>
      <c r="H26" s="454">
        <v>10</v>
      </c>
      <c r="I26" s="453">
        <v>83.1</v>
      </c>
      <c r="J26" s="452">
        <v>14.4</v>
      </c>
      <c r="L26" s="105">
        <v>2002</v>
      </c>
      <c r="M26" s="201">
        <v>83136</v>
      </c>
      <c r="N26" s="78">
        <v>12662</v>
      </c>
      <c r="O26" s="202">
        <v>15</v>
      </c>
      <c r="P26" s="78">
        <v>31194</v>
      </c>
      <c r="Q26" s="203">
        <v>38</v>
      </c>
      <c r="R26" s="204">
        <v>6219</v>
      </c>
      <c r="S26" s="207">
        <v>0</v>
      </c>
      <c r="U26">
        <f t="shared" si="56"/>
        <v>36426</v>
      </c>
      <c r="AC26" s="59">
        <v>1992</v>
      </c>
      <c r="AD26" s="59">
        <v>4287</v>
      </c>
      <c r="AE26" s="60">
        <v>0.32600000000000001</v>
      </c>
      <c r="AF26" s="61">
        <v>0.05</v>
      </c>
      <c r="AG26" s="61">
        <v>0.35499999999999998</v>
      </c>
      <c r="AH26" s="62">
        <v>0</v>
      </c>
      <c r="AI26" s="62">
        <v>0.6</v>
      </c>
      <c r="AJ26" s="63">
        <v>0.39</v>
      </c>
      <c r="AK26" s="63">
        <v>0.01</v>
      </c>
      <c r="AR26" s="73"/>
      <c r="AT26" s="66">
        <v>1992</v>
      </c>
      <c r="AU26" s="66">
        <v>3679</v>
      </c>
      <c r="AV26" s="67">
        <v>0.53900000000000003</v>
      </c>
      <c r="AW26" s="67">
        <v>0.41699999999999998</v>
      </c>
      <c r="AX26" s="66">
        <v>1421</v>
      </c>
      <c r="AY26" s="68">
        <v>0</v>
      </c>
      <c r="AZ26" s="68">
        <v>0.32</v>
      </c>
      <c r="BA26" s="68">
        <v>0.67</v>
      </c>
      <c r="BB26" s="68">
        <v>0.02</v>
      </c>
      <c r="BC26" s="69">
        <v>0</v>
      </c>
      <c r="BF26" s="82">
        <v>1960</v>
      </c>
      <c r="BG26" s="85">
        <v>4.5999999999999996</v>
      </c>
      <c r="BH26" s="86" t="s">
        <v>81</v>
      </c>
      <c r="BI26" s="85">
        <v>24.2</v>
      </c>
      <c r="BJ26" s="86" t="s">
        <v>81</v>
      </c>
      <c r="BK26" s="86"/>
      <c r="BL26" s="86" t="s">
        <v>81</v>
      </c>
      <c r="BM26" s="86" t="s">
        <v>81</v>
      </c>
      <c r="BN26" s="85">
        <v>28.8</v>
      </c>
      <c r="BO26" s="85">
        <v>146.4</v>
      </c>
      <c r="BP26" s="85">
        <v>175.2</v>
      </c>
      <c r="CB26" s="130">
        <v>1960</v>
      </c>
      <c r="CC26" s="137">
        <v>13000</v>
      </c>
      <c r="CD26" s="131">
        <v>1400</v>
      </c>
      <c r="CE26" s="113"/>
      <c r="CF26" s="131">
        <v>14400</v>
      </c>
      <c r="CG26" s="132">
        <v>5</v>
      </c>
      <c r="CH26" s="132">
        <v>4</v>
      </c>
      <c r="CI26" s="132">
        <v>0</v>
      </c>
      <c r="CJ26" s="132">
        <v>512</v>
      </c>
      <c r="CK26" s="132">
        <v>458</v>
      </c>
      <c r="CL26" s="132">
        <v>0</v>
      </c>
      <c r="CM26" s="113"/>
      <c r="CN26" s="131">
        <v>2200</v>
      </c>
      <c r="CO26" s="132">
        <v>0</v>
      </c>
      <c r="CP26" s="132">
        <v>0</v>
      </c>
      <c r="CQ26" s="132">
        <v>0</v>
      </c>
      <c r="CR26" s="132">
        <v>0</v>
      </c>
      <c r="CS26" s="133">
        <v>1960</v>
      </c>
      <c r="CU26" s="74">
        <f t="shared" si="44"/>
        <v>14400</v>
      </c>
      <c r="DJ26" s="253" t="s">
        <v>5</v>
      </c>
      <c r="DK26" s="253">
        <f>SUM(DK23:DK25)</f>
        <v>333</v>
      </c>
      <c r="DL26" s="253">
        <f t="shared" ref="DL26:DT26" si="57">SUM(DL23:DL25)</f>
        <v>67</v>
      </c>
      <c r="DM26" s="253">
        <f t="shared" si="57"/>
        <v>731</v>
      </c>
      <c r="DN26" s="253">
        <f t="shared" si="57"/>
        <v>2204</v>
      </c>
      <c r="DO26" s="253">
        <f t="shared" si="57"/>
        <v>1372</v>
      </c>
      <c r="DP26" s="253">
        <f t="shared" si="57"/>
        <v>1718</v>
      </c>
      <c r="DQ26" s="253">
        <f t="shared" si="57"/>
        <v>635</v>
      </c>
      <c r="DR26" s="253">
        <f t="shared" si="57"/>
        <v>556</v>
      </c>
      <c r="DS26" s="253">
        <f t="shared" si="57"/>
        <v>959</v>
      </c>
      <c r="DT26" s="253">
        <f t="shared" si="57"/>
        <v>1817</v>
      </c>
      <c r="DU26" s="253">
        <f>SUM(DK26:DT26)</f>
        <v>10392</v>
      </c>
      <c r="DV26" s="253">
        <f>+DU26/10</f>
        <v>1039.2</v>
      </c>
      <c r="DX26">
        <v>2014</v>
      </c>
      <c r="DZ26">
        <v>0.76</v>
      </c>
      <c r="EA26">
        <v>0.42</v>
      </c>
      <c r="EB26">
        <v>0.51</v>
      </c>
      <c r="EC26">
        <v>0.87</v>
      </c>
      <c r="FG26" s="198"/>
      <c r="FH26" s="198"/>
      <c r="FI26" s="198"/>
      <c r="FJ26" s="198"/>
      <c r="HJ26">
        <v>2010</v>
      </c>
      <c r="HK26" s="218">
        <f t="shared" si="46"/>
        <v>9.8046635750324906E-2</v>
      </c>
      <c r="HL26" s="218">
        <f t="shared" si="47"/>
        <v>4.7351660177354822E-3</v>
      </c>
      <c r="HM26" s="218"/>
      <c r="HN26" s="218">
        <f t="shared" si="48"/>
        <v>7.6969766239706541E-3</v>
      </c>
      <c r="HO26" s="218">
        <f t="shared" si="49"/>
        <v>7.6786475963278088E-4</v>
      </c>
      <c r="HP26" s="218"/>
      <c r="HQ26" s="218">
        <f t="shared" si="50"/>
        <v>0.23527491063738304</v>
      </c>
      <c r="HR26" s="218">
        <f t="shared" si="51"/>
        <v>2.3675830088677411E-2</v>
      </c>
      <c r="HS26" s="218"/>
      <c r="HT26" s="218">
        <f t="shared" si="52"/>
        <v>5.7210201073501825E-2</v>
      </c>
      <c r="HU26" s="218">
        <f t="shared" si="53"/>
        <v>6.2069068070316454E-3</v>
      </c>
      <c r="HV26" s="218"/>
      <c r="HW26" s="218">
        <f t="shared" si="54"/>
        <v>3.4750706341887309E-2</v>
      </c>
      <c r="HX26" s="218">
        <f t="shared" si="55"/>
        <v>3.5193801483169125E-3</v>
      </c>
      <c r="HY26" s="218"/>
      <c r="HZ26" s="218"/>
      <c r="IA26" s="218"/>
      <c r="IC26">
        <v>2002</v>
      </c>
      <c r="ID26">
        <v>19159</v>
      </c>
      <c r="IE26" t="s">
        <v>163</v>
      </c>
      <c r="IF26" s="16">
        <v>2.2000000000000002</v>
      </c>
      <c r="IG26">
        <v>0.1</v>
      </c>
      <c r="IH26" s="372">
        <v>0.1</v>
      </c>
      <c r="II26" s="16">
        <v>1.1000000000000001</v>
      </c>
      <c r="IJ26">
        <v>0.1</v>
      </c>
      <c r="IK26">
        <v>0.6</v>
      </c>
      <c r="IL26">
        <v>0.1</v>
      </c>
      <c r="IM26">
        <v>0</v>
      </c>
      <c r="IN26">
        <v>0</v>
      </c>
      <c r="IO26">
        <v>0</v>
      </c>
      <c r="IP26">
        <v>0</v>
      </c>
      <c r="IQ26">
        <v>0</v>
      </c>
      <c r="IR26" s="372">
        <v>0</v>
      </c>
      <c r="IS26" s="16">
        <v>0.8</v>
      </c>
      <c r="IT26">
        <v>0.3</v>
      </c>
      <c r="IU26">
        <v>0.2</v>
      </c>
      <c r="IV26">
        <v>0</v>
      </c>
      <c r="IW26">
        <v>0</v>
      </c>
      <c r="IX26">
        <v>0</v>
      </c>
      <c r="IY26" s="372">
        <v>0</v>
      </c>
      <c r="IZ26">
        <v>0</v>
      </c>
      <c r="JA26">
        <v>0</v>
      </c>
      <c r="JB26">
        <v>0</v>
      </c>
      <c r="JC26">
        <v>0</v>
      </c>
      <c r="JD26">
        <v>0</v>
      </c>
      <c r="JE26">
        <v>0</v>
      </c>
      <c r="JF26">
        <v>16</v>
      </c>
      <c r="JG26">
        <v>21</v>
      </c>
      <c r="JH26">
        <v>0</v>
      </c>
      <c r="JI26">
        <v>57.6</v>
      </c>
    </row>
    <row r="27" spans="2:269" ht="15" x14ac:dyDescent="0.3">
      <c r="B27" s="195">
        <v>2003</v>
      </c>
      <c r="C27" s="194">
        <v>123.4</v>
      </c>
      <c r="D27" s="452">
        <v>1.8</v>
      </c>
      <c r="E27" s="452">
        <v>7.2</v>
      </c>
      <c r="F27" s="452">
        <v>117.6</v>
      </c>
      <c r="G27" s="453">
        <v>13.5</v>
      </c>
      <c r="H27" s="454">
        <v>11</v>
      </c>
      <c r="I27" s="453">
        <v>87.7</v>
      </c>
      <c r="J27" s="452">
        <v>15.4</v>
      </c>
      <c r="L27" s="105">
        <v>2003</v>
      </c>
      <c r="M27" s="201">
        <v>87749</v>
      </c>
      <c r="N27" s="78">
        <v>10786</v>
      </c>
      <c r="O27" s="202">
        <v>12</v>
      </c>
      <c r="P27" s="78">
        <v>28384</v>
      </c>
      <c r="Q27" s="203">
        <v>32</v>
      </c>
      <c r="R27" s="204">
        <v>5336</v>
      </c>
      <c r="S27" s="207">
        <v>0</v>
      </c>
      <c r="U27">
        <f t="shared" si="56"/>
        <v>26886</v>
      </c>
      <c r="AC27" s="59">
        <v>1993</v>
      </c>
      <c r="AD27" s="59">
        <v>3732</v>
      </c>
      <c r="AE27" s="60">
        <v>0.32600000000000001</v>
      </c>
      <c r="AF27" s="61">
        <v>0.06</v>
      </c>
      <c r="AG27" s="61">
        <v>0.27800000000000002</v>
      </c>
      <c r="AH27" s="62">
        <v>0</v>
      </c>
      <c r="AI27" s="62">
        <v>0.6</v>
      </c>
      <c r="AJ27" s="63">
        <v>0.39</v>
      </c>
      <c r="AK27" s="63">
        <v>0.01</v>
      </c>
      <c r="AR27" s="73"/>
      <c r="AT27" s="66">
        <v>1993</v>
      </c>
      <c r="AU27" s="66">
        <v>3554</v>
      </c>
      <c r="AV27" s="67">
        <v>0.70899999999999996</v>
      </c>
      <c r="AW27" s="67">
        <v>0.51800000000000002</v>
      </c>
      <c r="AX27" s="66">
        <v>2710</v>
      </c>
      <c r="AY27" s="68">
        <v>0</v>
      </c>
      <c r="AZ27" s="68">
        <v>0.39</v>
      </c>
      <c r="BA27" s="68">
        <v>0.59</v>
      </c>
      <c r="BB27" s="68">
        <v>0.02</v>
      </c>
      <c r="BC27" s="69">
        <v>0</v>
      </c>
      <c r="BF27" s="82">
        <v>1961</v>
      </c>
      <c r="BG27" s="85">
        <v>4.9000000000000004</v>
      </c>
      <c r="BH27" s="86" t="s">
        <v>81</v>
      </c>
      <c r="BI27" s="85">
        <v>27.5</v>
      </c>
      <c r="BJ27" s="86" t="s">
        <v>81</v>
      </c>
      <c r="BK27" s="86"/>
      <c r="BL27" s="86" t="s">
        <v>81</v>
      </c>
      <c r="BM27" s="86" t="s">
        <v>81</v>
      </c>
      <c r="BN27" s="85">
        <v>32.4</v>
      </c>
      <c r="BO27" s="85">
        <v>171.4</v>
      </c>
      <c r="BP27" s="85">
        <v>203.8</v>
      </c>
      <c r="CB27" s="134">
        <v>1961</v>
      </c>
      <c r="CC27" s="138">
        <v>17200</v>
      </c>
      <c r="CD27" s="125">
        <v>1700</v>
      </c>
      <c r="CE27" s="115"/>
      <c r="CF27" s="125">
        <v>18900</v>
      </c>
      <c r="CG27" s="126">
        <v>0</v>
      </c>
      <c r="CH27" s="126">
        <v>0</v>
      </c>
      <c r="CI27" s="126">
        <v>0</v>
      </c>
      <c r="CJ27" s="126">
        <v>0</v>
      </c>
      <c r="CK27" s="126">
        <v>0</v>
      </c>
      <c r="CL27" s="126">
        <v>0</v>
      </c>
      <c r="CM27" s="115"/>
      <c r="CN27" s="125">
        <v>6500</v>
      </c>
      <c r="CO27" s="126">
        <v>0</v>
      </c>
      <c r="CP27" s="126">
        <v>0</v>
      </c>
      <c r="CQ27" s="126">
        <v>0</v>
      </c>
      <c r="CR27" s="126">
        <v>0</v>
      </c>
      <c r="CS27" s="135">
        <v>1961</v>
      </c>
      <c r="CU27" s="74">
        <f t="shared" si="44"/>
        <v>18900</v>
      </c>
      <c r="DU27" s="253"/>
      <c r="DV27" s="253"/>
      <c r="DX27">
        <v>2015</v>
      </c>
      <c r="DZ27">
        <v>0.73</v>
      </c>
      <c r="EA27">
        <v>0.59</v>
      </c>
      <c r="EB27">
        <v>0.44</v>
      </c>
      <c r="EC27">
        <v>0.88</v>
      </c>
      <c r="FH27" s="65"/>
      <c r="FI27" s="65"/>
      <c r="FJ27" s="65"/>
      <c r="HJ27">
        <v>2011</v>
      </c>
      <c r="HK27" s="218">
        <f t="shared" si="46"/>
        <v>6.6989371779945767E-2</v>
      </c>
      <c r="HL27" s="218">
        <f t="shared" si="47"/>
        <v>7.9670782682051931E-3</v>
      </c>
      <c r="HM27" s="218"/>
      <c r="HN27" s="218">
        <f t="shared" si="48"/>
        <v>7.5220463480472925E-3</v>
      </c>
      <c r="HO27" s="218">
        <f t="shared" si="49"/>
        <v>1.2850126239040635E-3</v>
      </c>
      <c r="HP27" s="218"/>
      <c r="HQ27" s="218">
        <f t="shared" si="50"/>
        <v>0.31725155314653558</v>
      </c>
      <c r="HR27" s="218">
        <f t="shared" si="51"/>
        <v>3.7179698584957573E-2</v>
      </c>
      <c r="HS27" s="218"/>
      <c r="HT27" s="218">
        <f t="shared" si="52"/>
        <v>3.0442708068429102E-2</v>
      </c>
      <c r="HU27" s="218">
        <f t="shared" si="53"/>
        <v>3.7693703634519198E-3</v>
      </c>
      <c r="HV27" s="218"/>
      <c r="HW27" s="218">
        <f t="shared" si="54"/>
        <v>3.2646914272877386E-2</v>
      </c>
      <c r="HX27" s="218">
        <f t="shared" si="55"/>
        <v>1.0108765974711966E-2</v>
      </c>
      <c r="HY27" s="218"/>
      <c r="HZ27" s="218"/>
      <c r="IA27" s="218"/>
      <c r="IC27">
        <v>2003</v>
      </c>
      <c r="ID27">
        <v>6696</v>
      </c>
      <c r="IE27" t="s">
        <v>163</v>
      </c>
      <c r="IF27" s="16">
        <v>5.6</v>
      </c>
      <c r="IG27">
        <v>0</v>
      </c>
      <c r="IH27" s="372">
        <v>0.1</v>
      </c>
      <c r="II27" s="16">
        <v>0.4</v>
      </c>
      <c r="IJ27">
        <v>0.1</v>
      </c>
      <c r="IK27">
        <v>2.4</v>
      </c>
      <c r="IL27">
        <v>0.2</v>
      </c>
      <c r="IM27">
        <v>0</v>
      </c>
      <c r="IN27">
        <v>0</v>
      </c>
      <c r="IO27">
        <v>0.1</v>
      </c>
      <c r="IP27">
        <v>0</v>
      </c>
      <c r="IQ27">
        <v>0</v>
      </c>
      <c r="IR27" s="372">
        <v>0</v>
      </c>
      <c r="IS27" s="16">
        <v>0.1</v>
      </c>
      <c r="IT27">
        <v>0</v>
      </c>
      <c r="IU27">
        <v>0.2</v>
      </c>
      <c r="IV27">
        <v>0.1</v>
      </c>
      <c r="IW27">
        <v>0</v>
      </c>
      <c r="IX27">
        <v>0</v>
      </c>
      <c r="IY27" s="372">
        <v>0</v>
      </c>
      <c r="IZ27">
        <v>0</v>
      </c>
      <c r="JA27">
        <v>0</v>
      </c>
      <c r="JB27">
        <v>0</v>
      </c>
      <c r="JC27">
        <v>0</v>
      </c>
      <c r="JD27">
        <v>0</v>
      </c>
      <c r="JE27">
        <v>0</v>
      </c>
      <c r="JF27">
        <v>1.5</v>
      </c>
      <c r="JG27">
        <v>16.399999999999999</v>
      </c>
      <c r="JH27">
        <v>0</v>
      </c>
      <c r="JI27">
        <v>72.8</v>
      </c>
    </row>
    <row r="28" spans="2:269" ht="15" x14ac:dyDescent="0.3">
      <c r="B28" s="195">
        <v>2004</v>
      </c>
      <c r="C28" s="194">
        <v>143.19999999999999</v>
      </c>
      <c r="D28" s="452">
        <v>7.2</v>
      </c>
      <c r="E28" s="452">
        <v>5.9</v>
      </c>
      <c r="F28" s="452">
        <v>131.30000000000001</v>
      </c>
      <c r="G28" s="453">
        <v>12</v>
      </c>
      <c r="H28" s="454">
        <v>9</v>
      </c>
      <c r="I28" s="453">
        <v>96.7</v>
      </c>
      <c r="J28" s="452">
        <v>21.9</v>
      </c>
      <c r="L28" s="105">
        <v>2004</v>
      </c>
      <c r="M28" s="201">
        <v>95970</v>
      </c>
      <c r="N28" s="78">
        <v>13026</v>
      </c>
      <c r="O28" s="202">
        <v>14</v>
      </c>
      <c r="P28" s="78">
        <v>36948</v>
      </c>
      <c r="Q28" s="203">
        <v>39</v>
      </c>
      <c r="R28" s="204">
        <v>11231</v>
      </c>
      <c r="S28" s="207">
        <v>0</v>
      </c>
      <c r="U28">
        <f t="shared" si="56"/>
        <v>30623</v>
      </c>
      <c r="AC28" s="59">
        <v>1994</v>
      </c>
      <c r="AD28" s="59">
        <v>2636</v>
      </c>
      <c r="AE28" s="60">
        <v>0.32600000000000001</v>
      </c>
      <c r="AF28" s="61">
        <v>0.06</v>
      </c>
      <c r="AG28" s="61">
        <v>0.25600000000000001</v>
      </c>
      <c r="AH28" s="62">
        <v>0</v>
      </c>
      <c r="AI28" s="62">
        <v>0.6</v>
      </c>
      <c r="AJ28" s="63">
        <v>0.39</v>
      </c>
      <c r="AK28" s="63">
        <v>0.01</v>
      </c>
      <c r="AR28" s="73"/>
      <c r="AT28" s="66">
        <v>1994</v>
      </c>
      <c r="AU28" s="66">
        <v>1507</v>
      </c>
      <c r="AV28" s="67">
        <v>0.54</v>
      </c>
      <c r="AW28" s="67">
        <v>0.442</v>
      </c>
      <c r="AX28" s="66">
        <v>645</v>
      </c>
      <c r="AY28" s="68">
        <v>0</v>
      </c>
      <c r="AZ28" s="68">
        <v>0.48</v>
      </c>
      <c r="BA28" s="68">
        <v>0.5</v>
      </c>
      <c r="BB28" s="68">
        <v>0.01</v>
      </c>
      <c r="BC28" s="69">
        <v>0</v>
      </c>
      <c r="BF28" s="82">
        <v>1962</v>
      </c>
      <c r="BG28" s="85">
        <v>2.8</v>
      </c>
      <c r="BH28" s="86" t="s">
        <v>81</v>
      </c>
      <c r="BI28" s="85">
        <v>38.200000000000003</v>
      </c>
      <c r="BK28" s="85">
        <v>3.7</v>
      </c>
      <c r="BL28" s="86" t="s">
        <v>81</v>
      </c>
      <c r="BM28" s="86" t="s">
        <v>81</v>
      </c>
      <c r="BN28" s="85">
        <v>44.7</v>
      </c>
      <c r="BO28" s="85">
        <v>210.7</v>
      </c>
      <c r="BP28" s="85">
        <v>255.4</v>
      </c>
      <c r="CB28" s="124">
        <v>1962</v>
      </c>
      <c r="CC28" s="136">
        <v>22200</v>
      </c>
      <c r="CD28" s="129">
        <v>3800</v>
      </c>
      <c r="CE28" s="107"/>
      <c r="CF28" s="129">
        <v>26000</v>
      </c>
      <c r="CG28" s="127">
        <v>0</v>
      </c>
      <c r="CH28" s="127">
        <v>0</v>
      </c>
      <c r="CI28" s="127">
        <v>0</v>
      </c>
      <c r="CJ28" s="127">
        <v>0</v>
      </c>
      <c r="CK28" s="127">
        <v>0</v>
      </c>
      <c r="CL28" s="127">
        <v>0</v>
      </c>
      <c r="CM28" s="107"/>
      <c r="CN28" s="129">
        <v>5900</v>
      </c>
      <c r="CO28" s="127">
        <v>0</v>
      </c>
      <c r="CP28" s="127">
        <v>0</v>
      </c>
      <c r="CQ28" s="127">
        <v>0</v>
      </c>
      <c r="CR28" s="127">
        <v>0</v>
      </c>
      <c r="CS28" s="128">
        <v>1962</v>
      </c>
      <c r="CU28" s="74">
        <f t="shared" si="44"/>
        <v>26000</v>
      </c>
      <c r="DI28" s="253" t="s">
        <v>44</v>
      </c>
      <c r="DJ28" t="s">
        <v>394</v>
      </c>
      <c r="DK28">
        <v>563</v>
      </c>
      <c r="DL28">
        <v>8</v>
      </c>
      <c r="DM28">
        <v>769</v>
      </c>
      <c r="DN28">
        <v>1769</v>
      </c>
      <c r="DO28">
        <v>1269</v>
      </c>
      <c r="DP28">
        <v>1168</v>
      </c>
      <c r="DQ28">
        <v>582</v>
      </c>
      <c r="DR28">
        <v>586</v>
      </c>
      <c r="DS28">
        <v>639</v>
      </c>
      <c r="DT28">
        <v>604</v>
      </c>
      <c r="DU28" s="253"/>
      <c r="DV28" s="253"/>
      <c r="DX28">
        <v>2016</v>
      </c>
      <c r="DZ28">
        <v>0.84</v>
      </c>
      <c r="EA28">
        <v>0.85</v>
      </c>
      <c r="EB28">
        <v>0.53</v>
      </c>
      <c r="EC28">
        <v>0.14000000000000001</v>
      </c>
      <c r="FH28" s="65"/>
      <c r="FI28" s="65"/>
      <c r="FJ28" s="65"/>
      <c r="HJ28">
        <v>2012</v>
      </c>
      <c r="HK28" s="218">
        <f t="shared" si="46"/>
        <v>8.6747198482459445E-2</v>
      </c>
      <c r="HL28" s="218">
        <f t="shared" si="47"/>
        <v>1.1772382766662906E-2</v>
      </c>
      <c r="HM28" s="218"/>
      <c r="HN28" s="218">
        <f t="shared" si="48"/>
        <v>1.0413485280383347E-2</v>
      </c>
      <c r="HO28" s="218">
        <f t="shared" si="49"/>
        <v>1.8686321851845882E-3</v>
      </c>
      <c r="HP28" s="218"/>
      <c r="HQ28" s="218">
        <f t="shared" si="50"/>
        <v>0.28844398861039816</v>
      </c>
      <c r="HR28" s="218">
        <f t="shared" si="51"/>
        <v>2.8963798870361119E-2</v>
      </c>
      <c r="HS28" s="218"/>
      <c r="HT28" s="218">
        <f t="shared" si="52"/>
        <v>5.7474795822739649E-2</v>
      </c>
      <c r="HU28" s="218">
        <f t="shared" si="53"/>
        <v>6.2599178203683707E-3</v>
      </c>
      <c r="HV28" s="218"/>
      <c r="HW28" s="218">
        <f t="shared" si="54"/>
        <v>4.2838594492879752E-2</v>
      </c>
      <c r="HX28" s="218">
        <f t="shared" si="55"/>
        <v>4.4847172444430119E-3</v>
      </c>
      <c r="HY28" s="218"/>
      <c r="HZ28" s="218"/>
      <c r="IA28" s="218"/>
      <c r="IC28">
        <v>2004</v>
      </c>
      <c r="ID28">
        <v>6801</v>
      </c>
      <c r="IE28" t="s">
        <v>163</v>
      </c>
      <c r="IF28" s="16">
        <v>3.7</v>
      </c>
      <c r="IG28">
        <v>0.4</v>
      </c>
      <c r="IH28" s="372">
        <v>0.1</v>
      </c>
      <c r="II28" s="16">
        <v>0.7</v>
      </c>
      <c r="IJ28">
        <v>0</v>
      </c>
      <c r="IK28">
        <v>5.8</v>
      </c>
      <c r="IL28">
        <v>0</v>
      </c>
      <c r="IM28">
        <v>0</v>
      </c>
      <c r="IN28">
        <v>0</v>
      </c>
      <c r="IO28">
        <v>0</v>
      </c>
      <c r="IP28">
        <v>0</v>
      </c>
      <c r="IQ28">
        <v>0</v>
      </c>
      <c r="IR28" s="372">
        <v>0</v>
      </c>
      <c r="IS28" s="16">
        <v>0.8</v>
      </c>
      <c r="IT28">
        <v>0</v>
      </c>
      <c r="IU28">
        <v>1</v>
      </c>
      <c r="IV28">
        <v>0</v>
      </c>
      <c r="IW28">
        <v>0</v>
      </c>
      <c r="IX28">
        <v>0</v>
      </c>
      <c r="IY28" s="372">
        <v>0</v>
      </c>
      <c r="IZ28">
        <v>0</v>
      </c>
      <c r="JA28">
        <v>0</v>
      </c>
      <c r="JB28">
        <v>0</v>
      </c>
      <c r="JC28">
        <v>0</v>
      </c>
      <c r="JD28">
        <v>0</v>
      </c>
      <c r="JE28">
        <v>0</v>
      </c>
      <c r="JF28">
        <v>6.2</v>
      </c>
      <c r="JG28">
        <v>20.9</v>
      </c>
      <c r="JH28">
        <v>0</v>
      </c>
      <c r="JI28">
        <v>60.4</v>
      </c>
    </row>
    <row r="29" spans="2:269" ht="15" x14ac:dyDescent="0.3">
      <c r="B29" s="195">
        <v>2005</v>
      </c>
      <c r="C29" s="194">
        <v>59.5</v>
      </c>
      <c r="D29" s="452">
        <v>2.2999999999999998</v>
      </c>
      <c r="E29" s="452">
        <v>2.8</v>
      </c>
      <c r="F29" s="452">
        <v>55.8</v>
      </c>
      <c r="G29" s="453">
        <v>5.8</v>
      </c>
      <c r="H29" s="454">
        <v>10</v>
      </c>
      <c r="I29" s="453">
        <v>36.6</v>
      </c>
      <c r="J29" s="452">
        <v>12.7</v>
      </c>
      <c r="L29" s="105">
        <v>2005</v>
      </c>
      <c r="M29" s="201">
        <v>36633</v>
      </c>
      <c r="N29" s="78">
        <v>4386</v>
      </c>
      <c r="O29" s="202">
        <v>12</v>
      </c>
      <c r="P29" s="78">
        <v>15821</v>
      </c>
      <c r="Q29" s="203">
        <v>43</v>
      </c>
      <c r="R29" s="204">
        <v>6792</v>
      </c>
      <c r="S29" s="207">
        <v>0</v>
      </c>
      <c r="U29">
        <f t="shared" si="56"/>
        <v>13030</v>
      </c>
      <c r="W29" s="2">
        <v>2005</v>
      </c>
      <c r="X29" s="3">
        <v>247</v>
      </c>
      <c r="Y29" s="3">
        <v>268</v>
      </c>
      <c r="Z29" s="4">
        <v>2135</v>
      </c>
      <c r="AA29" s="46">
        <v>118</v>
      </c>
      <c r="AC29" s="59">
        <v>1995</v>
      </c>
      <c r="AD29" s="59">
        <v>2000</v>
      </c>
      <c r="AE29" s="60">
        <v>0.32600000000000001</v>
      </c>
      <c r="AF29" s="61">
        <v>0.06</v>
      </c>
      <c r="AG29" s="61">
        <v>0.30499999999999999</v>
      </c>
      <c r="AH29" s="62">
        <v>0</v>
      </c>
      <c r="AI29" s="62">
        <v>0.6</v>
      </c>
      <c r="AJ29" s="63">
        <v>0.39</v>
      </c>
      <c r="AK29" s="63">
        <v>0.01</v>
      </c>
      <c r="AR29" s="73"/>
      <c r="AT29" s="66">
        <v>1995</v>
      </c>
      <c r="AU29" s="66">
        <v>1577</v>
      </c>
      <c r="AV29" s="67">
        <v>0.57999999999999996</v>
      </c>
      <c r="AW29" s="67">
        <v>0.433</v>
      </c>
      <c r="AX29" s="66">
        <v>697</v>
      </c>
      <c r="AY29" s="68">
        <v>0</v>
      </c>
      <c r="AZ29" s="68">
        <v>0.39</v>
      </c>
      <c r="BA29" s="68">
        <v>0.59</v>
      </c>
      <c r="BB29" s="68">
        <v>0.02</v>
      </c>
      <c r="BC29" s="69">
        <v>0</v>
      </c>
      <c r="BF29" s="82">
        <v>1963</v>
      </c>
      <c r="BG29" s="85">
        <v>5.4</v>
      </c>
      <c r="BH29" s="86" t="s">
        <v>81</v>
      </c>
      <c r="BI29" s="85">
        <v>48.1</v>
      </c>
      <c r="BK29" s="85">
        <v>4.8</v>
      </c>
      <c r="BL29" s="86" t="s">
        <v>81</v>
      </c>
      <c r="BM29" s="86" t="s">
        <v>81</v>
      </c>
      <c r="BN29" s="85">
        <v>58.3</v>
      </c>
      <c r="BO29" s="85">
        <v>160.69999999999999</v>
      </c>
      <c r="BP29" s="85">
        <v>219</v>
      </c>
      <c r="CB29" s="124">
        <v>1963</v>
      </c>
      <c r="CC29" s="136">
        <v>29000</v>
      </c>
      <c r="CD29" s="129">
        <v>1300</v>
      </c>
      <c r="CE29" s="107"/>
      <c r="CF29" s="129">
        <v>30300</v>
      </c>
      <c r="CG29" s="127">
        <v>0</v>
      </c>
      <c r="CH29" s="127">
        <v>0</v>
      </c>
      <c r="CI29" s="127">
        <v>0</v>
      </c>
      <c r="CJ29" s="127">
        <v>0</v>
      </c>
      <c r="CK29" s="127">
        <v>0</v>
      </c>
      <c r="CL29" s="127">
        <v>0</v>
      </c>
      <c r="CM29" s="107"/>
      <c r="CN29" s="129">
        <v>1000</v>
      </c>
      <c r="CO29" s="127">
        <v>0</v>
      </c>
      <c r="CP29" s="127">
        <v>0</v>
      </c>
      <c r="CQ29" s="127">
        <v>0</v>
      </c>
      <c r="CR29" s="127">
        <v>0</v>
      </c>
      <c r="CS29" s="128">
        <v>1963</v>
      </c>
      <c r="CU29" s="74">
        <f t="shared" si="44"/>
        <v>30300</v>
      </c>
      <c r="DJ29" t="s">
        <v>395</v>
      </c>
      <c r="DK29">
        <v>4</v>
      </c>
      <c r="DL29">
        <v>8</v>
      </c>
      <c r="DM29">
        <v>27</v>
      </c>
      <c r="DN29">
        <v>25</v>
      </c>
      <c r="DO29">
        <v>20</v>
      </c>
      <c r="DP29">
        <v>29</v>
      </c>
      <c r="DQ29">
        <v>13</v>
      </c>
      <c r="DR29">
        <v>35</v>
      </c>
      <c r="DS29">
        <v>6</v>
      </c>
      <c r="DT29">
        <v>0</v>
      </c>
      <c r="DU29" s="253"/>
      <c r="DV29" s="253"/>
      <c r="FH29" s="65"/>
      <c r="FI29" s="65"/>
      <c r="FJ29" s="65"/>
      <c r="HJ29">
        <v>2013</v>
      </c>
      <c r="HK29" s="218">
        <f t="shared" si="46"/>
        <v>6.2123759486211426E-2</v>
      </c>
      <c r="HL29" s="218">
        <f t="shared" si="47"/>
        <v>6.1589876955518152E-3</v>
      </c>
      <c r="HM29" s="218"/>
      <c r="HN29" s="218">
        <f t="shared" si="48"/>
        <v>1.0424780433618698E-2</v>
      </c>
      <c r="HO29" s="218">
        <f t="shared" si="49"/>
        <v>1.6702339513360856E-3</v>
      </c>
      <c r="HP29" s="218"/>
      <c r="HQ29" s="218">
        <f t="shared" si="50"/>
        <v>0.19617283832285187</v>
      </c>
      <c r="HR29" s="218">
        <f t="shared" si="51"/>
        <v>1.6389170647485338E-2</v>
      </c>
      <c r="HS29" s="218"/>
      <c r="HT29" s="218">
        <f t="shared" si="52"/>
        <v>4.6798199120483941E-2</v>
      </c>
      <c r="HU29" s="218">
        <f t="shared" si="53"/>
        <v>2.8185197928796441E-3</v>
      </c>
      <c r="HV29" s="218"/>
      <c r="HW29" s="218">
        <f t="shared" si="54"/>
        <v>4.8922814697987753E-2</v>
      </c>
      <c r="HX29" s="218">
        <f t="shared" si="55"/>
        <v>4.1755848783402135E-3</v>
      </c>
      <c r="HY29" s="218"/>
      <c r="HZ29" s="218"/>
      <c r="IA29" s="218"/>
      <c r="IC29">
        <v>2005</v>
      </c>
      <c r="ID29">
        <v>2910</v>
      </c>
      <c r="IE29" t="s">
        <v>163</v>
      </c>
      <c r="IF29" s="16">
        <v>3.1</v>
      </c>
      <c r="IG29">
        <v>0</v>
      </c>
      <c r="IH29" s="372">
        <v>0.1</v>
      </c>
      <c r="II29" s="16">
        <v>0.3</v>
      </c>
      <c r="IJ29">
        <v>0.3</v>
      </c>
      <c r="IK29">
        <v>6.1</v>
      </c>
      <c r="IL29">
        <v>0</v>
      </c>
      <c r="IM29">
        <v>0</v>
      </c>
      <c r="IN29">
        <v>0</v>
      </c>
      <c r="IO29">
        <v>0</v>
      </c>
      <c r="IP29">
        <v>0</v>
      </c>
      <c r="IQ29">
        <v>0</v>
      </c>
      <c r="IR29" s="372">
        <v>0</v>
      </c>
      <c r="IS29" s="16">
        <v>0.6</v>
      </c>
      <c r="IT29">
        <v>0.1</v>
      </c>
      <c r="IU29">
        <v>0.3</v>
      </c>
      <c r="IV29">
        <v>0</v>
      </c>
      <c r="IW29">
        <v>0</v>
      </c>
      <c r="IX29">
        <v>0</v>
      </c>
      <c r="IY29" s="372">
        <v>0.1</v>
      </c>
      <c r="IZ29">
        <v>0</v>
      </c>
      <c r="JA29">
        <v>0</v>
      </c>
      <c r="JB29">
        <v>0</v>
      </c>
      <c r="JC29">
        <v>0</v>
      </c>
      <c r="JD29">
        <v>0</v>
      </c>
      <c r="JE29">
        <v>0</v>
      </c>
      <c r="JF29">
        <v>5.2</v>
      </c>
      <c r="JG29">
        <v>16.100000000000001</v>
      </c>
      <c r="JH29">
        <v>0</v>
      </c>
      <c r="JI29">
        <v>67.7</v>
      </c>
    </row>
    <row r="30" spans="2:269" ht="15" x14ac:dyDescent="0.3">
      <c r="B30" s="195">
        <v>2006</v>
      </c>
      <c r="C30" s="194">
        <v>59.3</v>
      </c>
      <c r="D30" s="452">
        <v>2.7</v>
      </c>
      <c r="E30" s="452">
        <v>2</v>
      </c>
      <c r="F30" s="452">
        <v>55</v>
      </c>
      <c r="G30" s="453">
        <v>7.2</v>
      </c>
      <c r="H30" s="454">
        <v>13</v>
      </c>
      <c r="I30" s="453">
        <v>37</v>
      </c>
      <c r="J30" s="452">
        <v>10.4</v>
      </c>
      <c r="L30" s="105">
        <v>2006</v>
      </c>
      <c r="M30" s="201">
        <v>37041</v>
      </c>
      <c r="N30" s="78">
        <v>5523</v>
      </c>
      <c r="O30" s="202">
        <v>15</v>
      </c>
      <c r="P30" s="78">
        <v>16949</v>
      </c>
      <c r="Q30" s="203">
        <v>46</v>
      </c>
      <c r="R30" s="204">
        <v>7359</v>
      </c>
      <c r="S30" s="207">
        <v>0</v>
      </c>
      <c r="U30">
        <f t="shared" si="56"/>
        <v>12179</v>
      </c>
      <c r="W30" s="2">
        <v>2006</v>
      </c>
      <c r="X30" s="3">
        <v>201</v>
      </c>
      <c r="Y30" s="3">
        <v>209</v>
      </c>
      <c r="Z30" s="4">
        <v>2049</v>
      </c>
      <c r="AA30" s="46">
        <v>417</v>
      </c>
      <c r="AC30" s="59">
        <v>1996</v>
      </c>
      <c r="AD30" s="59">
        <v>1083</v>
      </c>
      <c r="AE30" s="60">
        <v>0.32600000000000001</v>
      </c>
      <c r="AF30" s="61">
        <v>0.05</v>
      </c>
      <c r="AG30" s="61">
        <v>0.27500000000000002</v>
      </c>
      <c r="AH30" s="62">
        <v>0</v>
      </c>
      <c r="AI30" s="62">
        <v>0.6</v>
      </c>
      <c r="AJ30" s="63">
        <v>0.39</v>
      </c>
      <c r="AK30" s="63">
        <v>0.01</v>
      </c>
      <c r="AR30" s="73"/>
      <c r="AT30" s="66">
        <v>1996</v>
      </c>
      <c r="AU30" s="66">
        <v>1432</v>
      </c>
      <c r="AV30" s="67">
        <v>0.76</v>
      </c>
      <c r="AW30" s="67">
        <v>0.31900000000000001</v>
      </c>
      <c r="AX30" s="66">
        <v>511</v>
      </c>
      <c r="AY30" s="68">
        <v>0</v>
      </c>
      <c r="AZ30" s="68">
        <v>0.4</v>
      </c>
      <c r="BA30" s="68">
        <v>0.59</v>
      </c>
      <c r="BB30" s="68">
        <v>0.01</v>
      </c>
      <c r="BC30" s="69">
        <v>0</v>
      </c>
      <c r="BF30" s="82">
        <v>1964</v>
      </c>
      <c r="BG30" s="85">
        <v>5.6</v>
      </c>
      <c r="BH30" s="86" t="s">
        <v>81</v>
      </c>
      <c r="BI30" s="85">
        <v>58.4</v>
      </c>
      <c r="BK30" s="85">
        <v>14.7</v>
      </c>
      <c r="BL30" s="86" t="s">
        <v>81</v>
      </c>
      <c r="BM30" s="86" t="s">
        <v>81</v>
      </c>
      <c r="BN30" s="85">
        <v>78.7</v>
      </c>
      <c r="BO30" s="85">
        <v>168.5</v>
      </c>
      <c r="BP30" s="85">
        <v>247.2</v>
      </c>
      <c r="CB30" s="124">
        <v>1964</v>
      </c>
      <c r="CC30" s="136">
        <v>31747</v>
      </c>
      <c r="CD30" s="129">
        <v>4543</v>
      </c>
      <c r="CE30" s="107"/>
      <c r="CF30" s="129">
        <v>36290</v>
      </c>
      <c r="CG30" s="127">
        <v>0</v>
      </c>
      <c r="CH30" s="127">
        <v>0</v>
      </c>
      <c r="CI30" s="127">
        <v>0</v>
      </c>
      <c r="CJ30" s="127">
        <v>0</v>
      </c>
      <c r="CK30" s="127">
        <v>0</v>
      </c>
      <c r="CL30" s="127">
        <v>0</v>
      </c>
      <c r="CM30" s="107"/>
      <c r="CN30" s="127">
        <v>900</v>
      </c>
      <c r="CO30" s="127">
        <v>0</v>
      </c>
      <c r="CP30" s="127">
        <v>0</v>
      </c>
      <c r="CQ30" s="127">
        <v>0</v>
      </c>
      <c r="CR30" s="127">
        <v>0</v>
      </c>
      <c r="CS30" s="128">
        <v>1964</v>
      </c>
      <c r="CU30" s="74">
        <f t="shared" si="44"/>
        <v>36290</v>
      </c>
      <c r="DJ30" t="s">
        <v>393</v>
      </c>
      <c r="DK30">
        <v>4</v>
      </c>
      <c r="DL30">
        <v>8</v>
      </c>
      <c r="DM30">
        <v>12</v>
      </c>
      <c r="DN30">
        <v>0</v>
      </c>
      <c r="DO30">
        <v>0</v>
      </c>
      <c r="DP30">
        <v>0</v>
      </c>
      <c r="DQ30">
        <v>0</v>
      </c>
      <c r="DR30">
        <v>0</v>
      </c>
      <c r="DS30">
        <v>53</v>
      </c>
      <c r="DT30">
        <v>13</v>
      </c>
      <c r="DU30" s="253"/>
      <c r="DV30" s="253"/>
      <c r="DY30" s="485" t="s">
        <v>5</v>
      </c>
      <c r="DZ30" s="485"/>
      <c r="EA30" s="485"/>
      <c r="EB30" s="485"/>
      <c r="EC30" s="485"/>
      <c r="ED30" s="485"/>
      <c r="EE30" s="87"/>
      <c r="EH30" s="87"/>
      <c r="EI30" s="87"/>
      <c r="EJ30" s="87"/>
      <c r="EK30" s="87"/>
      <c r="EL30" s="87"/>
      <c r="EN30" s="87"/>
      <c r="EO30" s="87"/>
      <c r="EP30" s="87"/>
      <c r="EQ30" s="87"/>
      <c r="ES30" s="87"/>
      <c r="ET30" s="87"/>
      <c r="EU30" s="87"/>
      <c r="EV30" s="87"/>
      <c r="EW30" s="87"/>
      <c r="EX30" s="87"/>
      <c r="EY30" s="87"/>
      <c r="EZ30" s="87"/>
      <c r="FA30" s="87"/>
      <c r="FH30" s="65"/>
      <c r="FI30" s="65"/>
      <c r="FJ30" s="65"/>
      <c r="HJ30">
        <v>2014</v>
      </c>
      <c r="HK30" s="218">
        <f t="shared" si="46"/>
        <v>7.6692422411924893E-2</v>
      </c>
      <c r="HL30" s="218">
        <f t="shared" si="47"/>
        <v>9.1942876910668138E-3</v>
      </c>
      <c r="HM30" s="218"/>
      <c r="HN30" s="218">
        <f t="shared" si="48"/>
        <v>7.3784311126483676E-3</v>
      </c>
      <c r="HO30" s="218">
        <f t="shared" si="49"/>
        <v>6.129525127377875E-4</v>
      </c>
      <c r="HP30" s="218"/>
      <c r="HQ30" s="218">
        <f t="shared" si="50"/>
        <v>0.18753712694460981</v>
      </c>
      <c r="HR30" s="218">
        <f t="shared" si="51"/>
        <v>2.0717794930537218E-2</v>
      </c>
      <c r="HS30" s="218"/>
      <c r="HT30" s="218">
        <f t="shared" si="52"/>
        <v>5.3595769971354588E-2</v>
      </c>
      <c r="HU30" s="218">
        <f t="shared" si="53"/>
        <v>4.658439096807185E-3</v>
      </c>
      <c r="HV30" s="218"/>
      <c r="HW30" s="218">
        <f t="shared" si="54"/>
        <v>2.951372445059347E-2</v>
      </c>
      <c r="HX30" s="218">
        <f t="shared" si="55"/>
        <v>3.8003055789742829E-3</v>
      </c>
      <c r="HY30" s="218"/>
      <c r="HZ30" s="218"/>
      <c r="IA30" s="218"/>
      <c r="IC30">
        <v>2006</v>
      </c>
      <c r="ID30">
        <v>1884</v>
      </c>
      <c r="IE30" t="s">
        <v>163</v>
      </c>
      <c r="IF30" s="16">
        <v>3.9</v>
      </c>
      <c r="IG30">
        <v>0</v>
      </c>
      <c r="IH30" s="372">
        <v>0</v>
      </c>
      <c r="II30" s="16">
        <v>0.4</v>
      </c>
      <c r="IJ30">
        <v>0.7</v>
      </c>
      <c r="IK30">
        <v>4.5</v>
      </c>
      <c r="IL30">
        <v>0</v>
      </c>
      <c r="IM30">
        <v>0</v>
      </c>
      <c r="IN30">
        <v>0</v>
      </c>
      <c r="IO30">
        <v>0</v>
      </c>
      <c r="IP30">
        <v>0</v>
      </c>
      <c r="IQ30">
        <v>0</v>
      </c>
      <c r="IR30" s="372">
        <v>0</v>
      </c>
      <c r="IS30" s="16">
        <v>1.4</v>
      </c>
      <c r="IT30">
        <v>0</v>
      </c>
      <c r="IU30">
        <v>0</v>
      </c>
      <c r="IV30">
        <v>0</v>
      </c>
      <c r="IW30">
        <v>0</v>
      </c>
      <c r="IX30">
        <v>0</v>
      </c>
      <c r="IY30" s="372">
        <v>0.4</v>
      </c>
      <c r="IZ30">
        <v>0</v>
      </c>
      <c r="JA30">
        <v>0</v>
      </c>
      <c r="JB30">
        <v>0</v>
      </c>
      <c r="JC30">
        <v>0</v>
      </c>
      <c r="JD30">
        <v>0</v>
      </c>
      <c r="JE30">
        <v>0</v>
      </c>
      <c r="JF30">
        <v>8</v>
      </c>
      <c r="JG30">
        <v>25.5</v>
      </c>
      <c r="JH30">
        <v>0</v>
      </c>
      <c r="JI30">
        <v>55.1</v>
      </c>
    </row>
    <row r="31" spans="2:269" ht="15" x14ac:dyDescent="0.3">
      <c r="B31" s="195">
        <v>2007</v>
      </c>
      <c r="C31" s="194">
        <v>40</v>
      </c>
      <c r="D31" s="452">
        <v>1.3</v>
      </c>
      <c r="E31" s="452">
        <v>1.6</v>
      </c>
      <c r="F31" s="452">
        <v>37.6</v>
      </c>
      <c r="G31" s="453">
        <v>5.7</v>
      </c>
      <c r="H31" s="454">
        <v>15</v>
      </c>
      <c r="I31" s="453">
        <v>23.1</v>
      </c>
      <c r="J31" s="452">
        <v>8.6</v>
      </c>
      <c r="L31" s="105">
        <v>2007</v>
      </c>
      <c r="M31" s="201">
        <v>23098</v>
      </c>
      <c r="N31" s="78">
        <v>2130</v>
      </c>
      <c r="O31" s="202">
        <v>9</v>
      </c>
      <c r="P31" s="78">
        <v>10145</v>
      </c>
      <c r="Q31" s="203">
        <v>44</v>
      </c>
      <c r="R31" s="204">
        <v>6106</v>
      </c>
      <c r="S31" s="207">
        <v>0</v>
      </c>
      <c r="U31">
        <f t="shared" si="56"/>
        <v>11710</v>
      </c>
      <c r="W31" s="2">
        <v>2007</v>
      </c>
      <c r="X31" s="3">
        <v>309</v>
      </c>
      <c r="Y31" s="3">
        <v>245</v>
      </c>
      <c r="Z31" s="4">
        <v>2562</v>
      </c>
      <c r="AA31" s="46">
        <v>60</v>
      </c>
      <c r="AC31" s="59">
        <v>1997</v>
      </c>
      <c r="AD31" s="59">
        <v>1546</v>
      </c>
      <c r="AE31" s="60">
        <v>0.32600000000000001</v>
      </c>
      <c r="AF31" s="61">
        <v>0.04</v>
      </c>
      <c r="AG31" s="61">
        <v>0.189</v>
      </c>
      <c r="AH31" s="62">
        <v>0</v>
      </c>
      <c r="AI31" s="62">
        <v>0.6</v>
      </c>
      <c r="AJ31" s="63">
        <v>0.39</v>
      </c>
      <c r="AK31" s="63">
        <v>0.01</v>
      </c>
      <c r="AR31" s="73"/>
      <c r="AT31" s="66">
        <v>1997</v>
      </c>
      <c r="AU31" s="66">
        <v>1110</v>
      </c>
      <c r="AV31" s="67">
        <v>0.84</v>
      </c>
      <c r="AW31" s="67">
        <v>0.17899999999999999</v>
      </c>
      <c r="AX31" s="66">
        <v>204</v>
      </c>
      <c r="AY31" s="68">
        <v>0</v>
      </c>
      <c r="AZ31" s="68">
        <v>0.56000000000000005</v>
      </c>
      <c r="BA31" s="68">
        <v>0.43</v>
      </c>
      <c r="BB31" s="68">
        <v>0.01</v>
      </c>
      <c r="BC31" s="69">
        <v>0</v>
      </c>
      <c r="BF31" s="82">
        <v>1965</v>
      </c>
      <c r="BG31" s="85">
        <v>3.2</v>
      </c>
      <c r="BH31" s="86" t="s">
        <v>81</v>
      </c>
      <c r="BI31" s="85">
        <v>41.1</v>
      </c>
      <c r="BK31" s="85">
        <v>22.1</v>
      </c>
      <c r="BL31" s="86" t="s">
        <v>81</v>
      </c>
      <c r="BM31" s="86" t="s">
        <v>81</v>
      </c>
      <c r="BN31" s="85">
        <v>66.400000000000006</v>
      </c>
      <c r="BO31" s="85">
        <v>175.5</v>
      </c>
      <c r="BP31" s="85">
        <v>241.9</v>
      </c>
      <c r="CB31" s="124">
        <v>1965</v>
      </c>
      <c r="CC31" s="136">
        <v>26623</v>
      </c>
      <c r="CD31" s="129">
        <v>2439</v>
      </c>
      <c r="CE31" s="107"/>
      <c r="CF31" s="129">
        <v>29062</v>
      </c>
      <c r="CG31" s="127">
        <v>77</v>
      </c>
      <c r="CH31" s="127">
        <v>2</v>
      </c>
      <c r="CI31" s="127">
        <v>0</v>
      </c>
      <c r="CJ31" s="129">
        <v>7080</v>
      </c>
      <c r="CK31" s="129">
        <v>2184</v>
      </c>
      <c r="CL31" s="129">
        <v>9264</v>
      </c>
      <c r="CM31" s="107"/>
      <c r="CN31" s="129">
        <v>1500</v>
      </c>
      <c r="CO31" s="127">
        <v>0</v>
      </c>
      <c r="CP31" s="127">
        <v>0</v>
      </c>
      <c r="CQ31" s="127">
        <v>0</v>
      </c>
      <c r="CR31" s="127">
        <v>0</v>
      </c>
      <c r="CS31" s="128">
        <v>1965</v>
      </c>
      <c r="CU31" s="74">
        <f t="shared" si="44"/>
        <v>29062</v>
      </c>
      <c r="DJ31" s="253" t="s">
        <v>5</v>
      </c>
      <c r="DK31" s="253">
        <f>SUM(DK28:DK30)</f>
        <v>571</v>
      </c>
      <c r="DL31" s="253">
        <f t="shared" ref="DL31:DT31" si="58">SUM(DL28:DL30)</f>
        <v>24</v>
      </c>
      <c r="DM31" s="253">
        <f t="shared" si="58"/>
        <v>808</v>
      </c>
      <c r="DN31" s="253">
        <f t="shared" si="58"/>
        <v>1794</v>
      </c>
      <c r="DO31" s="253">
        <f t="shared" si="58"/>
        <v>1289</v>
      </c>
      <c r="DP31" s="253">
        <f t="shared" si="58"/>
        <v>1197</v>
      </c>
      <c r="DQ31" s="253">
        <f t="shared" si="58"/>
        <v>595</v>
      </c>
      <c r="DR31" s="253">
        <f t="shared" si="58"/>
        <v>621</v>
      </c>
      <c r="DS31" s="253">
        <f t="shared" si="58"/>
        <v>698</v>
      </c>
      <c r="DT31" s="253">
        <f t="shared" si="58"/>
        <v>617</v>
      </c>
      <c r="DU31" s="253">
        <f>SUM(DK31:DT31)</f>
        <v>8214</v>
      </c>
      <c r="DV31" s="253">
        <f>+DU31/10</f>
        <v>821.4</v>
      </c>
      <c r="DX31" s="324" t="s">
        <v>3</v>
      </c>
      <c r="DY31" s="354" t="s">
        <v>327</v>
      </c>
      <c r="DZ31" s="354" t="s">
        <v>474</v>
      </c>
      <c r="EA31" s="354" t="s">
        <v>611</v>
      </c>
      <c r="EB31" s="354" t="s">
        <v>44</v>
      </c>
      <c r="EC31" s="354" t="s">
        <v>333</v>
      </c>
      <c r="ED31" s="355" t="s">
        <v>5</v>
      </c>
      <c r="EE31" s="198"/>
      <c r="EH31" s="198"/>
      <c r="EI31" s="198"/>
      <c r="EJ31" s="198"/>
      <c r="EK31" s="198"/>
      <c r="EL31" s="198"/>
      <c r="EN31" s="198"/>
      <c r="EO31" s="198"/>
      <c r="EP31" s="198"/>
      <c r="EQ31" s="198"/>
      <c r="ES31" s="198"/>
      <c r="ET31" s="198"/>
      <c r="EU31" s="198"/>
      <c r="EV31" s="198"/>
      <c r="EW31" s="198"/>
      <c r="EX31" s="198"/>
      <c r="EY31" s="198"/>
      <c r="EZ31" s="198"/>
      <c r="FA31" s="198"/>
      <c r="FH31" s="65"/>
      <c r="FI31" s="65"/>
      <c r="FJ31" s="65"/>
      <c r="HJ31">
        <v>2015</v>
      </c>
      <c r="HK31" s="218">
        <f t="shared" si="46"/>
        <v>8.1999220308273738E-2</v>
      </c>
      <c r="HL31" s="218">
        <f t="shared" si="47"/>
        <v>4.9133498844844596E-3</v>
      </c>
      <c r="HM31" s="218"/>
      <c r="HN31" s="218">
        <f t="shared" si="48"/>
        <v>5.7289602792960454E-3</v>
      </c>
      <c r="HO31" s="218">
        <f t="shared" si="49"/>
        <v>4.7548547269204446E-4</v>
      </c>
      <c r="HP31" s="218"/>
      <c r="HQ31" s="218">
        <f t="shared" si="50"/>
        <v>0.18403589635068729</v>
      </c>
      <c r="HR31" s="218">
        <f t="shared" si="51"/>
        <v>1.7909952804733675E-2</v>
      </c>
      <c r="HS31" s="218"/>
      <c r="HT31" s="218">
        <f t="shared" si="52"/>
        <v>4.7319543277777772E-2</v>
      </c>
      <c r="HU31" s="218">
        <f t="shared" si="53"/>
        <v>3.0906555724982891E-3</v>
      </c>
      <c r="HV31" s="218"/>
      <c r="HW31" s="218">
        <f t="shared" si="54"/>
        <v>3.4679677030495966E-2</v>
      </c>
      <c r="HX31" s="218">
        <f t="shared" si="55"/>
        <v>3.8038837815363557E-3</v>
      </c>
      <c r="HY31" s="218"/>
      <c r="HZ31" s="218"/>
      <c r="IA31" s="218"/>
      <c r="IC31">
        <v>2007</v>
      </c>
      <c r="ID31">
        <v>1514</v>
      </c>
      <c r="IE31" t="s">
        <v>163</v>
      </c>
      <c r="IF31" s="16">
        <v>5</v>
      </c>
      <c r="IG31">
        <v>0.2</v>
      </c>
      <c r="IH31" s="372">
        <v>0</v>
      </c>
      <c r="II31" s="16">
        <v>0</v>
      </c>
      <c r="IJ31">
        <v>0</v>
      </c>
      <c r="IK31">
        <v>1.4</v>
      </c>
      <c r="IL31">
        <v>0</v>
      </c>
      <c r="IM31">
        <v>0</v>
      </c>
      <c r="IN31">
        <v>0</v>
      </c>
      <c r="IO31">
        <v>0</v>
      </c>
      <c r="IP31">
        <v>0</v>
      </c>
      <c r="IQ31">
        <v>0</v>
      </c>
      <c r="IR31" s="372">
        <v>0</v>
      </c>
      <c r="IS31" s="16">
        <v>0.7</v>
      </c>
      <c r="IT31">
        <v>0</v>
      </c>
      <c r="IU31">
        <v>0</v>
      </c>
      <c r="IV31">
        <v>0</v>
      </c>
      <c r="IW31">
        <v>0</v>
      </c>
      <c r="IX31">
        <v>0</v>
      </c>
      <c r="IY31" s="372">
        <v>0</v>
      </c>
      <c r="IZ31">
        <v>0</v>
      </c>
      <c r="JA31">
        <v>0</v>
      </c>
      <c r="JB31">
        <v>0</v>
      </c>
      <c r="JC31">
        <v>0</v>
      </c>
      <c r="JD31">
        <v>0</v>
      </c>
      <c r="JE31">
        <v>0</v>
      </c>
      <c r="JF31">
        <v>4.9000000000000004</v>
      </c>
      <c r="JG31">
        <v>18</v>
      </c>
      <c r="JH31">
        <v>0.1</v>
      </c>
      <c r="JI31">
        <v>69.7</v>
      </c>
    </row>
    <row r="32" spans="2:269" ht="15" x14ac:dyDescent="0.3">
      <c r="B32" s="195">
        <v>2008</v>
      </c>
      <c r="C32" s="194">
        <v>26.6</v>
      </c>
      <c r="D32" s="452">
        <v>0.1</v>
      </c>
      <c r="E32" s="452">
        <v>0.2</v>
      </c>
      <c r="F32" s="452">
        <v>26.7</v>
      </c>
      <c r="G32" s="453">
        <v>4.5999999999999996</v>
      </c>
      <c r="H32" s="454">
        <v>17</v>
      </c>
      <c r="I32" s="453">
        <v>14.7</v>
      </c>
      <c r="J32" s="452">
        <v>7.2</v>
      </c>
      <c r="L32" s="105">
        <v>2008</v>
      </c>
      <c r="M32" s="201">
        <v>14672</v>
      </c>
      <c r="N32" s="196">
        <v>279</v>
      </c>
      <c r="O32" s="202">
        <v>2</v>
      </c>
      <c r="P32" s="78">
        <v>8705</v>
      </c>
      <c r="Q32" s="203">
        <v>59</v>
      </c>
      <c r="R32" s="204">
        <v>5223</v>
      </c>
      <c r="S32" s="207">
        <v>0</v>
      </c>
      <c r="U32">
        <f t="shared" si="56"/>
        <v>14384</v>
      </c>
      <c r="W32" s="2">
        <v>2008</v>
      </c>
      <c r="X32" s="3">
        <v>412</v>
      </c>
      <c r="Y32" s="3">
        <v>323</v>
      </c>
      <c r="Z32" s="4">
        <v>1387</v>
      </c>
      <c r="AA32" s="46">
        <v>344</v>
      </c>
      <c r="AC32" s="59">
        <v>1998</v>
      </c>
      <c r="AD32" s="59">
        <v>1702</v>
      </c>
      <c r="AE32" s="60">
        <v>0.32600000000000001</v>
      </c>
      <c r="AF32" s="61">
        <v>7.0000000000000007E-2</v>
      </c>
      <c r="AG32" s="61">
        <v>0.122</v>
      </c>
      <c r="AH32" s="62">
        <v>0</v>
      </c>
      <c r="AI32" s="62">
        <v>0.6</v>
      </c>
      <c r="AJ32" s="63">
        <v>0.39</v>
      </c>
      <c r="AK32" s="63">
        <v>0.01</v>
      </c>
      <c r="AR32" s="73"/>
      <c r="AT32" s="66">
        <v>1998</v>
      </c>
      <c r="AU32" s="66">
        <v>1848</v>
      </c>
      <c r="AV32" s="67">
        <v>0.76</v>
      </c>
      <c r="AW32" s="67">
        <v>0.19</v>
      </c>
      <c r="AX32" s="66">
        <v>329</v>
      </c>
      <c r="AY32" s="68">
        <v>0</v>
      </c>
      <c r="AZ32" s="68">
        <v>0.43</v>
      </c>
      <c r="BA32" s="68">
        <v>0.56000000000000005</v>
      </c>
      <c r="BB32" s="68">
        <v>0.01</v>
      </c>
      <c r="BC32" s="69">
        <v>0</v>
      </c>
      <c r="BF32" s="82">
        <v>1966</v>
      </c>
      <c r="BG32" s="85">
        <v>4.0999999999999996</v>
      </c>
      <c r="BH32" s="86" t="s">
        <v>81</v>
      </c>
      <c r="BI32" s="85">
        <v>44</v>
      </c>
      <c r="BK32" s="85">
        <v>12.8</v>
      </c>
      <c r="BL32" s="86" t="s">
        <v>81</v>
      </c>
      <c r="BM32" s="86" t="s">
        <v>81</v>
      </c>
      <c r="BN32" s="85">
        <v>60.9</v>
      </c>
      <c r="BO32" s="85">
        <v>175.2</v>
      </c>
      <c r="BP32" s="85">
        <v>236.1</v>
      </c>
      <c r="CB32" s="124">
        <v>1966</v>
      </c>
      <c r="CC32" s="136">
        <v>25607</v>
      </c>
      <c r="CD32" s="129">
        <v>2623</v>
      </c>
      <c r="CE32" s="107"/>
      <c r="CF32" s="129">
        <v>28230</v>
      </c>
      <c r="CG32" s="127">
        <v>771</v>
      </c>
      <c r="CH32" s="127">
        <v>255</v>
      </c>
      <c r="CI32" s="127">
        <v>0</v>
      </c>
      <c r="CJ32" s="129">
        <v>4071</v>
      </c>
      <c r="CK32" s="129">
        <v>2247</v>
      </c>
      <c r="CL32" s="129">
        <v>6318</v>
      </c>
      <c r="CM32" s="107"/>
      <c r="CN32" s="129">
        <v>14700</v>
      </c>
      <c r="CO32" s="127">
        <v>0</v>
      </c>
      <c r="CP32" s="127">
        <v>0</v>
      </c>
      <c r="CQ32" s="127">
        <v>0</v>
      </c>
      <c r="CR32" s="127">
        <v>0</v>
      </c>
      <c r="CS32" s="128">
        <v>1966</v>
      </c>
      <c r="CU32" s="74">
        <f t="shared" si="44"/>
        <v>28230</v>
      </c>
      <c r="DU32" s="253"/>
      <c r="DV32" s="253"/>
      <c r="DX32">
        <v>2007</v>
      </c>
      <c r="DY32" s="74">
        <v>2805</v>
      </c>
      <c r="DZ32" s="74">
        <f>DZ6/DZ19</f>
        <v>396.15384615384613</v>
      </c>
      <c r="EA32" s="74">
        <f>EA6/EA19</f>
        <v>284.88372093023258</v>
      </c>
      <c r="EB32" s="74">
        <f>EB6/EB19</f>
        <v>9150</v>
      </c>
      <c r="EC32" s="74">
        <f>EC6/EC19</f>
        <v>69.411764705882348</v>
      </c>
      <c r="ED32" s="74">
        <f>SUM(DY32:EC32)</f>
        <v>12705.449331789961</v>
      </c>
      <c r="EE32" s="74"/>
      <c r="EH32" s="74"/>
      <c r="EI32" s="74"/>
      <c r="EJ32" s="74"/>
      <c r="EK32" s="74"/>
      <c r="EL32" s="74"/>
      <c r="EN32" s="74"/>
      <c r="EO32" s="74"/>
      <c r="EP32" s="74"/>
      <c r="EQ32" s="74"/>
      <c r="ES32" s="74"/>
      <c r="ET32" s="74"/>
      <c r="EU32" s="74"/>
      <c r="EV32" s="74"/>
      <c r="EW32" s="74"/>
      <c r="EX32" s="74"/>
      <c r="EY32" s="74"/>
      <c r="EZ32" s="74"/>
      <c r="FA32" s="74"/>
      <c r="FG32" s="266"/>
      <c r="FH32" s="65"/>
      <c r="FI32" s="65"/>
      <c r="FJ32" s="65"/>
      <c r="HJ32">
        <v>2016</v>
      </c>
      <c r="HK32" s="218">
        <f t="shared" si="46"/>
        <v>0.10902291892433687</v>
      </c>
      <c r="HL32" s="218">
        <f t="shared" si="47"/>
        <v>5.5530705247226258E-3</v>
      </c>
      <c r="HM32" s="218"/>
      <c r="HN32" s="218">
        <f t="shared" si="48"/>
        <v>1.1589376347309918E-3</v>
      </c>
      <c r="HO32" s="218">
        <f t="shared" si="49"/>
        <v>2.7310182908471932E-4</v>
      </c>
      <c r="HP32" s="218"/>
      <c r="HQ32" s="218">
        <f t="shared" si="50"/>
        <v>0.15858129968569071</v>
      </c>
      <c r="HR32" s="218">
        <f t="shared" si="51"/>
        <v>1.2926819910010047E-2</v>
      </c>
      <c r="HS32" s="218"/>
      <c r="HT32" s="218">
        <f t="shared" si="52"/>
        <v>3.8217348192914842E-2</v>
      </c>
      <c r="HU32" s="218">
        <f t="shared" si="53"/>
        <v>1.7296449175365556E-3</v>
      </c>
      <c r="HV32" s="218"/>
      <c r="HW32" s="218">
        <f t="shared" si="54"/>
        <v>2.5441440457666057E-2</v>
      </c>
      <c r="HX32" s="218">
        <f t="shared" si="55"/>
        <v>2.1848146326777546E-3</v>
      </c>
      <c r="HY32" s="218"/>
      <c r="HZ32" s="218"/>
      <c r="IA32" s="218"/>
      <c r="IC32">
        <v>2008</v>
      </c>
      <c r="ID32">
        <v>2190</v>
      </c>
      <c r="IE32" t="s">
        <v>163</v>
      </c>
      <c r="IF32" s="16">
        <v>1.8</v>
      </c>
      <c r="IG32">
        <v>0.1</v>
      </c>
      <c r="IH32" s="372">
        <v>0.4</v>
      </c>
      <c r="II32" s="16">
        <v>0.5</v>
      </c>
      <c r="IJ32">
        <v>0</v>
      </c>
      <c r="IK32">
        <v>0.9</v>
      </c>
      <c r="IL32">
        <v>0</v>
      </c>
      <c r="IM32">
        <v>0</v>
      </c>
      <c r="IN32">
        <v>0</v>
      </c>
      <c r="IO32">
        <v>0</v>
      </c>
      <c r="IP32">
        <v>0</v>
      </c>
      <c r="IQ32">
        <v>0</v>
      </c>
      <c r="IR32" s="372">
        <v>0.4</v>
      </c>
      <c r="IS32" s="16">
        <v>0.1</v>
      </c>
      <c r="IT32">
        <v>0</v>
      </c>
      <c r="IU32">
        <v>0</v>
      </c>
      <c r="IV32">
        <v>0</v>
      </c>
      <c r="IW32">
        <v>0</v>
      </c>
      <c r="IX32">
        <v>0</v>
      </c>
      <c r="IY32" s="372">
        <v>0</v>
      </c>
      <c r="IZ32">
        <v>0</v>
      </c>
      <c r="JA32">
        <v>0</v>
      </c>
      <c r="JB32">
        <v>0</v>
      </c>
      <c r="JC32">
        <v>0</v>
      </c>
      <c r="JD32">
        <v>0</v>
      </c>
      <c r="JE32">
        <v>0</v>
      </c>
      <c r="JF32">
        <v>19.2</v>
      </c>
      <c r="JG32">
        <v>12.4</v>
      </c>
      <c r="JH32">
        <v>0.4</v>
      </c>
      <c r="JI32">
        <v>63.7</v>
      </c>
    </row>
    <row r="33" spans="2:269" ht="15" x14ac:dyDescent="0.3">
      <c r="B33" s="195">
        <v>2009</v>
      </c>
      <c r="C33" s="194">
        <v>35.4</v>
      </c>
      <c r="D33" s="452">
        <v>0.3</v>
      </c>
      <c r="E33" s="452">
        <v>1.4</v>
      </c>
      <c r="F33" s="452">
        <v>37.700000000000003</v>
      </c>
      <c r="G33" s="453">
        <v>4.5</v>
      </c>
      <c r="H33" s="454">
        <v>12</v>
      </c>
      <c r="I33" s="453">
        <v>28.5</v>
      </c>
      <c r="J33" s="452">
        <v>4.3</v>
      </c>
      <c r="L33" s="105">
        <v>2009</v>
      </c>
      <c r="M33" s="201">
        <v>28514</v>
      </c>
      <c r="N33" s="78">
        <v>3110</v>
      </c>
      <c r="O33" s="202">
        <v>11</v>
      </c>
      <c r="P33" s="78">
        <v>14820</v>
      </c>
      <c r="Q33" s="203">
        <v>52</v>
      </c>
      <c r="R33" s="204">
        <v>2853</v>
      </c>
      <c r="S33" s="207">
        <v>0</v>
      </c>
      <c r="U33">
        <f t="shared" si="56"/>
        <v>11057</v>
      </c>
      <c r="W33" s="2">
        <v>2009</v>
      </c>
      <c r="X33" s="3">
        <v>358</v>
      </c>
      <c r="Y33" s="3">
        <v>913</v>
      </c>
      <c r="Z33" s="4">
        <v>1193</v>
      </c>
      <c r="AA33" s="46">
        <v>110</v>
      </c>
      <c r="AC33" s="59">
        <v>1999</v>
      </c>
      <c r="AD33" s="59">
        <v>1049</v>
      </c>
      <c r="AE33" s="60">
        <v>0.32600000000000001</v>
      </c>
      <c r="AF33" s="61">
        <v>0.1</v>
      </c>
      <c r="AG33" s="61">
        <v>0.17599999999999999</v>
      </c>
      <c r="AH33" s="62">
        <v>0</v>
      </c>
      <c r="AI33" s="62">
        <v>0.6</v>
      </c>
      <c r="AJ33" s="63">
        <v>0.39</v>
      </c>
      <c r="AK33" s="63">
        <v>0.01</v>
      </c>
      <c r="AT33" s="66">
        <v>1999</v>
      </c>
      <c r="AU33" s="66">
        <v>1862</v>
      </c>
      <c r="AV33" s="67">
        <v>0.72</v>
      </c>
      <c r="AW33" s="67">
        <v>0.22800000000000001</v>
      </c>
      <c r="AX33" s="66">
        <v>397</v>
      </c>
      <c r="AY33" s="68">
        <v>0</v>
      </c>
      <c r="AZ33" s="68">
        <v>0.5</v>
      </c>
      <c r="BA33" s="68">
        <v>0.49</v>
      </c>
      <c r="BB33" s="68">
        <v>0.01</v>
      </c>
      <c r="BC33" s="69">
        <v>0</v>
      </c>
      <c r="BF33" s="82">
        <v>1967</v>
      </c>
      <c r="BG33" s="85">
        <v>6.8</v>
      </c>
      <c r="BH33" s="86" t="s">
        <v>81</v>
      </c>
      <c r="BI33" s="85">
        <v>74.400000000000006</v>
      </c>
      <c r="BK33" s="85">
        <v>8.3000000000000007</v>
      </c>
      <c r="BL33" s="86" t="s">
        <v>81</v>
      </c>
      <c r="BM33" s="86" t="s">
        <v>81</v>
      </c>
      <c r="BN33" s="85">
        <v>89.5</v>
      </c>
      <c r="BO33" s="85">
        <v>151</v>
      </c>
      <c r="BP33" s="85">
        <v>240.5</v>
      </c>
      <c r="CB33" s="124">
        <v>1967</v>
      </c>
      <c r="CC33" s="136">
        <v>53689</v>
      </c>
      <c r="CD33" s="129">
        <v>2510</v>
      </c>
      <c r="CE33" s="107"/>
      <c r="CF33" s="129">
        <v>56199</v>
      </c>
      <c r="CG33" s="129">
        <v>1901</v>
      </c>
      <c r="CH33" s="127">
        <v>111</v>
      </c>
      <c r="CI33" s="129">
        <v>2012</v>
      </c>
      <c r="CJ33" s="129">
        <v>7084</v>
      </c>
      <c r="CK33" s="129">
        <v>1614</v>
      </c>
      <c r="CL33" s="129">
        <v>8698</v>
      </c>
      <c r="CM33" s="107"/>
      <c r="CN33" s="129">
        <v>14600</v>
      </c>
      <c r="CO33" s="127">
        <v>0</v>
      </c>
      <c r="CP33" s="127">
        <v>0</v>
      </c>
      <c r="CQ33" s="127">
        <v>0</v>
      </c>
      <c r="CR33" s="127">
        <v>0</v>
      </c>
      <c r="CS33" s="128">
        <v>1967</v>
      </c>
      <c r="CU33" s="74">
        <f t="shared" si="44"/>
        <v>56199</v>
      </c>
      <c r="DI33" s="253" t="s">
        <v>396</v>
      </c>
      <c r="DJ33" t="s">
        <v>397</v>
      </c>
      <c r="DK33">
        <v>0</v>
      </c>
      <c r="DL33">
        <v>0</v>
      </c>
      <c r="DM33">
        <v>0</v>
      </c>
      <c r="DN33">
        <v>7</v>
      </c>
      <c r="DO33">
        <v>0</v>
      </c>
      <c r="DP33">
        <v>4</v>
      </c>
      <c r="DQ33">
        <v>4</v>
      </c>
      <c r="DR33">
        <v>5</v>
      </c>
      <c r="DS33">
        <v>0</v>
      </c>
      <c r="DT33">
        <v>0</v>
      </c>
      <c r="DU33" s="253"/>
      <c r="DV33" s="253"/>
      <c r="DX33">
        <v>2008</v>
      </c>
      <c r="DY33" s="74">
        <v>1844</v>
      </c>
      <c r="DZ33" s="74">
        <f t="shared" ref="DZ33:EC33" si="59">DZ7/DZ20</f>
        <v>1525.9259259259259</v>
      </c>
      <c r="EA33" s="74">
        <f t="shared" si="59"/>
        <v>520.9677419354839</v>
      </c>
      <c r="EB33" s="74">
        <f t="shared" si="59"/>
        <v>3227.9069767441861</v>
      </c>
      <c r="EC33" s="74">
        <f t="shared" si="59"/>
        <v>583.05084745762713</v>
      </c>
      <c r="ED33" s="74">
        <f t="shared" ref="ED33:ED44" si="60">SUM(DY33:EC33)</f>
        <v>7701.8514920632233</v>
      </c>
      <c r="EE33" s="74"/>
      <c r="EH33" s="74"/>
      <c r="EI33" s="74"/>
      <c r="EJ33" s="74"/>
      <c r="EK33" s="74"/>
      <c r="EL33" s="74"/>
      <c r="EN33" s="74"/>
      <c r="EO33" s="74"/>
      <c r="EP33" s="74"/>
      <c r="EQ33" s="74"/>
      <c r="ES33" s="74"/>
      <c r="ET33" s="74"/>
      <c r="EU33" s="74"/>
      <c r="EV33" s="74"/>
      <c r="EW33" s="74"/>
      <c r="EX33" s="74"/>
      <c r="EY33" s="74"/>
      <c r="EZ33" s="74"/>
      <c r="FA33" s="74"/>
      <c r="FG33" s="266"/>
      <c r="FH33" s="65"/>
      <c r="FI33" s="65"/>
      <c r="FJ33" s="65"/>
      <c r="HK33" s="218"/>
      <c r="HL33" s="218"/>
      <c r="HM33" s="218"/>
      <c r="HN33" s="218"/>
      <c r="HO33" s="218"/>
      <c r="HP33" s="218"/>
      <c r="HQ33" s="218"/>
      <c r="HR33" s="218"/>
      <c r="HS33" s="218"/>
      <c r="HT33" s="218"/>
      <c r="HU33" s="218"/>
      <c r="HV33" s="218"/>
      <c r="HW33" s="218"/>
      <c r="HX33" s="218"/>
      <c r="HY33" s="218"/>
      <c r="HZ33" s="218"/>
      <c r="IA33" s="218"/>
      <c r="IC33">
        <v>2009</v>
      </c>
      <c r="ID33">
        <v>4045</v>
      </c>
      <c r="IE33" t="s">
        <v>163</v>
      </c>
      <c r="IF33" s="16">
        <v>3.4</v>
      </c>
      <c r="IG33">
        <v>0</v>
      </c>
      <c r="IH33" s="372">
        <v>0</v>
      </c>
      <c r="II33" s="16">
        <v>0.2</v>
      </c>
      <c r="IJ33">
        <v>0.1</v>
      </c>
      <c r="IK33">
        <v>0.7</v>
      </c>
      <c r="IL33">
        <v>1.8</v>
      </c>
      <c r="IM33">
        <v>0</v>
      </c>
      <c r="IN33">
        <v>0</v>
      </c>
      <c r="IO33">
        <v>0.1</v>
      </c>
      <c r="IP33">
        <v>0</v>
      </c>
      <c r="IQ33">
        <v>0</v>
      </c>
      <c r="IR33" s="372">
        <v>0.8</v>
      </c>
      <c r="IS33" s="16">
        <v>0.3</v>
      </c>
      <c r="IT33">
        <v>0.1</v>
      </c>
      <c r="IU33">
        <v>0</v>
      </c>
      <c r="IV33">
        <v>0</v>
      </c>
      <c r="IW33">
        <v>0</v>
      </c>
      <c r="IX33">
        <v>0</v>
      </c>
      <c r="IY33" s="372">
        <v>0.3</v>
      </c>
      <c r="IZ33">
        <v>0</v>
      </c>
      <c r="JA33">
        <v>0</v>
      </c>
      <c r="JB33">
        <v>0</v>
      </c>
      <c r="JC33">
        <v>0</v>
      </c>
      <c r="JD33">
        <v>0</v>
      </c>
      <c r="JE33">
        <v>0</v>
      </c>
      <c r="JF33">
        <v>7.7</v>
      </c>
      <c r="JG33">
        <v>19.2</v>
      </c>
      <c r="JH33">
        <v>0</v>
      </c>
      <c r="JI33">
        <v>65.099999999999994</v>
      </c>
    </row>
    <row r="34" spans="2:269" ht="15" x14ac:dyDescent="0.3">
      <c r="B34" s="195">
        <v>2010</v>
      </c>
      <c r="C34" s="194">
        <v>107.7</v>
      </c>
      <c r="D34" s="452">
        <v>3.3</v>
      </c>
      <c r="E34" s="452">
        <v>5.4</v>
      </c>
      <c r="F34" s="452">
        <v>101.8</v>
      </c>
      <c r="G34" s="453">
        <v>22.7</v>
      </c>
      <c r="H34" s="454">
        <v>21</v>
      </c>
      <c r="I34" s="453">
        <v>67.099999999999994</v>
      </c>
      <c r="J34" s="452">
        <v>11</v>
      </c>
      <c r="L34" s="105">
        <v>2010</v>
      </c>
      <c r="M34" s="201">
        <v>67059</v>
      </c>
      <c r="N34" s="78">
        <v>9484</v>
      </c>
      <c r="O34" s="202">
        <v>14</v>
      </c>
      <c r="P34" s="78">
        <v>28408</v>
      </c>
      <c r="Q34" s="203">
        <v>42</v>
      </c>
      <c r="R34" s="204">
        <v>5484</v>
      </c>
      <c r="S34" s="207">
        <v>0</v>
      </c>
      <c r="U34">
        <f t="shared" si="56"/>
        <v>36462</v>
      </c>
      <c r="W34" s="2">
        <v>2010</v>
      </c>
      <c r="X34" s="3">
        <v>292</v>
      </c>
      <c r="Y34" s="3">
        <v>376</v>
      </c>
      <c r="Z34" s="4">
        <v>1266</v>
      </c>
      <c r="AA34" s="46">
        <v>189</v>
      </c>
      <c r="AC34" s="59">
        <v>2000</v>
      </c>
      <c r="AD34" s="59">
        <v>2596</v>
      </c>
      <c r="AE34" s="60">
        <v>0.32600000000000001</v>
      </c>
      <c r="AF34" s="61">
        <v>0.11</v>
      </c>
      <c r="AG34" s="61">
        <v>0.214</v>
      </c>
      <c r="AH34" s="62">
        <v>0</v>
      </c>
      <c r="AI34" s="62">
        <v>0.6</v>
      </c>
      <c r="AJ34" s="63">
        <v>0.39</v>
      </c>
      <c r="AK34" s="63">
        <v>0.01</v>
      </c>
      <c r="AT34" s="66">
        <v>2000</v>
      </c>
      <c r="AU34" s="66">
        <v>2533</v>
      </c>
      <c r="AV34" s="67">
        <v>0.749</v>
      </c>
      <c r="AW34" s="67">
        <v>0.28399999999999997</v>
      </c>
      <c r="AX34" s="66">
        <v>751</v>
      </c>
      <c r="AY34" s="68">
        <v>0</v>
      </c>
      <c r="AZ34" s="68">
        <v>0.55000000000000004</v>
      </c>
      <c r="BA34" s="68">
        <v>0.44</v>
      </c>
      <c r="BB34" s="68">
        <v>0.01</v>
      </c>
      <c r="BC34" s="69">
        <v>0</v>
      </c>
      <c r="BF34" s="82">
        <v>1968</v>
      </c>
      <c r="BG34" s="85">
        <v>8.6999999999999993</v>
      </c>
      <c r="BH34" s="86" t="s">
        <v>81</v>
      </c>
      <c r="BI34" s="85">
        <v>47.5</v>
      </c>
      <c r="BK34" s="85">
        <v>9.8000000000000007</v>
      </c>
      <c r="BL34" s="86" t="s">
        <v>81</v>
      </c>
      <c r="BM34" s="86" t="s">
        <v>81</v>
      </c>
      <c r="BN34" s="85">
        <v>66</v>
      </c>
      <c r="BO34" s="85">
        <v>133.5</v>
      </c>
      <c r="BP34" s="85">
        <v>199.5</v>
      </c>
      <c r="CB34" s="124">
        <v>1968</v>
      </c>
      <c r="CC34" s="136">
        <v>29075</v>
      </c>
      <c r="CD34" s="129">
        <v>2394</v>
      </c>
      <c r="CE34" s="107"/>
      <c r="CF34" s="129">
        <v>31469</v>
      </c>
      <c r="CG34" s="129">
        <v>4043</v>
      </c>
      <c r="CH34" s="127">
        <v>203</v>
      </c>
      <c r="CI34" s="129">
        <v>4246</v>
      </c>
      <c r="CJ34" s="129">
        <v>12400</v>
      </c>
      <c r="CK34" s="129">
        <v>5300</v>
      </c>
      <c r="CL34" s="129">
        <v>17700</v>
      </c>
      <c r="CM34" s="107"/>
      <c r="CN34" s="129">
        <v>6400</v>
      </c>
      <c r="CO34" s="127">
        <v>0</v>
      </c>
      <c r="CP34" s="127">
        <v>0</v>
      </c>
      <c r="CQ34" s="127">
        <v>0</v>
      </c>
      <c r="CR34" s="127">
        <v>0</v>
      </c>
      <c r="CS34" s="128">
        <v>1968</v>
      </c>
      <c r="CU34" s="74">
        <f t="shared" si="44"/>
        <v>31469</v>
      </c>
      <c r="DJ34" t="s">
        <v>398</v>
      </c>
      <c r="DK34">
        <v>0</v>
      </c>
      <c r="DL34">
        <v>4</v>
      </c>
      <c r="DM34">
        <v>4</v>
      </c>
      <c r="DN34">
        <v>4</v>
      </c>
      <c r="DO34">
        <v>0</v>
      </c>
      <c r="DP34">
        <v>4</v>
      </c>
      <c r="DQ34">
        <v>4</v>
      </c>
      <c r="DR34">
        <v>10</v>
      </c>
      <c r="DS34">
        <v>0</v>
      </c>
      <c r="DT34">
        <v>0</v>
      </c>
      <c r="DU34" s="253"/>
      <c r="DV34" s="253"/>
      <c r="DX34">
        <v>2009</v>
      </c>
      <c r="DY34" s="74">
        <v>1043</v>
      </c>
      <c r="DZ34" s="74">
        <f t="shared" ref="DZ34:EC34" si="61">DZ8/DZ21</f>
        <v>639.28571428571422</v>
      </c>
      <c r="EA34" s="74">
        <f t="shared" si="61"/>
        <v>2536.1111111111113</v>
      </c>
      <c r="EB34" s="74">
        <f t="shared" si="61"/>
        <v>2250.9433962264152</v>
      </c>
      <c r="EC34" s="74">
        <f t="shared" si="61"/>
        <v>132.53012048192772</v>
      </c>
      <c r="ED34" s="74">
        <f t="shared" si="60"/>
        <v>6601.8703421051687</v>
      </c>
      <c r="EE34" s="74"/>
      <c r="EH34" s="74"/>
      <c r="EI34" s="74"/>
      <c r="EJ34" s="74"/>
      <c r="EK34" s="74"/>
      <c r="EL34" s="74"/>
      <c r="EN34" s="74"/>
      <c r="EO34" s="74"/>
      <c r="EP34" s="74"/>
      <c r="EQ34" s="74"/>
      <c r="ES34" s="74"/>
      <c r="ET34" s="74"/>
      <c r="EU34" s="74"/>
      <c r="EV34" s="74"/>
      <c r="EW34" s="74"/>
      <c r="EX34" s="74"/>
      <c r="EY34" s="74"/>
      <c r="EZ34" s="74"/>
      <c r="FA34" s="74"/>
      <c r="FG34" s="266"/>
      <c r="FH34" s="65"/>
      <c r="FI34" s="65"/>
      <c r="FJ34" s="65"/>
      <c r="HJ34" s="253" t="s">
        <v>718</v>
      </c>
      <c r="HK34" s="381">
        <f>AVERAGE(HK23:HK32)</f>
        <v>7.4996051286685184E-2</v>
      </c>
      <c r="HL34" s="381">
        <f>AVERAGE(HL23:HL32)</f>
        <v>7.1912015990655883E-3</v>
      </c>
      <c r="HM34" s="253"/>
      <c r="HN34" s="381">
        <f>AVERAGE(HN23:HN32)</f>
        <v>7.2651594214603876E-3</v>
      </c>
      <c r="HO34" s="381">
        <f>AVERAGE(HO23:HO32)</f>
        <v>1.1558921928887475E-3</v>
      </c>
      <c r="HP34" s="253"/>
      <c r="HQ34" s="381">
        <f>AVERAGE(HQ23:HQ32)</f>
        <v>0.20576002414790953</v>
      </c>
      <c r="HR34" s="381">
        <f>AVERAGE(HR23:HR32)</f>
        <v>2.6475121057617679E-2</v>
      </c>
      <c r="HS34" s="253"/>
      <c r="HT34" s="381">
        <f>AVERAGE(HT23:HT32)</f>
        <v>4.3030367480802911E-2</v>
      </c>
      <c r="HU34" s="381">
        <f>AVERAGE(HU23:HU32)</f>
        <v>4.1678917979094225E-3</v>
      </c>
      <c r="HV34" s="253"/>
      <c r="HW34" s="381">
        <f>AVERAGE(HW23:HW32)</f>
        <v>2.9928279715890856E-2</v>
      </c>
      <c r="HX34" s="381">
        <f>AVERAGE(HX23:HX32)</f>
        <v>4.4263411590893722E-3</v>
      </c>
      <c r="HY34" s="381"/>
      <c r="HZ34" s="381"/>
      <c r="IA34" s="381"/>
      <c r="IC34">
        <v>2010</v>
      </c>
      <c r="ID34">
        <v>11342</v>
      </c>
      <c r="IE34" t="s">
        <v>163</v>
      </c>
      <c r="IF34" s="16">
        <v>2.9</v>
      </c>
      <c r="IG34">
        <v>0</v>
      </c>
      <c r="IH34" s="372">
        <v>0.1</v>
      </c>
      <c r="II34" s="16">
        <v>0.5</v>
      </c>
      <c r="IJ34">
        <v>0.2</v>
      </c>
      <c r="IK34">
        <v>0.5</v>
      </c>
      <c r="IL34">
        <v>0.1</v>
      </c>
      <c r="IM34">
        <v>0</v>
      </c>
      <c r="IN34">
        <v>0</v>
      </c>
      <c r="IO34">
        <v>0.1</v>
      </c>
      <c r="IP34">
        <v>0</v>
      </c>
      <c r="IQ34">
        <v>0</v>
      </c>
      <c r="IR34" s="372">
        <v>0</v>
      </c>
      <c r="IS34" s="16">
        <v>1.9</v>
      </c>
      <c r="IT34">
        <v>0.2</v>
      </c>
      <c r="IU34">
        <v>0.1</v>
      </c>
      <c r="IV34">
        <v>0</v>
      </c>
      <c r="IW34">
        <v>0</v>
      </c>
      <c r="IX34">
        <v>0</v>
      </c>
      <c r="IY34" s="372">
        <v>0.1</v>
      </c>
      <c r="IZ34">
        <v>0</v>
      </c>
      <c r="JA34">
        <v>0</v>
      </c>
      <c r="JB34">
        <v>0</v>
      </c>
      <c r="JC34">
        <v>0</v>
      </c>
      <c r="JD34">
        <v>0</v>
      </c>
      <c r="JE34">
        <v>0</v>
      </c>
      <c r="JF34">
        <v>3.8</v>
      </c>
      <c r="JG34">
        <v>32.299999999999997</v>
      </c>
      <c r="JH34">
        <v>0.1</v>
      </c>
      <c r="JI34">
        <v>57.2</v>
      </c>
    </row>
    <row r="35" spans="2:269" x14ac:dyDescent="0.3">
      <c r="B35" s="195">
        <v>2011</v>
      </c>
      <c r="C35" s="194">
        <v>76.5</v>
      </c>
      <c r="D35" s="452">
        <v>2.2999999999999998</v>
      </c>
      <c r="E35" s="452">
        <v>2.1</v>
      </c>
      <c r="F35" s="452">
        <v>75.900000000000006</v>
      </c>
      <c r="G35" s="453">
        <v>22.8</v>
      </c>
      <c r="H35" s="454">
        <v>28</v>
      </c>
      <c r="I35" s="453">
        <v>45.1</v>
      </c>
      <c r="J35" s="452">
        <v>6.8</v>
      </c>
      <c r="L35" s="105">
        <v>2011</v>
      </c>
      <c r="M35" s="201">
        <v>45147</v>
      </c>
      <c r="N35" s="78">
        <v>4857</v>
      </c>
      <c r="O35" s="202">
        <v>11</v>
      </c>
      <c r="P35" s="78">
        <v>23646</v>
      </c>
      <c r="Q35" s="203">
        <v>52</v>
      </c>
      <c r="R35" s="204">
        <v>3908</v>
      </c>
      <c r="S35" s="207">
        <v>0</v>
      </c>
      <c r="U35">
        <f t="shared" si="56"/>
        <v>29591</v>
      </c>
      <c r="W35" s="2">
        <v>2011</v>
      </c>
      <c r="X35" s="3">
        <v>553</v>
      </c>
      <c r="Y35" s="3">
        <v>756</v>
      </c>
      <c r="Z35" s="4">
        <v>2511</v>
      </c>
      <c r="AA35" s="46">
        <v>181</v>
      </c>
      <c r="AC35" s="59">
        <v>2001</v>
      </c>
      <c r="AD35" s="59">
        <v>4474</v>
      </c>
      <c r="AE35" s="60">
        <v>0.32600000000000001</v>
      </c>
      <c r="AF35" s="61">
        <v>0.11</v>
      </c>
      <c r="AG35" s="61">
        <v>0.214</v>
      </c>
      <c r="AH35" s="62">
        <v>0</v>
      </c>
      <c r="AI35" s="62">
        <v>0.6</v>
      </c>
      <c r="AJ35" s="63">
        <v>0.39</v>
      </c>
      <c r="AK35" s="63">
        <v>0.01</v>
      </c>
      <c r="AT35" s="66">
        <v>2001</v>
      </c>
      <c r="AU35" s="66">
        <v>4428</v>
      </c>
      <c r="AV35" s="67">
        <v>0.76</v>
      </c>
      <c r="AW35" s="67">
        <v>0.30099999999999999</v>
      </c>
      <c r="AX35" s="66">
        <v>1446</v>
      </c>
      <c r="AY35" s="68">
        <v>0</v>
      </c>
      <c r="AZ35" s="68">
        <v>0.53</v>
      </c>
      <c r="BA35" s="68">
        <v>0.47</v>
      </c>
      <c r="BB35" s="68">
        <v>0</v>
      </c>
      <c r="BC35" s="69">
        <v>0</v>
      </c>
      <c r="BF35" s="82">
        <v>1969</v>
      </c>
      <c r="BG35" s="85">
        <v>8.6</v>
      </c>
      <c r="BH35" s="85">
        <v>5.0999999999999996</v>
      </c>
      <c r="BI35" s="85">
        <v>52.6</v>
      </c>
      <c r="BK35" s="85">
        <v>11.9</v>
      </c>
      <c r="BL35" s="85">
        <v>0</v>
      </c>
      <c r="BM35" s="85">
        <v>0.3</v>
      </c>
      <c r="BN35" s="85">
        <v>78.5</v>
      </c>
      <c r="BO35" s="85">
        <v>216.5</v>
      </c>
      <c r="BP35" s="85">
        <v>295</v>
      </c>
      <c r="CB35" s="124">
        <v>1969</v>
      </c>
      <c r="CC35" s="136">
        <v>31160</v>
      </c>
      <c r="CD35" s="129">
        <v>2554</v>
      </c>
      <c r="CE35" s="107"/>
      <c r="CF35" s="129">
        <v>33714</v>
      </c>
      <c r="CG35" s="129">
        <v>6817</v>
      </c>
      <c r="CH35" s="127">
        <v>140</v>
      </c>
      <c r="CI35" s="129">
        <v>6957</v>
      </c>
      <c r="CJ35" s="129">
        <v>3260</v>
      </c>
      <c r="CK35" s="129">
        <v>14032</v>
      </c>
      <c r="CL35" s="129">
        <v>17292</v>
      </c>
      <c r="CM35" s="107"/>
      <c r="CN35" s="129">
        <v>8400</v>
      </c>
      <c r="CO35" s="127">
        <v>0</v>
      </c>
      <c r="CP35" s="127">
        <v>0</v>
      </c>
      <c r="CQ35" s="127">
        <v>0</v>
      </c>
      <c r="CR35" s="127">
        <v>0</v>
      </c>
      <c r="CS35" s="128">
        <v>1969</v>
      </c>
      <c r="CU35" s="74">
        <f t="shared" si="44"/>
        <v>33714</v>
      </c>
      <c r="DJ35" t="s">
        <v>399</v>
      </c>
      <c r="DK35">
        <v>20</v>
      </c>
      <c r="DL35">
        <v>4</v>
      </c>
      <c r="DM35">
        <v>47</v>
      </c>
      <c r="DN35">
        <v>49</v>
      </c>
      <c r="DO35">
        <v>16</v>
      </c>
      <c r="DP35">
        <v>54</v>
      </c>
      <c r="DQ35">
        <v>36</v>
      </c>
      <c r="DR35">
        <v>85</v>
      </c>
      <c r="DS35">
        <v>59</v>
      </c>
      <c r="DT35">
        <v>97</v>
      </c>
      <c r="DU35" s="253"/>
      <c r="DV35" s="253"/>
      <c r="DX35">
        <v>2010</v>
      </c>
      <c r="DY35" s="74">
        <v>3503</v>
      </c>
      <c r="DZ35" s="74">
        <f t="shared" ref="DZ35:EC35" si="62">DZ9/DZ22</f>
        <v>356.09756097560978</v>
      </c>
      <c r="EA35" s="74">
        <f t="shared" si="62"/>
        <v>447.61904761904765</v>
      </c>
      <c r="EB35" s="74">
        <f t="shared" si="62"/>
        <v>2073.7704918032787</v>
      </c>
      <c r="EC35" s="74">
        <f t="shared" si="62"/>
        <v>289.23076923076923</v>
      </c>
      <c r="ED35" s="74">
        <f t="shared" si="60"/>
        <v>6669.7178696287056</v>
      </c>
      <c r="EE35" s="74"/>
      <c r="EH35" s="74"/>
      <c r="EI35" s="74"/>
      <c r="EJ35" s="74"/>
      <c r="EK35" s="74"/>
      <c r="EL35" s="74"/>
      <c r="EN35" s="74"/>
      <c r="EO35" s="74"/>
      <c r="EP35" s="74"/>
      <c r="EQ35" s="74"/>
      <c r="ES35" s="74"/>
      <c r="ET35" s="74"/>
      <c r="EU35" s="74"/>
      <c r="EV35" s="74"/>
      <c r="EW35" s="74"/>
      <c r="EX35" s="74"/>
      <c r="EY35" s="74"/>
      <c r="EZ35" s="74"/>
      <c r="FA35" s="74"/>
      <c r="FG35" s="266"/>
      <c r="FH35" s="65"/>
      <c r="FI35" s="65"/>
      <c r="FJ35" s="65"/>
      <c r="IC35">
        <v>2011</v>
      </c>
      <c r="ID35">
        <v>7736</v>
      </c>
      <c r="IE35" t="s">
        <v>163</v>
      </c>
      <c r="IF35" s="16">
        <v>4.0999999999999996</v>
      </c>
      <c r="IG35">
        <v>0</v>
      </c>
      <c r="IH35" s="372">
        <v>0.2</v>
      </c>
      <c r="II35" s="16">
        <v>0.8</v>
      </c>
      <c r="IJ35">
        <v>0.2</v>
      </c>
      <c r="IK35">
        <v>1.1000000000000001</v>
      </c>
      <c r="IL35">
        <v>0.1</v>
      </c>
      <c r="IM35">
        <v>0</v>
      </c>
      <c r="IN35">
        <v>0</v>
      </c>
      <c r="IO35">
        <v>0.1</v>
      </c>
      <c r="IP35">
        <v>0</v>
      </c>
      <c r="IQ35">
        <v>0</v>
      </c>
      <c r="IR35" s="372">
        <v>0.1</v>
      </c>
      <c r="IS35" s="16">
        <v>0.9</v>
      </c>
      <c r="IT35">
        <v>0.2</v>
      </c>
      <c r="IU35">
        <v>0.2</v>
      </c>
      <c r="IV35">
        <v>0</v>
      </c>
      <c r="IW35">
        <v>0</v>
      </c>
      <c r="IX35">
        <v>0</v>
      </c>
      <c r="IY35" s="372">
        <v>0.2</v>
      </c>
      <c r="IZ35">
        <v>0</v>
      </c>
      <c r="JA35">
        <v>0</v>
      </c>
      <c r="JB35">
        <v>0</v>
      </c>
      <c r="JC35">
        <v>0</v>
      </c>
      <c r="JD35">
        <v>0</v>
      </c>
      <c r="JE35">
        <v>0</v>
      </c>
      <c r="JF35">
        <v>5.0999999999999996</v>
      </c>
      <c r="JG35">
        <v>41.2</v>
      </c>
      <c r="JH35">
        <v>0.3</v>
      </c>
      <c r="JI35">
        <v>45.4</v>
      </c>
    </row>
    <row r="36" spans="2:269" x14ac:dyDescent="0.3">
      <c r="B36" s="195">
        <v>2012</v>
      </c>
      <c r="C36" s="194">
        <v>63</v>
      </c>
      <c r="D36" s="452">
        <v>2.2999999999999998</v>
      </c>
      <c r="E36" s="452">
        <v>3.2</v>
      </c>
      <c r="F36" s="452">
        <v>59.6</v>
      </c>
      <c r="G36" s="453">
        <v>15.8</v>
      </c>
      <c r="H36" s="454">
        <v>27</v>
      </c>
      <c r="I36" s="453">
        <v>37.200000000000003</v>
      </c>
      <c r="J36" s="452">
        <v>5.7</v>
      </c>
      <c r="L36" s="105">
        <v>2012</v>
      </c>
      <c r="M36" s="201">
        <v>37213</v>
      </c>
      <c r="N36" s="78">
        <v>5062</v>
      </c>
      <c r="O36" s="202">
        <v>14</v>
      </c>
      <c r="P36" s="78">
        <v>21959</v>
      </c>
      <c r="Q36" s="203">
        <v>59</v>
      </c>
      <c r="R36" s="204">
        <v>2954</v>
      </c>
      <c r="S36" s="207">
        <v>0</v>
      </c>
      <c r="U36">
        <f t="shared" si="56"/>
        <v>24645</v>
      </c>
      <c r="W36" s="2">
        <v>2012</v>
      </c>
      <c r="X36" s="3">
        <v>348</v>
      </c>
      <c r="Y36" s="3">
        <v>544</v>
      </c>
      <c r="Z36" s="4">
        <v>1769</v>
      </c>
      <c r="AA36" s="46">
        <v>175</v>
      </c>
      <c r="AC36" s="59">
        <v>2002</v>
      </c>
      <c r="AD36" s="59">
        <v>3434</v>
      </c>
      <c r="AE36" s="60">
        <v>0.53500000000000003</v>
      </c>
      <c r="AF36" s="61">
        <v>9.8000000000000004E-2</v>
      </c>
      <c r="AG36" s="61">
        <v>0.20300000000000001</v>
      </c>
      <c r="AH36" s="62">
        <v>0</v>
      </c>
      <c r="AI36" s="62">
        <v>0.6</v>
      </c>
      <c r="AJ36" s="63">
        <v>0.39</v>
      </c>
      <c r="AK36" s="63">
        <v>0.01</v>
      </c>
      <c r="AT36" s="66">
        <v>2002</v>
      </c>
      <c r="AU36" s="66">
        <v>6774</v>
      </c>
      <c r="AV36" s="67">
        <v>0.623</v>
      </c>
      <c r="AW36" s="67">
        <v>0.152</v>
      </c>
      <c r="AX36" s="66">
        <v>759</v>
      </c>
      <c r="AY36" s="68">
        <v>0</v>
      </c>
      <c r="AZ36" s="68">
        <v>0.76</v>
      </c>
      <c r="BA36" s="68">
        <v>0.24</v>
      </c>
      <c r="BB36" s="68">
        <v>0.01</v>
      </c>
      <c r="BC36" s="69">
        <v>0</v>
      </c>
      <c r="BF36" s="82">
        <v>1970</v>
      </c>
      <c r="BG36" s="85">
        <v>12.5</v>
      </c>
      <c r="BH36" s="85">
        <v>5</v>
      </c>
      <c r="BI36" s="85">
        <v>53.5</v>
      </c>
      <c r="BK36" s="85">
        <v>10.1</v>
      </c>
      <c r="BL36" s="85">
        <v>0.2</v>
      </c>
      <c r="BM36" s="85">
        <v>0.2</v>
      </c>
      <c r="BN36" s="85">
        <v>81.5</v>
      </c>
      <c r="BO36" s="85">
        <v>171.2</v>
      </c>
      <c r="BP36" s="85">
        <v>252.7</v>
      </c>
      <c r="CB36" s="130">
        <v>1970</v>
      </c>
      <c r="CC36" s="137">
        <v>33410</v>
      </c>
      <c r="CD36" s="132">
        <v>770</v>
      </c>
      <c r="CE36" s="113"/>
      <c r="CF36" s="131">
        <v>34180</v>
      </c>
      <c r="CG36" s="131">
        <v>7457</v>
      </c>
      <c r="CH36" s="132">
        <v>101</v>
      </c>
      <c r="CI36" s="131">
        <v>7558</v>
      </c>
      <c r="CJ36" s="131">
        <v>17902</v>
      </c>
      <c r="CK36" s="131">
        <v>19453</v>
      </c>
      <c r="CL36" s="131">
        <v>37355</v>
      </c>
      <c r="CM36" s="113"/>
      <c r="CN36" s="131">
        <v>4700</v>
      </c>
      <c r="CO36" s="132">
        <v>0</v>
      </c>
      <c r="CP36" s="132">
        <v>0</v>
      </c>
      <c r="CQ36" s="132">
        <v>146</v>
      </c>
      <c r="CR36" s="139">
        <v>887</v>
      </c>
      <c r="CS36" s="133">
        <v>1970</v>
      </c>
      <c r="CU36" s="74">
        <f t="shared" si="44"/>
        <v>34180</v>
      </c>
      <c r="DJ36" t="s">
        <v>396</v>
      </c>
      <c r="DK36">
        <v>737</v>
      </c>
      <c r="DL36">
        <v>8</v>
      </c>
      <c r="DM36">
        <v>780</v>
      </c>
      <c r="DN36">
        <v>3817</v>
      </c>
      <c r="DO36">
        <v>833</v>
      </c>
      <c r="DP36">
        <v>780</v>
      </c>
      <c r="DQ36">
        <v>502</v>
      </c>
      <c r="DR36">
        <v>416</v>
      </c>
      <c r="DS36">
        <v>1859</v>
      </c>
      <c r="DT36">
        <v>681</v>
      </c>
      <c r="DU36" s="253"/>
      <c r="DV36" s="253"/>
      <c r="DX36">
        <v>2011</v>
      </c>
      <c r="DY36" s="74">
        <v>3100</v>
      </c>
      <c r="DZ36" s="74">
        <f t="shared" ref="DZ36:EC36" si="63">DZ10/DZ23</f>
        <v>864.0625</v>
      </c>
      <c r="EA36" s="74">
        <f t="shared" si="63"/>
        <v>1239.344262295082</v>
      </c>
      <c r="EB36" s="74">
        <f t="shared" si="63"/>
        <v>7174.2857142857147</v>
      </c>
      <c r="EC36" s="74">
        <f t="shared" si="63"/>
        <v>278.46153846153845</v>
      </c>
      <c r="ED36" s="74">
        <f t="shared" si="60"/>
        <v>12656.154015042335</v>
      </c>
      <c r="EE36" s="74"/>
      <c r="EH36" s="74"/>
      <c r="EI36" s="74"/>
      <c r="EJ36" s="74"/>
      <c r="EK36" s="74"/>
      <c r="EL36" s="74"/>
      <c r="EN36" s="74"/>
      <c r="EO36" s="74"/>
      <c r="EP36" s="74"/>
      <c r="EQ36" s="74"/>
      <c r="ES36" s="74"/>
      <c r="ET36" s="74"/>
      <c r="EU36" s="74"/>
      <c r="EV36" s="74"/>
      <c r="EW36" s="74"/>
      <c r="EX36" s="74"/>
      <c r="EY36" s="74"/>
      <c r="EZ36" s="74"/>
      <c r="FA36" s="74"/>
      <c r="FG36" s="266"/>
      <c r="FH36" s="65"/>
      <c r="FI36" s="65"/>
      <c r="FJ36" s="65"/>
      <c r="IC36">
        <v>2012</v>
      </c>
      <c r="ID36">
        <v>5918</v>
      </c>
      <c r="IE36" t="s">
        <v>163</v>
      </c>
      <c r="IF36" s="16">
        <v>6.4</v>
      </c>
      <c r="IG36">
        <v>0</v>
      </c>
      <c r="IH36" s="372">
        <v>0.3</v>
      </c>
      <c r="II36" s="16">
        <v>0.3</v>
      </c>
      <c r="IJ36">
        <v>0.2</v>
      </c>
      <c r="IK36">
        <v>3.2</v>
      </c>
      <c r="IL36">
        <v>0.1</v>
      </c>
      <c r="IM36">
        <v>0</v>
      </c>
      <c r="IN36">
        <v>0</v>
      </c>
      <c r="IO36">
        <v>0</v>
      </c>
      <c r="IP36">
        <v>0</v>
      </c>
      <c r="IQ36">
        <v>0</v>
      </c>
      <c r="IR36" s="372">
        <v>0</v>
      </c>
      <c r="IS36" s="16">
        <v>1.5</v>
      </c>
      <c r="IT36">
        <v>0.8</v>
      </c>
      <c r="IU36">
        <v>0.4</v>
      </c>
      <c r="IV36">
        <v>0</v>
      </c>
      <c r="IW36">
        <v>0</v>
      </c>
      <c r="IX36">
        <v>0</v>
      </c>
      <c r="IY36" s="372">
        <v>0.4</v>
      </c>
      <c r="IZ36">
        <v>0</v>
      </c>
      <c r="JA36">
        <v>0</v>
      </c>
      <c r="JB36">
        <v>0</v>
      </c>
      <c r="JC36">
        <v>0</v>
      </c>
      <c r="JD36">
        <v>0</v>
      </c>
      <c r="JE36">
        <v>0</v>
      </c>
      <c r="JF36">
        <v>4.9000000000000004</v>
      </c>
      <c r="JG36">
        <v>37</v>
      </c>
      <c r="JH36">
        <v>0.8</v>
      </c>
      <c r="JI36">
        <v>43.8</v>
      </c>
    </row>
    <row r="37" spans="2:269" x14ac:dyDescent="0.3">
      <c r="B37" s="195">
        <v>2013</v>
      </c>
      <c r="C37" s="194">
        <v>44.9</v>
      </c>
      <c r="D37" s="452">
        <v>1.8</v>
      </c>
      <c r="E37" s="452">
        <v>1.7</v>
      </c>
      <c r="F37" s="452">
        <v>43.8</v>
      </c>
      <c r="G37" s="453">
        <v>7.4</v>
      </c>
      <c r="H37" s="454">
        <v>16</v>
      </c>
      <c r="I37" s="453">
        <v>29.6</v>
      </c>
      <c r="J37" s="452">
        <v>6.2</v>
      </c>
      <c r="L37" s="105">
        <v>2013</v>
      </c>
      <c r="M37" s="201">
        <v>29561</v>
      </c>
      <c r="N37" s="78">
        <v>2391</v>
      </c>
      <c r="O37" s="202">
        <v>8</v>
      </c>
      <c r="P37" s="78">
        <v>17488</v>
      </c>
      <c r="Q37" s="203">
        <v>59</v>
      </c>
      <c r="R37" s="204">
        <v>2888</v>
      </c>
      <c r="S37" s="207">
        <v>0</v>
      </c>
      <c r="U37">
        <f t="shared" si="56"/>
        <v>17855</v>
      </c>
      <c r="W37" s="2">
        <v>2013</v>
      </c>
      <c r="X37" s="3">
        <v>405</v>
      </c>
      <c r="Y37" s="3">
        <v>631</v>
      </c>
      <c r="Z37" s="4">
        <v>1202</v>
      </c>
      <c r="AA37" s="46">
        <v>59</v>
      </c>
      <c r="AC37" s="59">
        <v>2003</v>
      </c>
      <c r="AD37" s="59">
        <v>5492</v>
      </c>
      <c r="AE37" s="60">
        <v>0.58599999999999997</v>
      </c>
      <c r="AF37" s="61">
        <v>9.8000000000000004E-2</v>
      </c>
      <c r="AG37" s="61">
        <v>0.20300000000000001</v>
      </c>
      <c r="AH37" s="62">
        <v>0</v>
      </c>
      <c r="AI37" s="62">
        <v>0.6</v>
      </c>
      <c r="AJ37" s="63">
        <v>0.39</v>
      </c>
      <c r="AK37" s="63">
        <v>0.01</v>
      </c>
      <c r="AT37" s="66">
        <v>2003</v>
      </c>
      <c r="AU37" s="66">
        <v>10524</v>
      </c>
      <c r="AV37" s="67">
        <v>0.55000000000000004</v>
      </c>
      <c r="AW37" s="67">
        <v>0.14199999999999999</v>
      </c>
      <c r="AX37" s="66">
        <v>960</v>
      </c>
      <c r="AY37" s="68">
        <v>0</v>
      </c>
      <c r="AZ37" s="68">
        <v>0.35</v>
      </c>
      <c r="BA37" s="68">
        <v>0.64</v>
      </c>
      <c r="BB37" s="68">
        <v>0</v>
      </c>
      <c r="BC37" s="69">
        <v>0</v>
      </c>
      <c r="BF37" s="82">
        <v>1971</v>
      </c>
      <c r="BG37" s="85">
        <v>13.4</v>
      </c>
      <c r="BH37" s="85">
        <v>6.5</v>
      </c>
      <c r="BI37" s="85">
        <v>67.400000000000006</v>
      </c>
      <c r="BK37" s="85">
        <v>11</v>
      </c>
      <c r="BL37" s="85">
        <v>0.1</v>
      </c>
      <c r="BM37" s="85">
        <v>0.5</v>
      </c>
      <c r="BN37" s="85">
        <v>98.9</v>
      </c>
      <c r="BO37" s="85">
        <v>168</v>
      </c>
      <c r="BP37" s="85">
        <v>266.89999999999998</v>
      </c>
      <c r="CB37" s="134">
        <v>1971</v>
      </c>
      <c r="CC37" s="138">
        <v>43936</v>
      </c>
      <c r="CD37" s="126">
        <v>633</v>
      </c>
      <c r="CE37" s="115"/>
      <c r="CF37" s="125">
        <v>44569</v>
      </c>
      <c r="CG37" s="125">
        <v>4880</v>
      </c>
      <c r="CH37" s="126">
        <v>210</v>
      </c>
      <c r="CI37" s="125">
        <v>5090</v>
      </c>
      <c r="CJ37" s="125">
        <v>17410</v>
      </c>
      <c r="CK37" s="125">
        <v>6670</v>
      </c>
      <c r="CL37" s="125">
        <v>24080</v>
      </c>
      <c r="CM37" s="115"/>
      <c r="CN37" s="125">
        <v>8152</v>
      </c>
      <c r="CO37" s="125">
        <v>18495</v>
      </c>
      <c r="CP37" s="125">
        <v>26647</v>
      </c>
      <c r="CQ37" s="125">
        <v>2310</v>
      </c>
      <c r="CR37" s="140">
        <v>1070</v>
      </c>
      <c r="CS37" s="135">
        <v>1971</v>
      </c>
      <c r="CU37" s="74">
        <f t="shared" si="44"/>
        <v>44569</v>
      </c>
      <c r="DJ37" t="s">
        <v>400</v>
      </c>
      <c r="DK37">
        <v>0</v>
      </c>
      <c r="DL37">
        <v>0</v>
      </c>
      <c r="DM37">
        <v>0</v>
      </c>
      <c r="DN37">
        <v>0</v>
      </c>
      <c r="DO37">
        <v>0</v>
      </c>
      <c r="DP37">
        <v>0</v>
      </c>
      <c r="DQ37">
        <v>0</v>
      </c>
      <c r="DR37">
        <v>0</v>
      </c>
      <c r="DS37">
        <v>18</v>
      </c>
      <c r="DT37">
        <v>0</v>
      </c>
      <c r="DU37" s="253"/>
      <c r="DV37" s="253"/>
      <c r="DX37">
        <v>2012</v>
      </c>
      <c r="DY37" s="74">
        <v>2132</v>
      </c>
      <c r="DZ37" s="74">
        <f t="shared" ref="DZ37:EC37" si="64">DZ11/DZ24</f>
        <v>457.89473684210526</v>
      </c>
      <c r="EA37" s="74">
        <f t="shared" si="64"/>
        <v>811.94029850746267</v>
      </c>
      <c r="EB37" s="74">
        <f t="shared" si="64"/>
        <v>4535.8974358974356</v>
      </c>
      <c r="EC37" s="74">
        <f t="shared" si="64"/>
        <v>188.17204301075267</v>
      </c>
      <c r="ED37" s="74">
        <f t="shared" si="60"/>
        <v>8125.9045142577561</v>
      </c>
      <c r="EE37" s="74"/>
      <c r="EH37" s="74"/>
      <c r="EI37" s="74"/>
      <c r="EJ37" s="74"/>
      <c r="EK37" s="74"/>
      <c r="EL37" s="74"/>
      <c r="EN37" s="74"/>
      <c r="EO37" s="74"/>
      <c r="EP37" s="74"/>
      <c r="EQ37" s="74"/>
      <c r="ES37" s="74"/>
      <c r="ET37" s="74"/>
      <c r="EU37" s="74"/>
      <c r="EV37" s="74"/>
      <c r="EW37" s="74"/>
      <c r="EX37" s="74"/>
      <c r="EY37" s="74"/>
      <c r="EZ37" s="74"/>
      <c r="FA37" s="74"/>
      <c r="FG37" s="266"/>
      <c r="FH37" s="65"/>
      <c r="FI37" s="65"/>
      <c r="FJ37" s="65"/>
      <c r="HJ37" s="485" t="s">
        <v>772</v>
      </c>
      <c r="HK37" s="485"/>
      <c r="HL37" s="485"/>
      <c r="HM37" s="485"/>
      <c r="HN37" s="485"/>
      <c r="HO37" s="485"/>
      <c r="HP37" s="485"/>
      <c r="HQ37" s="485"/>
      <c r="HR37" s="485"/>
      <c r="HS37" s="485"/>
      <c r="HT37" s="485"/>
      <c r="HU37" s="485"/>
      <c r="HV37" s="485"/>
      <c r="HW37" s="485"/>
      <c r="HX37" s="485"/>
      <c r="HY37" s="87"/>
      <c r="HZ37" s="87"/>
      <c r="IA37" s="87"/>
      <c r="IC37">
        <v>2013</v>
      </c>
      <c r="ID37">
        <v>6288</v>
      </c>
      <c r="IE37" t="s">
        <v>163</v>
      </c>
      <c r="IF37" s="16">
        <v>2.4</v>
      </c>
      <c r="IG37">
        <v>0</v>
      </c>
      <c r="IH37" s="372">
        <v>0.6</v>
      </c>
      <c r="II37" s="16">
        <v>0.4</v>
      </c>
      <c r="IJ37">
        <v>0.1</v>
      </c>
      <c r="IK37">
        <v>0.7</v>
      </c>
      <c r="IL37">
        <v>0.3</v>
      </c>
      <c r="IM37">
        <v>0</v>
      </c>
      <c r="IN37">
        <v>0</v>
      </c>
      <c r="IO37">
        <v>0.1</v>
      </c>
      <c r="IP37">
        <v>0</v>
      </c>
      <c r="IQ37">
        <v>0</v>
      </c>
      <c r="IR37" s="372">
        <v>0.3</v>
      </c>
      <c r="IS37" s="16">
        <v>1</v>
      </c>
      <c r="IT37">
        <v>0.3</v>
      </c>
      <c r="IU37">
        <v>0.3</v>
      </c>
      <c r="IV37">
        <v>0.1</v>
      </c>
      <c r="IW37">
        <v>0</v>
      </c>
      <c r="IX37">
        <v>0</v>
      </c>
      <c r="IY37" s="372">
        <v>0</v>
      </c>
      <c r="IZ37">
        <v>0</v>
      </c>
      <c r="JA37">
        <v>0</v>
      </c>
      <c r="JB37">
        <v>0</v>
      </c>
      <c r="JC37">
        <v>0</v>
      </c>
      <c r="JD37">
        <v>0</v>
      </c>
      <c r="JE37">
        <v>0</v>
      </c>
      <c r="JF37">
        <v>4.5</v>
      </c>
      <c r="JG37">
        <v>29.9</v>
      </c>
      <c r="JH37">
        <v>0</v>
      </c>
      <c r="JI37">
        <v>58.9</v>
      </c>
    </row>
    <row r="38" spans="2:269" x14ac:dyDescent="0.3">
      <c r="B38" s="195">
        <v>2014</v>
      </c>
      <c r="C38" s="194">
        <v>49.8</v>
      </c>
      <c r="D38" s="452">
        <v>1.3</v>
      </c>
      <c r="E38" s="452">
        <v>2.2999999999999998</v>
      </c>
      <c r="F38" s="452">
        <v>48.2</v>
      </c>
      <c r="G38" s="453">
        <v>8.1</v>
      </c>
      <c r="H38" s="454">
        <v>15</v>
      </c>
      <c r="I38" s="453">
        <v>31.7</v>
      </c>
      <c r="J38" s="452">
        <v>5.6</v>
      </c>
      <c r="L38" s="105">
        <v>2014</v>
      </c>
      <c r="M38" s="201">
        <v>31669</v>
      </c>
      <c r="N38" s="78">
        <v>3345</v>
      </c>
      <c r="O38" s="202">
        <v>11</v>
      </c>
      <c r="P38" s="78">
        <v>17427</v>
      </c>
      <c r="Q38" s="203">
        <v>55</v>
      </c>
      <c r="R38" s="204">
        <v>4136</v>
      </c>
      <c r="S38" s="207">
        <v>0</v>
      </c>
      <c r="U38">
        <f t="shared" si="56"/>
        <v>15907</v>
      </c>
      <c r="W38" s="2">
        <v>2014</v>
      </c>
      <c r="X38" s="3">
        <v>566</v>
      </c>
      <c r="Y38" s="3">
        <v>886</v>
      </c>
      <c r="Z38" s="4">
        <v>1031</v>
      </c>
      <c r="AA38" s="46">
        <v>90</v>
      </c>
      <c r="AC38" s="59">
        <v>2004</v>
      </c>
      <c r="AD38" s="59">
        <v>8056</v>
      </c>
      <c r="AE38" s="60">
        <v>0.61399999999999999</v>
      </c>
      <c r="AF38" s="64" t="s">
        <v>77</v>
      </c>
      <c r="AG38" s="64" t="s">
        <v>77</v>
      </c>
      <c r="AH38" s="62">
        <v>0</v>
      </c>
      <c r="AI38" s="62">
        <v>0.6</v>
      </c>
      <c r="AJ38" s="63">
        <v>0.39</v>
      </c>
      <c r="AK38" s="63">
        <v>0.01</v>
      </c>
      <c r="AT38" s="66">
        <v>2004</v>
      </c>
      <c r="AU38" s="66">
        <v>9043</v>
      </c>
      <c r="AV38" s="67">
        <v>0.52900000000000003</v>
      </c>
      <c r="AW38" s="67">
        <v>0.20300000000000001</v>
      </c>
      <c r="AX38" s="66">
        <v>1220</v>
      </c>
      <c r="AY38" s="68">
        <v>0</v>
      </c>
      <c r="AZ38" s="68">
        <v>0.56000000000000005</v>
      </c>
      <c r="BA38" s="68">
        <v>0.42</v>
      </c>
      <c r="BB38" s="68">
        <v>0.01</v>
      </c>
      <c r="BC38" s="69">
        <v>0</v>
      </c>
      <c r="BF38" s="82">
        <v>1972</v>
      </c>
      <c r="BG38" s="85">
        <v>15.8</v>
      </c>
      <c r="BH38" s="85">
        <v>0.2</v>
      </c>
      <c r="BI38" s="85">
        <v>47.1</v>
      </c>
      <c r="BK38" s="85">
        <v>9.3000000000000007</v>
      </c>
      <c r="BL38" s="85">
        <v>0.1</v>
      </c>
      <c r="BM38" s="85">
        <v>0.4</v>
      </c>
      <c r="BN38" s="85">
        <v>72.900000000000006</v>
      </c>
      <c r="BO38" s="85">
        <v>280.39999999999998</v>
      </c>
      <c r="BP38" s="85">
        <v>353.3</v>
      </c>
      <c r="CB38" s="124">
        <v>1972</v>
      </c>
      <c r="CC38" s="136">
        <v>25339</v>
      </c>
      <c r="CD38" s="127">
        <v>815</v>
      </c>
      <c r="CE38" s="107"/>
      <c r="CF38" s="129">
        <v>26154</v>
      </c>
      <c r="CG38" s="129">
        <v>11614</v>
      </c>
      <c r="CH38" s="127">
        <v>212</v>
      </c>
      <c r="CI38" s="129">
        <v>11826</v>
      </c>
      <c r="CJ38" s="129">
        <v>9983</v>
      </c>
      <c r="CK38" s="129">
        <v>7157</v>
      </c>
      <c r="CL38" s="129">
        <v>17140</v>
      </c>
      <c r="CM38" s="107"/>
      <c r="CN38" s="129">
        <v>6572</v>
      </c>
      <c r="CO38" s="129">
        <v>16685</v>
      </c>
      <c r="CP38" s="129">
        <v>23257</v>
      </c>
      <c r="CQ38" s="127">
        <v>690</v>
      </c>
      <c r="CR38" s="127">
        <v>0</v>
      </c>
      <c r="CS38" s="128">
        <v>1972</v>
      </c>
      <c r="CU38" s="74">
        <f t="shared" si="44"/>
        <v>26154</v>
      </c>
      <c r="DJ38" t="s">
        <v>401</v>
      </c>
      <c r="DK38">
        <v>0</v>
      </c>
      <c r="DL38">
        <v>0</v>
      </c>
      <c r="DM38">
        <v>8</v>
      </c>
      <c r="DN38">
        <v>15</v>
      </c>
      <c r="DO38">
        <v>21</v>
      </c>
      <c r="DP38">
        <v>4</v>
      </c>
      <c r="DQ38">
        <v>9</v>
      </c>
      <c r="DR38">
        <v>15</v>
      </c>
      <c r="DS38">
        <v>397</v>
      </c>
      <c r="DT38">
        <v>71</v>
      </c>
      <c r="DU38" s="253"/>
      <c r="DV38" s="253"/>
      <c r="DX38">
        <v>2013</v>
      </c>
      <c r="DY38" s="74">
        <v>1199</v>
      </c>
      <c r="DZ38" s="74">
        <f t="shared" ref="DZ38:EC38" si="65">DZ12/DZ25</f>
        <v>437.17948717948718</v>
      </c>
      <c r="EA38" s="74">
        <f t="shared" si="65"/>
        <v>1402.2222222222222</v>
      </c>
      <c r="EB38" s="74">
        <f t="shared" si="65"/>
        <v>3642.424242424242</v>
      </c>
      <c r="EC38" s="74">
        <f t="shared" si="65"/>
        <v>62.765957446808514</v>
      </c>
      <c r="ED38" s="74">
        <f t="shared" si="60"/>
        <v>6743.5919092727599</v>
      </c>
      <c r="EE38" s="74"/>
      <c r="EH38" s="74"/>
      <c r="EI38" s="74"/>
      <c r="EJ38" s="74"/>
      <c r="EK38" s="74"/>
      <c r="EL38" s="74"/>
      <c r="EN38" s="74"/>
      <c r="EO38" s="74"/>
      <c r="EP38" s="74"/>
      <c r="EQ38" s="74"/>
      <c r="ES38" s="74"/>
      <c r="ET38" s="74"/>
      <c r="EU38" s="74"/>
      <c r="EV38" s="74"/>
      <c r="EW38" s="74"/>
      <c r="EX38" s="74"/>
      <c r="EY38" s="74"/>
      <c r="EZ38" s="74"/>
      <c r="FA38" s="74"/>
      <c r="FG38" s="266"/>
      <c r="FH38" s="65"/>
      <c r="FI38" s="65"/>
      <c r="FJ38" s="65"/>
      <c r="HK38" s="485" t="s">
        <v>750</v>
      </c>
      <c r="HL38" s="485"/>
      <c r="HN38" s="485" t="s">
        <v>751</v>
      </c>
      <c r="HO38" s="485"/>
      <c r="HQ38" s="485" t="s">
        <v>752</v>
      </c>
      <c r="HR38" s="485"/>
      <c r="HT38" s="485" t="s">
        <v>531</v>
      </c>
      <c r="HU38" s="485"/>
      <c r="HW38" s="485" t="s">
        <v>753</v>
      </c>
      <c r="HX38" s="485"/>
      <c r="HY38" s="87"/>
      <c r="HZ38" s="87"/>
      <c r="IA38" s="87"/>
      <c r="IC38">
        <v>2014</v>
      </c>
      <c r="ID38">
        <v>14506</v>
      </c>
      <c r="IE38" t="s">
        <v>163</v>
      </c>
      <c r="IF38" s="16">
        <v>4.5999999999999996</v>
      </c>
      <c r="IG38">
        <v>0.2</v>
      </c>
      <c r="IH38" s="372">
        <v>0.2</v>
      </c>
      <c r="II38" s="16">
        <v>0.7</v>
      </c>
      <c r="IJ38">
        <v>0.1</v>
      </c>
      <c r="IK38">
        <v>3</v>
      </c>
      <c r="IL38">
        <v>0</v>
      </c>
      <c r="IM38">
        <v>0</v>
      </c>
      <c r="IN38">
        <v>0</v>
      </c>
      <c r="IO38">
        <v>0.1</v>
      </c>
      <c r="IP38">
        <v>0</v>
      </c>
      <c r="IQ38">
        <v>0</v>
      </c>
      <c r="IR38" s="372">
        <v>0</v>
      </c>
      <c r="IS38" s="16">
        <v>1.6</v>
      </c>
      <c r="IT38">
        <v>0.4</v>
      </c>
      <c r="IU38">
        <v>0.4</v>
      </c>
      <c r="IV38">
        <v>0</v>
      </c>
      <c r="IW38">
        <v>0</v>
      </c>
      <c r="IX38">
        <v>0</v>
      </c>
      <c r="IY38" s="372">
        <v>0</v>
      </c>
      <c r="IZ38">
        <v>0</v>
      </c>
      <c r="JA38">
        <v>0</v>
      </c>
      <c r="JB38">
        <v>0</v>
      </c>
      <c r="JC38">
        <v>0</v>
      </c>
      <c r="JD38">
        <v>0</v>
      </c>
      <c r="JE38">
        <v>0</v>
      </c>
      <c r="JF38">
        <v>3</v>
      </c>
      <c r="JG38">
        <v>21.4</v>
      </c>
      <c r="JH38">
        <v>0</v>
      </c>
      <c r="JI38">
        <v>64.3</v>
      </c>
    </row>
    <row r="39" spans="2:269" ht="15" thickBot="1" x14ac:dyDescent="0.35">
      <c r="B39" s="195">
        <v>2015</v>
      </c>
      <c r="C39" s="194">
        <v>84.5</v>
      </c>
      <c r="D39" s="452">
        <v>2.6</v>
      </c>
      <c r="E39" s="452">
        <v>3.5</v>
      </c>
      <c r="F39" s="452">
        <v>81</v>
      </c>
      <c r="G39" s="453">
        <v>13.6</v>
      </c>
      <c r="H39" s="454">
        <v>16</v>
      </c>
      <c r="I39" s="453">
        <v>53.1</v>
      </c>
      <c r="J39" s="455">
        <v>8.5</v>
      </c>
      <c r="L39" s="105">
        <v>2015</v>
      </c>
      <c r="M39" s="201">
        <v>53088</v>
      </c>
      <c r="N39" s="78">
        <v>6955</v>
      </c>
      <c r="O39" s="202">
        <v>13</v>
      </c>
      <c r="P39" s="78">
        <v>26640</v>
      </c>
      <c r="Q39" s="203">
        <v>50</v>
      </c>
      <c r="R39" s="204">
        <v>5354</v>
      </c>
      <c r="S39" s="207">
        <v>0</v>
      </c>
      <c r="U39">
        <f>D39*1000+E39*1000+G39*1000+N44</f>
        <v>19700</v>
      </c>
      <c r="W39" s="2">
        <v>2015</v>
      </c>
      <c r="X39" s="3">
        <v>431</v>
      </c>
      <c r="Y39" s="3">
        <v>629</v>
      </c>
      <c r="Z39" s="4">
        <v>1571</v>
      </c>
      <c r="AA39" s="46">
        <v>139</v>
      </c>
      <c r="AC39" s="59">
        <v>2005</v>
      </c>
      <c r="AD39" s="59">
        <v>4155</v>
      </c>
      <c r="AE39" s="60">
        <v>0.52600000000000002</v>
      </c>
      <c r="AF39" s="64" t="s">
        <v>77</v>
      </c>
      <c r="AG39" s="64" t="s">
        <v>77</v>
      </c>
      <c r="AH39" s="62">
        <v>0</v>
      </c>
      <c r="AI39" s="62">
        <v>0.6</v>
      </c>
      <c r="AJ39" s="63">
        <v>0.39</v>
      </c>
      <c r="AK39" s="63">
        <v>0.01</v>
      </c>
      <c r="AT39" s="66">
        <v>2005</v>
      </c>
      <c r="AU39" s="66">
        <v>3061</v>
      </c>
      <c r="AV39" s="67">
        <v>0.83199999999999996</v>
      </c>
      <c r="AW39" s="67">
        <v>0.20300000000000001</v>
      </c>
      <c r="AX39" s="66">
        <v>649</v>
      </c>
      <c r="AY39" s="68">
        <v>0</v>
      </c>
      <c r="AZ39" s="68">
        <v>0.56000000000000005</v>
      </c>
      <c r="BA39" s="68">
        <v>0.42</v>
      </c>
      <c r="BB39" s="68">
        <v>0.01</v>
      </c>
      <c r="BC39" s="69">
        <v>0</v>
      </c>
      <c r="BF39" s="82">
        <v>1973</v>
      </c>
      <c r="BG39" s="85">
        <v>17.2</v>
      </c>
      <c r="BH39" s="85">
        <v>7.4</v>
      </c>
      <c r="BI39" s="85">
        <v>54.5</v>
      </c>
      <c r="BK39" s="85">
        <v>13.8</v>
      </c>
      <c r="BL39" s="85">
        <v>0.1</v>
      </c>
      <c r="BM39" s="85">
        <v>0.2</v>
      </c>
      <c r="BN39" s="85">
        <v>93.2</v>
      </c>
      <c r="BO39" s="85">
        <v>232.9</v>
      </c>
      <c r="BP39" s="85">
        <v>326.10000000000002</v>
      </c>
      <c r="CB39" s="124">
        <v>1973</v>
      </c>
      <c r="CC39" s="136">
        <v>40495</v>
      </c>
      <c r="CD39" s="129">
        <v>1465</v>
      </c>
      <c r="CE39" s="107"/>
      <c r="CF39" s="129">
        <v>41960</v>
      </c>
      <c r="CG39" s="129">
        <v>21861</v>
      </c>
      <c r="CH39" s="127">
        <v>376</v>
      </c>
      <c r="CI39" s="129">
        <v>22237</v>
      </c>
      <c r="CJ39" s="129">
        <v>5174</v>
      </c>
      <c r="CK39" s="129">
        <v>1583</v>
      </c>
      <c r="CL39" s="129">
        <v>6757</v>
      </c>
      <c r="CM39" s="107"/>
      <c r="CN39" s="129">
        <v>6389</v>
      </c>
      <c r="CO39" s="129">
        <v>11511</v>
      </c>
      <c r="CP39" s="129">
        <v>17900</v>
      </c>
      <c r="CQ39" s="129">
        <v>1686</v>
      </c>
      <c r="CR39" s="141">
        <v>26</v>
      </c>
      <c r="CS39" s="128">
        <v>1973</v>
      </c>
      <c r="CU39" s="74">
        <f t="shared" si="44"/>
        <v>41960</v>
      </c>
      <c r="DH39" s="253"/>
      <c r="DJ39" s="253" t="s">
        <v>5</v>
      </c>
      <c r="DK39" s="253">
        <f>SUM(DK33:DK38)</f>
        <v>757</v>
      </c>
      <c r="DL39" s="253">
        <f t="shared" ref="DL39:DT39" si="66">SUM(DL33:DL38)</f>
        <v>16</v>
      </c>
      <c r="DM39" s="253">
        <f t="shared" si="66"/>
        <v>839</v>
      </c>
      <c r="DN39" s="253">
        <f t="shared" si="66"/>
        <v>3892</v>
      </c>
      <c r="DO39" s="253">
        <f t="shared" si="66"/>
        <v>870</v>
      </c>
      <c r="DP39" s="253">
        <f t="shared" si="66"/>
        <v>846</v>
      </c>
      <c r="DQ39" s="253">
        <f t="shared" si="66"/>
        <v>555</v>
      </c>
      <c r="DR39" s="253">
        <f t="shared" si="66"/>
        <v>531</v>
      </c>
      <c r="DS39" s="253">
        <f t="shared" si="66"/>
        <v>2333</v>
      </c>
      <c r="DT39" s="253">
        <f t="shared" si="66"/>
        <v>849</v>
      </c>
      <c r="DU39" s="253">
        <f>SUM(DK39:DT39)</f>
        <v>11488</v>
      </c>
      <c r="DV39" s="253">
        <f>+DU39/10</f>
        <v>1148.8</v>
      </c>
      <c r="DX39">
        <v>2014</v>
      </c>
      <c r="DY39" s="74">
        <v>1301</v>
      </c>
      <c r="DZ39" s="74">
        <f t="shared" ref="DZ39:EC39" si="67">DZ13/DZ26</f>
        <v>481.57894736842104</v>
      </c>
      <c r="EA39" s="74">
        <f t="shared" si="67"/>
        <v>2109.5238095238096</v>
      </c>
      <c r="EB39" s="74">
        <f t="shared" si="67"/>
        <v>1968.627450980392</v>
      </c>
      <c r="EC39" s="74">
        <f t="shared" si="67"/>
        <v>104.59770114942529</v>
      </c>
      <c r="ED39" s="74">
        <f t="shared" si="60"/>
        <v>5965.3279090220476</v>
      </c>
      <c r="EE39" s="74"/>
      <c r="EH39" s="74"/>
      <c r="EI39" s="74"/>
      <c r="EJ39" s="74"/>
      <c r="EK39" s="74"/>
      <c r="EL39" s="74"/>
      <c r="EN39" s="74"/>
      <c r="EO39" s="74"/>
      <c r="EP39" s="74"/>
      <c r="EQ39" s="74"/>
      <c r="ES39" s="74"/>
      <c r="ET39" s="74"/>
      <c r="EU39" s="74"/>
      <c r="EV39" s="74"/>
      <c r="EW39" s="74"/>
      <c r="EX39" s="74"/>
      <c r="EY39" s="74"/>
      <c r="EZ39" s="74"/>
      <c r="FA39" s="74"/>
      <c r="HJ39" s="354" t="s">
        <v>3</v>
      </c>
      <c r="HK39" s="354" t="s">
        <v>6</v>
      </c>
      <c r="HL39" s="354" t="s">
        <v>418</v>
      </c>
      <c r="HM39" s="26"/>
      <c r="HN39" s="354" t="s">
        <v>6</v>
      </c>
      <c r="HO39" s="354" t="s">
        <v>418</v>
      </c>
      <c r="HP39" s="26"/>
      <c r="HQ39" s="354" t="s">
        <v>6</v>
      </c>
      <c r="HR39" s="354" t="s">
        <v>418</v>
      </c>
      <c r="HS39" s="26"/>
      <c r="HT39" s="354" t="s">
        <v>6</v>
      </c>
      <c r="HU39" s="354" t="s">
        <v>418</v>
      </c>
      <c r="HV39" s="26"/>
      <c r="HW39" s="354" t="s">
        <v>6</v>
      </c>
      <c r="HX39" s="354" t="s">
        <v>418</v>
      </c>
      <c r="HY39" s="198"/>
      <c r="HZ39" s="198"/>
      <c r="IA39" s="198"/>
      <c r="IC39">
        <v>2015</v>
      </c>
      <c r="ID39">
        <v>16842</v>
      </c>
      <c r="IE39" t="s">
        <v>163</v>
      </c>
      <c r="IF39" s="16">
        <v>5.2</v>
      </c>
      <c r="IG39">
        <v>0.1</v>
      </c>
      <c r="IH39" s="372">
        <v>0.1</v>
      </c>
      <c r="II39" s="16">
        <v>0.6</v>
      </c>
      <c r="IJ39">
        <v>0</v>
      </c>
      <c r="IK39">
        <v>0.4</v>
      </c>
      <c r="IL39">
        <v>0.1</v>
      </c>
      <c r="IM39">
        <v>0</v>
      </c>
      <c r="IN39">
        <v>0</v>
      </c>
      <c r="IO39">
        <v>0</v>
      </c>
      <c r="IP39">
        <v>0</v>
      </c>
      <c r="IQ39">
        <v>0</v>
      </c>
      <c r="IR39" s="372">
        <v>0.1</v>
      </c>
      <c r="IS39" s="16">
        <v>4</v>
      </c>
      <c r="IT39">
        <v>0.5</v>
      </c>
      <c r="IU39">
        <v>1.3</v>
      </c>
      <c r="IV39">
        <v>0</v>
      </c>
      <c r="IW39">
        <v>0</v>
      </c>
      <c r="IX39">
        <v>0</v>
      </c>
      <c r="IY39" s="372">
        <v>0.1</v>
      </c>
      <c r="IZ39">
        <v>0</v>
      </c>
      <c r="JA39">
        <v>0</v>
      </c>
      <c r="JB39">
        <v>0</v>
      </c>
      <c r="JC39">
        <v>0</v>
      </c>
      <c r="JD39">
        <v>0</v>
      </c>
      <c r="JE39">
        <v>0</v>
      </c>
      <c r="JF39">
        <v>4.9000000000000004</v>
      </c>
      <c r="JG39">
        <v>24.9</v>
      </c>
      <c r="JH39">
        <v>0.5</v>
      </c>
      <c r="JI39">
        <v>57</v>
      </c>
    </row>
    <row r="40" spans="2:269" ht="15" thickBot="1" x14ac:dyDescent="0.35">
      <c r="B40" s="195">
        <v>2016</v>
      </c>
      <c r="C40" s="194">
        <v>47.2</v>
      </c>
      <c r="D40" s="452">
        <v>1</v>
      </c>
      <c r="E40" s="452">
        <v>1.4</v>
      </c>
      <c r="F40" s="452">
        <v>47.4</v>
      </c>
      <c r="G40" s="453">
        <v>6</v>
      </c>
      <c r="H40" s="454">
        <v>12</v>
      </c>
      <c r="I40" s="453">
        <v>32.5</v>
      </c>
      <c r="J40" s="452">
        <v>5.8</v>
      </c>
      <c r="L40" s="208">
        <v>2016</v>
      </c>
      <c r="M40" s="209">
        <v>32478</v>
      </c>
      <c r="N40" s="215">
        <v>4207</v>
      </c>
      <c r="O40" s="210">
        <v>13</v>
      </c>
      <c r="P40" s="215">
        <v>12757</v>
      </c>
      <c r="Q40" s="211">
        <v>39</v>
      </c>
      <c r="R40" s="212">
        <v>1696</v>
      </c>
      <c r="S40" s="213">
        <v>0</v>
      </c>
      <c r="U40">
        <f>D40*1000+E40*1000+G40*1000+N45</f>
        <v>12582</v>
      </c>
      <c r="W40" s="1" t="s">
        <v>46</v>
      </c>
      <c r="X40" s="47">
        <v>421</v>
      </c>
      <c r="Y40" s="47">
        <v>632</v>
      </c>
      <c r="Z40" s="48">
        <v>1491</v>
      </c>
      <c r="AA40" s="49">
        <v>161</v>
      </c>
      <c r="AC40" s="59">
        <v>2006</v>
      </c>
      <c r="AD40" s="59">
        <v>1520</v>
      </c>
      <c r="AE40" s="60">
        <v>0.64100000000000001</v>
      </c>
      <c r="AF40" s="64" t="s">
        <v>77</v>
      </c>
      <c r="AG40" s="64" t="s">
        <v>77</v>
      </c>
      <c r="AH40" s="62">
        <v>0</v>
      </c>
      <c r="AI40" s="62">
        <v>0.6</v>
      </c>
      <c r="AJ40" s="63">
        <v>0.39</v>
      </c>
      <c r="AK40" s="63">
        <v>0.01</v>
      </c>
      <c r="AT40" s="70" t="s">
        <v>79</v>
      </c>
      <c r="AU40" s="55"/>
      <c r="AV40" s="55"/>
      <c r="AW40" s="55"/>
      <c r="AX40" s="55"/>
      <c r="AY40" s="55"/>
      <c r="AZ40" s="55"/>
      <c r="BA40" s="55"/>
      <c r="BB40" s="55"/>
      <c r="BC40" s="55"/>
      <c r="BF40" s="82">
        <v>1974</v>
      </c>
      <c r="BG40" s="85">
        <v>13.3</v>
      </c>
      <c r="BH40" s="85">
        <v>2.2000000000000002</v>
      </c>
      <c r="BI40" s="85">
        <v>71.8</v>
      </c>
      <c r="BK40" s="85">
        <v>27.7</v>
      </c>
      <c r="BL40" s="85">
        <v>0.1</v>
      </c>
      <c r="BM40" s="85">
        <v>0.5</v>
      </c>
      <c r="BN40" s="85">
        <v>115.6</v>
      </c>
      <c r="BO40" s="85">
        <v>108.5</v>
      </c>
      <c r="BP40" s="85">
        <v>224.1</v>
      </c>
      <c r="CB40" s="124">
        <v>1974</v>
      </c>
      <c r="CC40" s="136">
        <v>44090</v>
      </c>
      <c r="CD40" s="127">
        <v>440</v>
      </c>
      <c r="CE40" s="107"/>
      <c r="CF40" s="129">
        <v>44530</v>
      </c>
      <c r="CG40" s="129">
        <v>33924</v>
      </c>
      <c r="CH40" s="127">
        <v>265</v>
      </c>
      <c r="CI40" s="129">
        <v>34189</v>
      </c>
      <c r="CJ40" s="129">
        <v>1501</v>
      </c>
      <c r="CK40" s="129">
        <v>3941</v>
      </c>
      <c r="CL40" s="129">
        <v>5442</v>
      </c>
      <c r="CM40" s="107"/>
      <c r="CN40" s="129">
        <v>5733</v>
      </c>
      <c r="CO40" s="129">
        <v>9091</v>
      </c>
      <c r="CP40" s="129">
        <v>14824</v>
      </c>
      <c r="CQ40" s="129">
        <v>4858</v>
      </c>
      <c r="CR40" s="141">
        <v>21</v>
      </c>
      <c r="CS40" s="128">
        <v>1974</v>
      </c>
      <c r="CU40" s="74">
        <f t="shared" si="44"/>
        <v>44530</v>
      </c>
      <c r="DX40">
        <v>2015</v>
      </c>
      <c r="DY40" s="74">
        <v>1618</v>
      </c>
      <c r="DZ40" s="74">
        <f t="shared" ref="DZ40:EC40" si="68">DZ14/DZ27</f>
        <v>494.52054794520546</v>
      </c>
      <c r="EA40" s="74">
        <f t="shared" si="68"/>
        <v>1066.1016949152543</v>
      </c>
      <c r="EB40" s="74">
        <f t="shared" si="68"/>
        <v>3654.5454545454545</v>
      </c>
      <c r="EC40" s="74">
        <f t="shared" si="68"/>
        <v>157.95454545454547</v>
      </c>
      <c r="ED40" s="74">
        <f t="shared" si="60"/>
        <v>6991.1222428604588</v>
      </c>
      <c r="EE40" s="74"/>
      <c r="EH40" s="74"/>
      <c r="EI40" s="74"/>
      <c r="EJ40" s="74"/>
      <c r="EK40" s="74"/>
      <c r="EL40" s="74"/>
      <c r="EN40" s="74"/>
      <c r="EO40" s="74"/>
      <c r="EP40" s="74"/>
      <c r="EQ40" s="74"/>
      <c r="ES40" s="74"/>
      <c r="ET40" s="74"/>
      <c r="EU40" s="74"/>
      <c r="EV40" s="74"/>
      <c r="EW40" s="74"/>
      <c r="EX40" s="74"/>
      <c r="EY40" s="74"/>
      <c r="EZ40" s="74"/>
      <c r="FA40" s="74"/>
      <c r="FD40" s="65"/>
      <c r="FE40" s="65"/>
      <c r="FF40" s="65"/>
      <c r="FG40" s="266"/>
      <c r="FH40" s="65"/>
      <c r="FI40" s="65"/>
      <c r="HJ40">
        <v>2007</v>
      </c>
      <c r="HK40" s="218">
        <f>HK6/IK53</f>
        <v>5.6928064549521297E-2</v>
      </c>
      <c r="HL40" s="218">
        <f>HL6/IS53</f>
        <v>1.0857083445288695E-2</v>
      </c>
      <c r="HM40" s="218"/>
      <c r="HN40" s="218">
        <f>HN6/IK53</f>
        <v>5.6026179705481833E-3</v>
      </c>
      <c r="HO40" s="218">
        <f>HO6/IS53</f>
        <v>9.9999452785553763E-4</v>
      </c>
      <c r="HP40" s="218"/>
      <c r="HQ40" s="218">
        <f>HQ6/IK53</f>
        <v>0.1470892191097089</v>
      </c>
      <c r="HR40" s="218">
        <f>HR6/IS53</f>
        <v>3.4428383030454937E-2</v>
      </c>
      <c r="HS40" s="218"/>
      <c r="HT40" s="218">
        <f>HT6/IK53</f>
        <v>4.2470577201131107E-2</v>
      </c>
      <c r="HU40" s="218">
        <f>HU6/IS53</f>
        <v>6.8571053338665443E-3</v>
      </c>
      <c r="HV40" s="218"/>
      <c r="HW40" s="218">
        <f>HW6/IK53</f>
        <v>3.2577173760455776E-2</v>
      </c>
      <c r="HX40" s="218">
        <f>HX6/IS53</f>
        <v>1.0999939806410914E-2</v>
      </c>
      <c r="HY40" s="218"/>
      <c r="HZ40" s="218"/>
      <c r="IA40" s="218"/>
      <c r="IC40">
        <v>2016</v>
      </c>
      <c r="ID40" t="s">
        <v>164</v>
      </c>
      <c r="IE40" t="s">
        <v>81</v>
      </c>
      <c r="IF40" s="39" t="s">
        <v>81</v>
      </c>
      <c r="IG40" s="26" t="s">
        <v>81</v>
      </c>
      <c r="IH40" s="373" t="s">
        <v>81</v>
      </c>
      <c r="II40" s="39" t="s">
        <v>81</v>
      </c>
      <c r="IJ40" s="26" t="s">
        <v>81</v>
      </c>
      <c r="IK40" s="26" t="s">
        <v>81</v>
      </c>
      <c r="IL40" s="26" t="s">
        <v>81</v>
      </c>
      <c r="IM40" s="26" t="s">
        <v>81</v>
      </c>
      <c r="IN40" s="26" t="s">
        <v>81</v>
      </c>
      <c r="IO40" s="26" t="s">
        <v>81</v>
      </c>
      <c r="IP40" s="26" t="s">
        <v>81</v>
      </c>
      <c r="IQ40" s="26" t="s">
        <v>81</v>
      </c>
      <c r="IR40" s="373" t="s">
        <v>81</v>
      </c>
      <c r="IS40" s="39" t="s">
        <v>81</v>
      </c>
      <c r="IT40" s="26" t="s">
        <v>81</v>
      </c>
      <c r="IU40" s="26" t="s">
        <v>81</v>
      </c>
      <c r="IV40" s="26" t="s">
        <v>81</v>
      </c>
      <c r="IW40" s="26" t="s">
        <v>81</v>
      </c>
      <c r="IX40" s="26" t="s">
        <v>81</v>
      </c>
      <c r="IY40" s="373" t="s">
        <v>81</v>
      </c>
      <c r="IZ40" t="s">
        <v>81</v>
      </c>
      <c r="JA40" t="s">
        <v>81</v>
      </c>
      <c r="JB40" t="s">
        <v>81</v>
      </c>
      <c r="JC40" t="s">
        <v>81</v>
      </c>
      <c r="JD40" t="s">
        <v>81</v>
      </c>
      <c r="JE40" t="s">
        <v>81</v>
      </c>
      <c r="JF40" t="s">
        <v>81</v>
      </c>
      <c r="JG40" t="s">
        <v>81</v>
      </c>
      <c r="JH40" t="s">
        <v>165</v>
      </c>
      <c r="JI40" t="s">
        <v>165</v>
      </c>
    </row>
    <row r="41" spans="2:269" x14ac:dyDescent="0.3">
      <c r="B41" s="195">
        <v>2017</v>
      </c>
      <c r="C41" s="194">
        <v>50.8</v>
      </c>
      <c r="D41" s="194"/>
      <c r="E41" s="194"/>
      <c r="F41" s="194"/>
      <c r="G41" s="193"/>
      <c r="H41" s="192"/>
      <c r="I41" s="193"/>
      <c r="J41" s="194"/>
      <c r="L41" s="441"/>
      <c r="M41" s="442"/>
      <c r="N41" s="443"/>
      <c r="O41" s="444"/>
      <c r="P41" s="443"/>
      <c r="Q41" s="445"/>
      <c r="R41" s="446"/>
      <c r="S41" s="447"/>
      <c r="W41" s="448"/>
      <c r="X41" s="449"/>
      <c r="Y41" s="449"/>
      <c r="Z41" s="450"/>
      <c r="AA41" s="449"/>
      <c r="AC41" s="59"/>
      <c r="AD41" s="59"/>
      <c r="AE41" s="60"/>
      <c r="AF41" s="64"/>
      <c r="AG41" s="64"/>
      <c r="AH41" s="62"/>
      <c r="AI41" s="62"/>
      <c r="AJ41" s="63"/>
      <c r="AK41" s="63"/>
      <c r="AT41" s="70"/>
      <c r="AU41" s="55"/>
      <c r="AV41" s="55"/>
      <c r="AW41" s="55"/>
      <c r="AX41" s="55"/>
      <c r="AY41" s="55"/>
      <c r="AZ41" s="55"/>
      <c r="BA41" s="55"/>
      <c r="BB41" s="55"/>
      <c r="BC41" s="55"/>
      <c r="BF41" s="440"/>
      <c r="BG41" s="85"/>
      <c r="BH41" s="85"/>
      <c r="BI41" s="85"/>
      <c r="BK41" s="85"/>
      <c r="BL41" s="85"/>
      <c r="BM41" s="85"/>
      <c r="BN41" s="85"/>
      <c r="BO41" s="85"/>
      <c r="BP41" s="85"/>
      <c r="CB41" s="124"/>
      <c r="CC41" s="136"/>
      <c r="CD41" s="127"/>
      <c r="CE41" s="107"/>
      <c r="CF41" s="129"/>
      <c r="CG41" s="129"/>
      <c r="CH41" s="127"/>
      <c r="CI41" s="129"/>
      <c r="CJ41" s="129"/>
      <c r="CK41" s="129"/>
      <c r="CL41" s="129"/>
      <c r="CM41" s="107"/>
      <c r="CN41" s="129"/>
      <c r="CO41" s="129"/>
      <c r="CP41" s="129"/>
      <c r="CQ41" s="129"/>
      <c r="CR41" s="141"/>
      <c r="CS41" s="128"/>
      <c r="CU41" s="74"/>
      <c r="DY41" s="74"/>
      <c r="DZ41" s="74"/>
      <c r="EA41" s="74"/>
      <c r="EB41" s="74"/>
      <c r="EC41" s="74"/>
      <c r="ED41" s="74"/>
      <c r="EE41" s="74"/>
      <c r="EH41" s="74"/>
      <c r="EI41" s="74"/>
      <c r="EJ41" s="74"/>
      <c r="EK41" s="74"/>
      <c r="EL41" s="74"/>
      <c r="EN41" s="74"/>
      <c r="EO41" s="74"/>
      <c r="EP41" s="74"/>
      <c r="EQ41" s="74"/>
      <c r="ES41" s="74"/>
      <c r="ET41" s="74"/>
      <c r="EU41" s="74"/>
      <c r="EV41" s="74"/>
      <c r="EW41" s="74"/>
      <c r="EX41" s="74"/>
      <c r="EY41" s="74"/>
      <c r="EZ41" s="74"/>
      <c r="FA41" s="74"/>
      <c r="FD41" s="65"/>
      <c r="FE41" s="65"/>
      <c r="FF41" s="65"/>
      <c r="FG41" s="266"/>
      <c r="FH41" s="65"/>
      <c r="FI41" s="65"/>
      <c r="HK41" s="218"/>
      <c r="HL41" s="218"/>
      <c r="HM41" s="218"/>
      <c r="HN41" s="218"/>
      <c r="HO41" s="218"/>
      <c r="HP41" s="218"/>
      <c r="HQ41" s="218"/>
      <c r="HR41" s="218"/>
      <c r="HS41" s="218"/>
      <c r="HT41" s="218"/>
      <c r="HU41" s="218"/>
      <c r="HV41" s="218"/>
      <c r="HW41" s="218"/>
      <c r="HX41" s="218"/>
      <c r="HY41" s="218"/>
      <c r="HZ41" s="218"/>
      <c r="IA41" s="218"/>
      <c r="IF41" s="451"/>
      <c r="IG41" s="451"/>
      <c r="IH41" s="451"/>
      <c r="II41" s="451"/>
      <c r="IJ41" s="451"/>
      <c r="IK41" s="451"/>
      <c r="IL41" s="451"/>
      <c r="IM41" s="451"/>
      <c r="IN41" s="451"/>
      <c r="IO41" s="451"/>
      <c r="IP41" s="451"/>
      <c r="IQ41" s="451"/>
      <c r="IR41" s="451"/>
      <c r="IS41" s="451"/>
      <c r="IT41" s="451"/>
      <c r="IU41" s="451"/>
      <c r="IV41" s="451"/>
      <c r="IW41" s="451"/>
      <c r="IX41" s="451"/>
      <c r="IY41" s="451"/>
    </row>
    <row r="42" spans="2:269" x14ac:dyDescent="0.3">
      <c r="B42" s="195">
        <v>2018</v>
      </c>
      <c r="C42" s="194">
        <v>37.4</v>
      </c>
      <c r="D42" s="194"/>
      <c r="E42" s="194"/>
      <c r="F42" s="194"/>
      <c r="G42" s="193"/>
      <c r="H42" s="192"/>
      <c r="I42" s="193"/>
      <c r="J42" s="194"/>
      <c r="L42" s="441"/>
      <c r="M42" s="442"/>
      <c r="N42" s="443"/>
      <c r="O42" s="444"/>
      <c r="P42" s="443"/>
      <c r="Q42" s="445"/>
      <c r="R42" s="446"/>
      <c r="S42" s="447"/>
      <c r="W42" s="448"/>
      <c r="X42" s="449"/>
      <c r="Y42" s="449"/>
      <c r="Z42" s="450"/>
      <c r="AA42" s="449"/>
      <c r="AC42" s="59"/>
      <c r="AD42" s="59"/>
      <c r="AE42" s="60"/>
      <c r="AF42" s="64"/>
      <c r="AG42" s="64"/>
      <c r="AH42" s="62"/>
      <c r="AI42" s="62"/>
      <c r="AJ42" s="63"/>
      <c r="AK42" s="63"/>
      <c r="AT42" s="70"/>
      <c r="AU42" s="55"/>
      <c r="AV42" s="55"/>
      <c r="AW42" s="55"/>
      <c r="AX42" s="55"/>
      <c r="AY42" s="55"/>
      <c r="AZ42" s="55"/>
      <c r="BA42" s="55"/>
      <c r="BB42" s="55"/>
      <c r="BC42" s="55"/>
      <c r="BF42" s="440"/>
      <c r="BG42" s="85"/>
      <c r="BH42" s="85"/>
      <c r="BI42" s="85"/>
      <c r="BK42" s="85"/>
      <c r="BL42" s="85"/>
      <c r="BM42" s="85"/>
      <c r="BN42" s="85"/>
      <c r="BO42" s="85"/>
      <c r="BP42" s="85"/>
      <c r="CB42" s="124"/>
      <c r="CC42" s="136"/>
      <c r="CD42" s="127"/>
      <c r="CE42" s="107"/>
      <c r="CF42" s="129"/>
      <c r="CG42" s="129"/>
      <c r="CH42" s="127"/>
      <c r="CI42" s="129"/>
      <c r="CJ42" s="129"/>
      <c r="CK42" s="129"/>
      <c r="CL42" s="129"/>
      <c r="CM42" s="107"/>
      <c r="CN42" s="129"/>
      <c r="CO42" s="129"/>
      <c r="CP42" s="129"/>
      <c r="CQ42" s="129"/>
      <c r="CR42" s="141"/>
      <c r="CS42" s="128"/>
      <c r="CU42" s="74"/>
      <c r="DY42" s="74"/>
      <c r="DZ42" s="74"/>
      <c r="EA42" s="74"/>
      <c r="EB42" s="74"/>
      <c r="EC42" s="74"/>
      <c r="ED42" s="74"/>
      <c r="EE42" s="74"/>
      <c r="EH42" s="74"/>
      <c r="EI42" s="74"/>
      <c r="EJ42" s="74"/>
      <c r="EK42" s="74"/>
      <c r="EL42" s="74"/>
      <c r="EN42" s="74"/>
      <c r="EO42" s="74"/>
      <c r="EP42" s="74"/>
      <c r="EQ42" s="74"/>
      <c r="ES42" s="74"/>
      <c r="ET42" s="74"/>
      <c r="EU42" s="74"/>
      <c r="EV42" s="74"/>
      <c r="EW42" s="74"/>
      <c r="EX42" s="74"/>
      <c r="EY42" s="74"/>
      <c r="EZ42" s="74"/>
      <c r="FA42" s="74"/>
      <c r="FD42" s="65"/>
      <c r="FE42" s="65"/>
      <c r="FF42" s="65"/>
      <c r="FG42" s="266"/>
      <c r="FH42" s="65"/>
      <c r="FI42" s="65"/>
      <c r="HK42" s="218"/>
      <c r="HL42" s="218"/>
      <c r="HM42" s="218"/>
      <c r="HN42" s="218"/>
      <c r="HO42" s="218"/>
      <c r="HP42" s="218"/>
      <c r="HQ42" s="218"/>
      <c r="HR42" s="218"/>
      <c r="HS42" s="218"/>
      <c r="HT42" s="218"/>
      <c r="HU42" s="218"/>
      <c r="HV42" s="218"/>
      <c r="HW42" s="218"/>
      <c r="HX42" s="218"/>
      <c r="HY42" s="218"/>
      <c r="HZ42" s="218"/>
      <c r="IA42" s="218"/>
      <c r="IF42" s="451"/>
      <c r="IG42" s="451"/>
      <c r="IH42" s="451"/>
      <c r="II42" s="451"/>
      <c r="IJ42" s="451"/>
      <c r="IK42" s="451"/>
      <c r="IL42" s="451"/>
      <c r="IM42" s="451"/>
      <c r="IN42" s="451"/>
      <c r="IO42" s="451"/>
      <c r="IP42" s="451"/>
      <c r="IQ42" s="451"/>
      <c r="IR42" s="451"/>
      <c r="IS42" s="451"/>
      <c r="IT42" s="451"/>
      <c r="IU42" s="451"/>
      <c r="IV42" s="451"/>
      <c r="IW42" s="451"/>
      <c r="IX42" s="451"/>
      <c r="IY42" s="451"/>
    </row>
    <row r="43" spans="2:269" x14ac:dyDescent="0.3">
      <c r="B43" s="195">
        <v>2019</v>
      </c>
      <c r="C43" s="194">
        <v>27.3</v>
      </c>
      <c r="D43" s="194"/>
      <c r="E43" s="194"/>
      <c r="F43" s="194"/>
      <c r="G43" s="193"/>
      <c r="H43" s="192"/>
      <c r="I43" s="193"/>
      <c r="J43" s="194"/>
      <c r="L43" s="441"/>
      <c r="M43" s="442"/>
      <c r="N43" s="443"/>
      <c r="O43" s="444"/>
      <c r="P43" s="443"/>
      <c r="Q43" s="445"/>
      <c r="R43" s="446"/>
      <c r="S43" s="447"/>
      <c r="W43" s="448"/>
      <c r="X43" s="449"/>
      <c r="Y43" s="449"/>
      <c r="Z43" s="450"/>
      <c r="AA43" s="449"/>
      <c r="AC43" s="59"/>
      <c r="AD43" s="59"/>
      <c r="AE43" s="60"/>
      <c r="AF43" s="64"/>
      <c r="AG43" s="64"/>
      <c r="AH43" s="62"/>
      <c r="AI43" s="62"/>
      <c r="AJ43" s="63"/>
      <c r="AK43" s="63"/>
      <c r="AT43" s="70"/>
      <c r="AU43" s="55"/>
      <c r="AV43" s="55"/>
      <c r="AW43" s="55"/>
      <c r="AX43" s="55"/>
      <c r="AY43" s="55"/>
      <c r="AZ43" s="55"/>
      <c r="BA43" s="55"/>
      <c r="BB43" s="55"/>
      <c r="BC43" s="55"/>
      <c r="BF43" s="440"/>
      <c r="BG43" s="85"/>
      <c r="BH43" s="85"/>
      <c r="BI43" s="85"/>
      <c r="BK43" s="85"/>
      <c r="BL43" s="85"/>
      <c r="BM43" s="85"/>
      <c r="BN43" s="85"/>
      <c r="BO43" s="85"/>
      <c r="BP43" s="85"/>
      <c r="CB43" s="124"/>
      <c r="CC43" s="136"/>
      <c r="CD43" s="127"/>
      <c r="CE43" s="107"/>
      <c r="CF43" s="129"/>
      <c r="CG43" s="129"/>
      <c r="CH43" s="127"/>
      <c r="CI43" s="129"/>
      <c r="CJ43" s="129"/>
      <c r="CK43" s="129"/>
      <c r="CL43" s="129"/>
      <c r="CM43" s="107"/>
      <c r="CN43" s="129"/>
      <c r="CO43" s="129"/>
      <c r="CP43" s="129"/>
      <c r="CQ43" s="129"/>
      <c r="CR43" s="141"/>
      <c r="CS43" s="128"/>
      <c r="CU43" s="74"/>
      <c r="DY43" s="74"/>
      <c r="DZ43" s="74"/>
      <c r="EA43" s="74"/>
      <c r="EB43" s="74"/>
      <c r="EC43" s="74"/>
      <c r="ED43" s="74"/>
      <c r="EE43" s="74"/>
      <c r="EH43" s="74"/>
      <c r="EI43" s="74"/>
      <c r="EJ43" s="74"/>
      <c r="EK43" s="74"/>
      <c r="EL43" s="74"/>
      <c r="EN43" s="74"/>
      <c r="EO43" s="74"/>
      <c r="EP43" s="74"/>
      <c r="EQ43" s="74"/>
      <c r="ES43" s="74"/>
      <c r="ET43" s="74"/>
      <c r="EU43" s="74"/>
      <c r="EV43" s="74"/>
      <c r="EW43" s="74"/>
      <c r="EX43" s="74"/>
      <c r="EY43" s="74"/>
      <c r="EZ43" s="74"/>
      <c r="FA43" s="74"/>
      <c r="FD43" s="65"/>
      <c r="FE43" s="65"/>
      <c r="FF43" s="65"/>
      <c r="FG43" s="266"/>
      <c r="FH43" s="65"/>
      <c r="FI43" s="65"/>
      <c r="HK43" s="218"/>
      <c r="HL43" s="218"/>
      <c r="HM43" s="218"/>
      <c r="HN43" s="218"/>
      <c r="HO43" s="218"/>
      <c r="HP43" s="218"/>
      <c r="HQ43" s="218"/>
      <c r="HR43" s="218"/>
      <c r="HS43" s="218"/>
      <c r="HT43" s="218"/>
      <c r="HU43" s="218"/>
      <c r="HV43" s="218"/>
      <c r="HW43" s="218"/>
      <c r="HX43" s="218"/>
      <c r="HY43" s="218"/>
      <c r="HZ43" s="218"/>
      <c r="IA43" s="218"/>
      <c r="IF43" s="451"/>
      <c r="IG43" s="451"/>
      <c r="IH43" s="451"/>
      <c r="II43" s="451"/>
      <c r="IJ43" s="451"/>
      <c r="IK43" s="451"/>
      <c r="IL43" s="451"/>
      <c r="IM43" s="451"/>
      <c r="IN43" s="451"/>
      <c r="IO43" s="451"/>
      <c r="IP43" s="451"/>
      <c r="IQ43" s="451"/>
      <c r="IR43" s="451"/>
      <c r="IS43" s="451"/>
      <c r="IT43" s="451"/>
      <c r="IU43" s="451"/>
      <c r="IV43" s="451"/>
      <c r="IW43" s="451"/>
      <c r="IX43" s="451"/>
      <c r="IY43" s="451"/>
    </row>
    <row r="44" spans="2:269" ht="15" x14ac:dyDescent="0.3">
      <c r="AC44" s="59">
        <v>2007</v>
      </c>
      <c r="AD44" s="59">
        <v>2383</v>
      </c>
      <c r="AE44" s="60">
        <v>0.60299999999999998</v>
      </c>
      <c r="AF44" s="64" t="s">
        <v>77</v>
      </c>
      <c r="AG44" s="64" t="s">
        <v>77</v>
      </c>
      <c r="AH44" s="62">
        <v>0</v>
      </c>
      <c r="AI44" s="62">
        <v>0.6</v>
      </c>
      <c r="AJ44" s="63">
        <v>0.39</v>
      </c>
      <c r="AK44" s="63">
        <v>0.01</v>
      </c>
      <c r="BF44" s="82">
        <v>1975</v>
      </c>
      <c r="BG44" s="85">
        <v>9.1</v>
      </c>
      <c r="BH44" s="85">
        <v>2.4</v>
      </c>
      <c r="BI44" s="85">
        <v>32.799999999999997</v>
      </c>
      <c r="BJ44" s="86" t="s">
        <v>81</v>
      </c>
      <c r="BK44" s="85">
        <v>23.1</v>
      </c>
      <c r="BL44" s="85">
        <v>0.5</v>
      </c>
      <c r="BM44" s="85">
        <v>4</v>
      </c>
      <c r="BN44" s="85">
        <v>71.900000000000006</v>
      </c>
      <c r="BO44" s="85" t="s">
        <v>91</v>
      </c>
      <c r="BP44" s="85" t="s">
        <v>92</v>
      </c>
      <c r="CB44" s="124">
        <v>1975</v>
      </c>
      <c r="CC44" s="136">
        <v>17844</v>
      </c>
      <c r="CD44" s="129">
        <v>1235</v>
      </c>
      <c r="CE44" s="107"/>
      <c r="CF44" s="129">
        <v>19079</v>
      </c>
      <c r="CG44" s="129">
        <v>32877</v>
      </c>
      <c r="CH44" s="127">
        <v>895</v>
      </c>
      <c r="CI44" s="129">
        <v>33772</v>
      </c>
      <c r="CJ44" s="129">
        <v>5922</v>
      </c>
      <c r="CK44" s="129">
        <v>6927</v>
      </c>
      <c r="CL44" s="129">
        <v>12849</v>
      </c>
      <c r="CM44" s="107"/>
      <c r="CN44" s="129">
        <v>3096</v>
      </c>
      <c r="CO44" s="129">
        <v>3034</v>
      </c>
      <c r="CP44" s="129">
        <v>6130</v>
      </c>
      <c r="CQ44" s="129">
        <v>2910</v>
      </c>
      <c r="CR44" s="127">
        <v>1</v>
      </c>
      <c r="CS44" s="128">
        <v>1975</v>
      </c>
      <c r="CU44" s="74">
        <f t="shared" si="44"/>
        <v>19079</v>
      </c>
      <c r="DI44" s="253" t="s">
        <v>404</v>
      </c>
      <c r="DJ44" s="253"/>
      <c r="DK44" s="253">
        <f t="shared" ref="DK44:DR44" si="69">+DK13+DK15+DK17+DK21+DK26+DK31+DK39</f>
        <v>2083</v>
      </c>
      <c r="DL44" s="253">
        <f t="shared" si="69"/>
        <v>131</v>
      </c>
      <c r="DM44" s="253">
        <f t="shared" si="69"/>
        <v>2949</v>
      </c>
      <c r="DN44" s="253">
        <f t="shared" si="69"/>
        <v>9006</v>
      </c>
      <c r="DO44" s="253">
        <f t="shared" si="69"/>
        <v>4346</v>
      </c>
      <c r="DP44" s="253">
        <f t="shared" si="69"/>
        <v>4540</v>
      </c>
      <c r="DQ44" s="253">
        <f t="shared" si="69"/>
        <v>2193</v>
      </c>
      <c r="DR44" s="253">
        <f t="shared" si="69"/>
        <v>3191</v>
      </c>
      <c r="DS44" s="253">
        <f>+DS13+DS15+DS17+DS21+DS26+DS31+DS39</f>
        <v>5897</v>
      </c>
      <c r="DT44" s="253">
        <f>+DT13+DT15+DT17+DT21+DT26+DT31+DT39</f>
        <v>3951</v>
      </c>
      <c r="DU44" s="253">
        <f>AVERAGE(DK44:DT44)</f>
        <v>3828.7</v>
      </c>
      <c r="DV44" s="253">
        <f>+DV13+DV15+DV17+DV21+DV26+DV31+DV39</f>
        <v>3828.1000000000004</v>
      </c>
      <c r="DW44" s="253"/>
      <c r="DX44">
        <v>2016</v>
      </c>
      <c r="DY44" s="74">
        <v>983</v>
      </c>
      <c r="DZ44" s="74">
        <f t="shared" ref="DZ44:EC44" si="70">DZ15/DZ28</f>
        <v>389.28571428571428</v>
      </c>
      <c r="EA44" s="74">
        <f t="shared" si="70"/>
        <v>587.05882352941182</v>
      </c>
      <c r="EB44" s="74">
        <f t="shared" si="70"/>
        <v>3237.7358490566035</v>
      </c>
      <c r="EC44" s="74">
        <f t="shared" si="70"/>
        <v>1614.2857142857142</v>
      </c>
      <c r="ED44" s="74">
        <f t="shared" si="60"/>
        <v>6811.3661011574441</v>
      </c>
      <c r="EE44" s="74"/>
      <c r="EG44" s="74"/>
      <c r="EH44" s="74"/>
      <c r="EI44" s="74"/>
      <c r="EJ44" s="74"/>
      <c r="EK44" s="74"/>
      <c r="EL44" s="74"/>
      <c r="EN44" s="74"/>
      <c r="EO44" s="74"/>
      <c r="EP44" s="74"/>
      <c r="EQ44" s="74"/>
      <c r="ES44" s="74"/>
      <c r="ET44" s="74"/>
      <c r="EU44" s="74"/>
      <c r="EV44" s="74"/>
      <c r="EW44" s="74"/>
      <c r="EX44" s="74"/>
      <c r="EY44" s="74"/>
      <c r="EZ44" s="74"/>
      <c r="FA44" s="74"/>
      <c r="HJ44">
        <v>2008</v>
      </c>
      <c r="HK44" s="218">
        <f t="shared" ref="HK44:HK51" si="71">HK7/IK54</f>
        <v>5.6917260014927029E-3</v>
      </c>
      <c r="HL44" s="218">
        <f t="shared" ref="HL44:HL51" si="72">HL7/IS54</f>
        <v>1.6774642226655534E-3</v>
      </c>
      <c r="HM44" s="218"/>
      <c r="HN44" s="218">
        <f t="shared" ref="HN44:HN51" si="73">HN7/IK54</f>
        <v>8.7765545977215725E-3</v>
      </c>
      <c r="HO44" s="218">
        <f t="shared" ref="HO44:HO51" si="74">HO7/IS54</f>
        <v>2.3065133061651358E-3</v>
      </c>
      <c r="HP44" s="218"/>
      <c r="HQ44" s="218">
        <f t="shared" ref="HQ44:HQ51" si="75">HQ7/IK54</f>
        <v>0.18687109566732912</v>
      </c>
      <c r="HR44" s="218">
        <f t="shared" ref="HR44:HR51" si="76">HR7/IS54</f>
        <v>4.822709640163466E-2</v>
      </c>
      <c r="HS44" s="218"/>
      <c r="HT44" s="218">
        <f t="shared" ref="HT44:HT51" si="77">HT7/IK54</f>
        <v>8.4724165671074582E-3</v>
      </c>
      <c r="HU44" s="218">
        <f t="shared" ref="HU44:HU51" si="78">HU7/IS54</f>
        <v>1.6774642226655534E-3</v>
      </c>
      <c r="HV44" s="218"/>
      <c r="HW44" s="218">
        <f t="shared" ref="HW44:HW51" si="79">HW7/IK54</f>
        <v>4.1710358484221338E-3</v>
      </c>
      <c r="HX44" s="218">
        <f t="shared" ref="HX44:HX51" si="80">HX7/IS54</f>
        <v>0</v>
      </c>
      <c r="HY44" s="218"/>
      <c r="HZ44" s="218"/>
      <c r="IA44" s="218"/>
    </row>
    <row r="45" spans="2:269" ht="15" x14ac:dyDescent="0.3">
      <c r="B45" t="s">
        <v>189</v>
      </c>
      <c r="C45" s="199">
        <f>AVERAGE(C31:C40)</f>
        <v>57.56</v>
      </c>
      <c r="D45" s="199">
        <f t="shared" ref="D45:J45" si="81">AVERAGE(D31:D40)</f>
        <v>1.6300000000000001</v>
      </c>
      <c r="E45" s="199">
        <f t="shared" si="81"/>
        <v>2.2800000000000002</v>
      </c>
      <c r="F45" s="199">
        <f t="shared" si="81"/>
        <v>55.970000000000006</v>
      </c>
      <c r="G45" s="199">
        <f t="shared" si="81"/>
        <v>11.12</v>
      </c>
      <c r="H45" s="199">
        <f t="shared" si="81"/>
        <v>17.899999999999999</v>
      </c>
      <c r="I45" s="199">
        <f t="shared" si="81"/>
        <v>36.260000000000005</v>
      </c>
      <c r="J45" s="199">
        <f t="shared" si="81"/>
        <v>6.9700000000000006</v>
      </c>
      <c r="M45" s="199">
        <f t="shared" ref="M45:U45" si="82">AVERAGE(M31:M40)</f>
        <v>36249.9</v>
      </c>
      <c r="N45" s="199">
        <f t="shared" si="82"/>
        <v>4182</v>
      </c>
      <c r="O45" s="199">
        <f t="shared" si="82"/>
        <v>10.6</v>
      </c>
      <c r="P45" s="199">
        <f t="shared" si="82"/>
        <v>18199.5</v>
      </c>
      <c r="Q45" s="199">
        <f t="shared" si="82"/>
        <v>51.1</v>
      </c>
      <c r="R45" s="199">
        <f t="shared" si="82"/>
        <v>4060.2</v>
      </c>
      <c r="S45" s="199">
        <f t="shared" si="82"/>
        <v>0</v>
      </c>
      <c r="U45" s="199">
        <f t="shared" si="82"/>
        <v>19389.3</v>
      </c>
      <c r="X45" s="65">
        <f>GEOMEAN(X29:X39)</f>
        <v>358.47650650091816</v>
      </c>
      <c r="Y45" s="65">
        <f t="shared" ref="Y45:AA45" si="83">GEOMEAN(Y29:Y39)</f>
        <v>465.05453593113265</v>
      </c>
      <c r="Z45" s="65">
        <f t="shared" si="83"/>
        <v>1620.9899134425607</v>
      </c>
      <c r="AA45" s="65">
        <f t="shared" si="83"/>
        <v>142.54309984405054</v>
      </c>
      <c r="AC45" s="59">
        <v>2008</v>
      </c>
      <c r="AD45" s="59">
        <v>1886</v>
      </c>
      <c r="AE45" s="60">
        <v>0.626</v>
      </c>
      <c r="AF45" s="64" t="s">
        <v>77</v>
      </c>
      <c r="AG45" s="64" t="s">
        <v>77</v>
      </c>
      <c r="AH45" s="62">
        <v>0</v>
      </c>
      <c r="AI45" s="62">
        <v>0.6</v>
      </c>
      <c r="AJ45" s="63">
        <v>0.39</v>
      </c>
      <c r="AK45" s="63">
        <v>0.01</v>
      </c>
      <c r="BF45" s="82">
        <v>1976</v>
      </c>
      <c r="BG45" s="85">
        <v>4.7</v>
      </c>
      <c r="BH45" s="85">
        <v>3.2</v>
      </c>
      <c r="BI45" s="85">
        <v>40.799999999999997</v>
      </c>
      <c r="BJ45" s="86" t="s">
        <v>81</v>
      </c>
      <c r="BK45" s="85">
        <v>30.9</v>
      </c>
      <c r="BL45" s="85">
        <v>3.2</v>
      </c>
      <c r="BM45" s="85">
        <v>4.4000000000000004</v>
      </c>
      <c r="BN45" s="85">
        <v>87.2</v>
      </c>
      <c r="BO45" s="85">
        <v>78.3</v>
      </c>
      <c r="BP45" s="85">
        <v>165.5</v>
      </c>
      <c r="CB45" s="124">
        <v>1976</v>
      </c>
      <c r="CC45" s="136">
        <v>21031</v>
      </c>
      <c r="CD45" s="129">
        <v>1123</v>
      </c>
      <c r="CE45" s="107"/>
      <c r="CF45" s="129">
        <v>22154</v>
      </c>
      <c r="CG45" s="129">
        <v>29269</v>
      </c>
      <c r="CH45" s="127">
        <v>931</v>
      </c>
      <c r="CI45" s="129">
        <v>30200</v>
      </c>
      <c r="CJ45" s="129">
        <v>2333</v>
      </c>
      <c r="CK45" s="129">
        <v>2217</v>
      </c>
      <c r="CL45" s="129">
        <v>4550</v>
      </c>
      <c r="CM45" s="107"/>
      <c r="CN45" s="129">
        <v>4204</v>
      </c>
      <c r="CO45" s="129">
        <v>5194</v>
      </c>
      <c r="CP45" s="129">
        <v>9398</v>
      </c>
      <c r="CQ45" s="129">
        <v>3876</v>
      </c>
      <c r="CR45" s="141">
        <v>575</v>
      </c>
      <c r="CS45" s="128">
        <v>1976</v>
      </c>
      <c r="CU45" s="74">
        <f t="shared" si="44"/>
        <v>22154</v>
      </c>
      <c r="EG45" s="74"/>
      <c r="HJ45">
        <v>2009</v>
      </c>
      <c r="HK45" s="218">
        <f t="shared" si="71"/>
        <v>9.3109694969753812E-2</v>
      </c>
      <c r="HL45" s="218">
        <f t="shared" si="72"/>
        <v>7.518561963648418E-3</v>
      </c>
      <c r="HM45" s="218"/>
      <c r="HN45" s="218">
        <f t="shared" si="73"/>
        <v>6.5672487465950466E-3</v>
      </c>
      <c r="HO45" s="218">
        <f t="shared" si="74"/>
        <v>1.0319594852066455E-3</v>
      </c>
      <c r="HP45" s="218"/>
      <c r="HQ45" s="218">
        <f t="shared" si="75"/>
        <v>0.12591436539144735</v>
      </c>
      <c r="HR45" s="218">
        <f t="shared" si="76"/>
        <v>1.7985579599315824E-2</v>
      </c>
      <c r="HS45" s="218"/>
      <c r="HT45" s="218">
        <f t="shared" si="77"/>
        <v>4.1108451288782454E-2</v>
      </c>
      <c r="HU45" s="218">
        <f t="shared" si="78"/>
        <v>3.6855695900237344E-3</v>
      </c>
      <c r="HV45" s="218"/>
      <c r="HW45" s="218">
        <f t="shared" si="79"/>
        <v>1.0135032921427933E-2</v>
      </c>
      <c r="HX45" s="218">
        <f t="shared" si="80"/>
        <v>2.9484556720189874E-4</v>
      </c>
      <c r="HY45" s="218"/>
      <c r="HZ45" s="218"/>
      <c r="IA45" s="218"/>
      <c r="IC45" t="s">
        <v>761</v>
      </c>
      <c r="IF45" s="374">
        <f>AVERAGE(IF30:IF39)</f>
        <v>3.97</v>
      </c>
      <c r="IG45" s="374">
        <f t="shared" ref="IG45:IY45" si="84">AVERAGE(IG30:IG39)</f>
        <v>0.06</v>
      </c>
      <c r="IH45" s="374">
        <f t="shared" si="84"/>
        <v>0.19</v>
      </c>
      <c r="II45" s="374">
        <f t="shared" si="84"/>
        <v>0.43999999999999995</v>
      </c>
      <c r="IJ45" s="374">
        <f t="shared" si="84"/>
        <v>0.16</v>
      </c>
      <c r="IK45" s="374">
        <f t="shared" si="84"/>
        <v>1.64</v>
      </c>
      <c r="IL45" s="374">
        <f t="shared" si="84"/>
        <v>0.25</v>
      </c>
      <c r="IM45" s="374">
        <f t="shared" si="84"/>
        <v>0</v>
      </c>
      <c r="IN45" s="374">
        <f t="shared" si="84"/>
        <v>0</v>
      </c>
      <c r="IO45" s="374">
        <f t="shared" si="84"/>
        <v>0.05</v>
      </c>
      <c r="IP45" s="374">
        <f t="shared" si="84"/>
        <v>0</v>
      </c>
      <c r="IQ45" s="374">
        <f t="shared" si="84"/>
        <v>0</v>
      </c>
      <c r="IR45" s="374">
        <f t="shared" si="84"/>
        <v>0.17000000000000004</v>
      </c>
      <c r="IS45" s="374">
        <f t="shared" si="84"/>
        <v>1.34</v>
      </c>
      <c r="IT45" s="374">
        <f t="shared" si="84"/>
        <v>0.25</v>
      </c>
      <c r="IU45" s="374">
        <f t="shared" si="84"/>
        <v>0.27</v>
      </c>
      <c r="IV45" s="374">
        <f t="shared" si="84"/>
        <v>0.01</v>
      </c>
      <c r="IW45" s="374">
        <f t="shared" si="84"/>
        <v>0</v>
      </c>
      <c r="IX45" s="374">
        <f t="shared" si="84"/>
        <v>0</v>
      </c>
      <c r="IY45" s="374">
        <f t="shared" si="84"/>
        <v>0.15</v>
      </c>
    </row>
    <row r="46" spans="2:269" x14ac:dyDescent="0.3">
      <c r="AC46" s="79">
        <f>AC45+1</f>
        <v>2009</v>
      </c>
      <c r="BF46" s="82">
        <v>1977</v>
      </c>
      <c r="BG46" s="85">
        <v>6.8</v>
      </c>
      <c r="BH46" s="85">
        <v>3.1</v>
      </c>
      <c r="BI46" s="85">
        <v>58.1</v>
      </c>
      <c r="BJ46" s="85">
        <v>0.6</v>
      </c>
      <c r="BK46" s="85">
        <v>21.7</v>
      </c>
      <c r="BL46" s="85">
        <v>3.5</v>
      </c>
      <c r="BM46" s="85">
        <v>2.2000000000000002</v>
      </c>
      <c r="BN46" s="85">
        <v>96</v>
      </c>
      <c r="BO46" s="85">
        <v>143.6</v>
      </c>
      <c r="BP46" s="85">
        <v>239.6</v>
      </c>
      <c r="CB46" s="124">
        <v>1977</v>
      </c>
      <c r="CC46" s="136">
        <v>38509</v>
      </c>
      <c r="CD46" s="129">
        <v>1503</v>
      </c>
      <c r="CE46" s="107"/>
      <c r="CF46" s="129">
        <v>40012</v>
      </c>
      <c r="CG46" s="129">
        <v>25742</v>
      </c>
      <c r="CH46" s="127">
        <v>382</v>
      </c>
      <c r="CI46" s="129">
        <v>26124</v>
      </c>
      <c r="CJ46" s="129">
        <v>1007</v>
      </c>
      <c r="CK46" s="129">
        <v>2120</v>
      </c>
      <c r="CL46" s="129">
        <v>3127</v>
      </c>
      <c r="CM46" s="107"/>
      <c r="CN46" s="129">
        <v>5327</v>
      </c>
      <c r="CO46" s="129">
        <v>8277</v>
      </c>
      <c r="CP46" s="129">
        <v>13604</v>
      </c>
      <c r="CQ46" s="129">
        <v>9244</v>
      </c>
      <c r="CR46" s="141">
        <v>151</v>
      </c>
      <c r="CS46" s="128">
        <v>1977</v>
      </c>
      <c r="CU46" s="74">
        <f t="shared" si="44"/>
        <v>40012</v>
      </c>
      <c r="DI46" t="s">
        <v>405</v>
      </c>
      <c r="DK46">
        <v>2130</v>
      </c>
      <c r="DL46">
        <v>279</v>
      </c>
      <c r="DM46">
        <v>3110</v>
      </c>
      <c r="DN46">
        <v>9484</v>
      </c>
      <c r="DO46">
        <v>4857</v>
      </c>
      <c r="DP46">
        <v>4900</v>
      </c>
      <c r="DQ46">
        <v>2271</v>
      </c>
      <c r="DR46">
        <v>3467</v>
      </c>
      <c r="DS46">
        <v>5737</v>
      </c>
      <c r="DT46">
        <v>3168</v>
      </c>
      <c r="DU46">
        <f>AVERAGE(DK46:DT46)</f>
        <v>3940.3</v>
      </c>
      <c r="DY46" s="485" t="s">
        <v>6</v>
      </c>
      <c r="DZ46" s="485"/>
      <c r="EA46" s="485"/>
      <c r="EB46" s="485"/>
      <c r="EC46" s="485"/>
      <c r="ED46" s="485"/>
      <c r="EE46" s="87"/>
      <c r="EG46" s="87"/>
      <c r="EH46" s="87"/>
      <c r="EI46" s="87"/>
      <c r="EJ46" s="87"/>
      <c r="EK46" s="87"/>
      <c r="EL46" s="87"/>
      <c r="EN46" s="87"/>
      <c r="EO46" s="87"/>
      <c r="EP46" s="87"/>
      <c r="EQ46" s="87"/>
      <c r="ES46" s="87"/>
      <c r="ET46" s="87"/>
      <c r="EU46" s="87"/>
      <c r="EV46" s="87"/>
      <c r="EW46" s="87"/>
      <c r="EX46" s="87"/>
      <c r="EY46" s="87"/>
      <c r="EZ46" s="87"/>
      <c r="FA46" s="87"/>
      <c r="FM46" s="486"/>
      <c r="FN46" s="486"/>
      <c r="FO46" s="486"/>
      <c r="FP46" s="486"/>
      <c r="FQ46" s="486"/>
      <c r="FR46" s="486"/>
      <c r="FS46" s="486"/>
      <c r="HJ46">
        <v>2010</v>
      </c>
      <c r="HK46" s="218">
        <f t="shared" si="71"/>
        <v>9.1477511155053148E-2</v>
      </c>
      <c r="HL46" s="218">
        <f t="shared" si="72"/>
        <v>4.4179098945472057E-3</v>
      </c>
      <c r="HM46" s="218"/>
      <c r="HN46" s="218">
        <f t="shared" si="73"/>
        <v>7.1812791901646206E-3</v>
      </c>
      <c r="HO46" s="218">
        <f t="shared" si="74"/>
        <v>7.1641782073738464E-4</v>
      </c>
      <c r="HP46" s="218"/>
      <c r="HQ46" s="218">
        <f t="shared" si="75"/>
        <v>0.2195114916246784</v>
      </c>
      <c r="HR46" s="218">
        <f t="shared" si="76"/>
        <v>2.2089549472736027E-2</v>
      </c>
      <c r="HS46" s="218"/>
      <c r="HT46" s="218">
        <f t="shared" si="77"/>
        <v>5.3377117601577199E-2</v>
      </c>
      <c r="HU46" s="218">
        <f t="shared" si="78"/>
        <v>5.7910440509605261E-3</v>
      </c>
      <c r="HV46" s="218"/>
      <c r="HW46" s="218">
        <f t="shared" si="79"/>
        <v>3.242240901698086E-2</v>
      </c>
      <c r="HX46" s="218">
        <f t="shared" si="80"/>
        <v>3.2835816783796795E-3</v>
      </c>
      <c r="HY46" s="218"/>
      <c r="HZ46" s="218"/>
      <c r="IA46" s="218"/>
    </row>
    <row r="47" spans="2:269" ht="15.6" x14ac:dyDescent="0.3">
      <c r="C47" s="197"/>
      <c r="D47" s="200">
        <f>D45/$C45</f>
        <v>2.8318276580959E-2</v>
      </c>
      <c r="E47" s="200">
        <f>E45/$C45</f>
        <v>3.9610840861709525E-2</v>
      </c>
      <c r="F47" s="107"/>
      <c r="G47" s="200">
        <f>G45/$C45</f>
        <v>0.19318971507991659</v>
      </c>
      <c r="H47" s="107"/>
      <c r="I47" s="107"/>
      <c r="J47" s="107"/>
      <c r="N47" s="217">
        <f>N45/(C45*1000)</f>
        <v>7.2654621264767197E-2</v>
      </c>
      <c r="AC47" s="79">
        <f t="shared" ref="AC47:AC52" si="85">AC46+1</f>
        <v>2010</v>
      </c>
      <c r="BF47" s="82">
        <v>1978</v>
      </c>
      <c r="BG47" s="85">
        <v>13.5</v>
      </c>
      <c r="BH47" s="85">
        <v>5</v>
      </c>
      <c r="BI47" s="85">
        <v>71.400000000000006</v>
      </c>
      <c r="BJ47" s="85">
        <v>0.7</v>
      </c>
      <c r="BK47" s="85">
        <v>16.3</v>
      </c>
      <c r="BL47" s="85">
        <v>4</v>
      </c>
      <c r="BM47" s="85">
        <v>1.9</v>
      </c>
      <c r="BN47" s="85">
        <v>112.8</v>
      </c>
      <c r="BO47" s="85">
        <v>129</v>
      </c>
      <c r="BP47" s="85">
        <v>241.8</v>
      </c>
      <c r="CB47" s="124">
        <v>1978</v>
      </c>
      <c r="CC47" s="136">
        <v>45711</v>
      </c>
      <c r="CD47" s="129">
        <v>1801</v>
      </c>
      <c r="CE47" s="107"/>
      <c r="CF47" s="129">
        <v>47512</v>
      </c>
      <c r="CG47" s="129">
        <v>17437</v>
      </c>
      <c r="CH47" s="127">
        <v>465</v>
      </c>
      <c r="CI47" s="129">
        <v>17902</v>
      </c>
      <c r="CJ47" s="129">
        <v>1711</v>
      </c>
      <c r="CK47" s="129">
        <v>3891</v>
      </c>
      <c r="CL47" s="129">
        <v>5602</v>
      </c>
      <c r="CM47" s="107"/>
      <c r="CN47" s="129">
        <v>8599</v>
      </c>
      <c r="CO47" s="129">
        <v>8270</v>
      </c>
      <c r="CP47" s="129">
        <v>16869</v>
      </c>
      <c r="CQ47" s="142">
        <v>15172</v>
      </c>
      <c r="CR47" s="141">
        <v>16</v>
      </c>
      <c r="CS47" s="128">
        <v>1978</v>
      </c>
      <c r="CU47" s="74">
        <f t="shared" si="44"/>
        <v>47512</v>
      </c>
      <c r="DI47" t="s">
        <v>406</v>
      </c>
      <c r="DK47">
        <f t="shared" ref="DK47:DT47" si="86">DK46-DK44</f>
        <v>47</v>
      </c>
      <c r="DL47">
        <f t="shared" si="86"/>
        <v>148</v>
      </c>
      <c r="DM47">
        <f t="shared" si="86"/>
        <v>161</v>
      </c>
      <c r="DN47">
        <f t="shared" si="86"/>
        <v>478</v>
      </c>
      <c r="DO47">
        <f t="shared" si="86"/>
        <v>511</v>
      </c>
      <c r="DP47">
        <f t="shared" si="86"/>
        <v>360</v>
      </c>
      <c r="DQ47">
        <f t="shared" si="86"/>
        <v>78</v>
      </c>
      <c r="DR47">
        <f t="shared" si="86"/>
        <v>276</v>
      </c>
      <c r="DS47">
        <f t="shared" si="86"/>
        <v>-160</v>
      </c>
      <c r="DT47">
        <f t="shared" si="86"/>
        <v>-783</v>
      </c>
      <c r="DX47" s="324" t="s">
        <v>3</v>
      </c>
      <c r="DY47" s="354" t="s">
        <v>327</v>
      </c>
      <c r="DZ47" s="354" t="s">
        <v>474</v>
      </c>
      <c r="EA47" s="354" t="s">
        <v>611</v>
      </c>
      <c r="EB47" s="354" t="s">
        <v>44</v>
      </c>
      <c r="EC47" s="354" t="s">
        <v>333</v>
      </c>
      <c r="ED47" s="355" t="s">
        <v>5</v>
      </c>
      <c r="EE47" s="198"/>
      <c r="EF47" s="87"/>
      <c r="EG47" s="198"/>
      <c r="EH47" s="198"/>
      <c r="EI47" s="198"/>
      <c r="EJ47" s="198"/>
      <c r="EK47" s="198"/>
      <c r="EL47" s="198"/>
      <c r="EM47" s="87"/>
      <c r="EN47" s="198"/>
      <c r="EO47" s="198"/>
      <c r="EP47" s="198"/>
      <c r="EQ47" s="198"/>
      <c r="ER47" s="87"/>
      <c r="ES47" s="198"/>
      <c r="ET47" s="198"/>
      <c r="EU47" s="198"/>
      <c r="EV47" s="198"/>
      <c r="EW47" s="198"/>
      <c r="EX47" s="198"/>
      <c r="EY47" s="198"/>
      <c r="EZ47" s="198"/>
      <c r="FA47" s="198"/>
      <c r="FC47" s="231"/>
      <c r="FM47" s="198"/>
      <c r="FN47" s="198"/>
      <c r="FO47" s="198"/>
      <c r="FP47" s="198"/>
      <c r="FQ47" s="198"/>
      <c r="FR47" s="198"/>
      <c r="FS47" s="198"/>
      <c r="FZ47" s="231"/>
      <c r="GG47" s="231"/>
      <c r="GW47" s="231"/>
      <c r="HJ47">
        <v>2011</v>
      </c>
      <c r="HK47" s="218">
        <f t="shared" si="71"/>
        <v>6.1496243293990213E-2</v>
      </c>
      <c r="HL47" s="218">
        <f t="shared" si="72"/>
        <v>7.3137778502123689E-3</v>
      </c>
      <c r="HM47" s="218"/>
      <c r="HN47" s="218">
        <f t="shared" si="73"/>
        <v>6.9052385475074146E-3</v>
      </c>
      <c r="HO47" s="218">
        <f t="shared" si="74"/>
        <v>1.1796415887439305E-3</v>
      </c>
      <c r="HP47" s="218"/>
      <c r="HQ47" s="218">
        <f t="shared" si="75"/>
        <v>0.29123692578851967</v>
      </c>
      <c r="HR47" s="218">
        <f t="shared" si="76"/>
        <v>3.4130963300991052E-2</v>
      </c>
      <c r="HS47" s="218"/>
      <c r="HT47" s="218">
        <f t="shared" si="77"/>
        <v>2.7946406006817918E-2</v>
      </c>
      <c r="HU47" s="218">
        <f t="shared" si="78"/>
        <v>3.4602819936488624E-3</v>
      </c>
      <c r="HV47" s="218"/>
      <c r="HW47" s="218">
        <f t="shared" si="79"/>
        <v>2.9969867302501445E-2</v>
      </c>
      <c r="HX47" s="218">
        <f t="shared" si="80"/>
        <v>9.2798471647855853E-3</v>
      </c>
      <c r="HY47" s="218"/>
      <c r="HZ47" s="218"/>
      <c r="IA47" s="218"/>
      <c r="IC47" s="375" t="s">
        <v>762</v>
      </c>
      <c r="ID47" s="376" t="s">
        <v>153</v>
      </c>
      <c r="IE47" s="377" t="s">
        <v>763</v>
      </c>
      <c r="IF47" s="531">
        <f>SUM(IF45:IH45)</f>
        <v>4.2200000000000006</v>
      </c>
      <c r="IG47" s="532"/>
      <c r="IH47" s="533"/>
      <c r="II47" s="534">
        <f>SUM(II45:IR45)</f>
        <v>2.7099999999999995</v>
      </c>
      <c r="IJ47" s="535"/>
      <c r="IK47" s="535"/>
      <c r="IL47" s="535"/>
      <c r="IM47" s="535"/>
      <c r="IN47" s="535"/>
      <c r="IO47" s="535"/>
      <c r="IP47" s="535"/>
      <c r="IQ47" s="535"/>
      <c r="IR47" s="536"/>
      <c r="IS47" s="537">
        <f>SUM(IS45:IY45)</f>
        <v>2.02</v>
      </c>
      <c r="IT47" s="538"/>
      <c r="IU47" s="538"/>
      <c r="IV47" s="538"/>
      <c r="IW47" s="538"/>
      <c r="IX47" s="538"/>
      <c r="IY47" s="539"/>
    </row>
    <row r="48" spans="2:269" x14ac:dyDescent="0.3">
      <c r="AC48" s="79">
        <f t="shared" si="85"/>
        <v>2011</v>
      </c>
      <c r="BF48" s="82">
        <v>1979</v>
      </c>
      <c r="BG48" s="85">
        <v>5.5</v>
      </c>
      <c r="BH48" s="85">
        <v>1.7</v>
      </c>
      <c r="BI48" s="85">
        <v>44.6</v>
      </c>
      <c r="BJ48" s="85">
        <v>0.9</v>
      </c>
      <c r="BK48" s="85">
        <v>16.399999999999999</v>
      </c>
      <c r="BL48" s="85">
        <v>2.6</v>
      </c>
      <c r="BM48" s="85">
        <v>3</v>
      </c>
      <c r="BN48" s="85">
        <v>74.7</v>
      </c>
      <c r="BO48" s="85">
        <v>51.5</v>
      </c>
      <c r="BP48" s="85">
        <v>126.2</v>
      </c>
      <c r="CB48" s="124">
        <v>1979</v>
      </c>
      <c r="CC48" s="136">
        <v>25492</v>
      </c>
      <c r="CD48" s="129">
        <v>1131</v>
      </c>
      <c r="CE48" s="107"/>
      <c r="CF48" s="129">
        <v>26623</v>
      </c>
      <c r="CG48" s="129">
        <v>9905</v>
      </c>
      <c r="CH48" s="127">
        <v>436</v>
      </c>
      <c r="CI48" s="129">
        <v>10341</v>
      </c>
      <c r="CJ48" s="129">
        <v>1788</v>
      </c>
      <c r="CK48" s="129">
        <v>1691</v>
      </c>
      <c r="CL48" s="129">
        <v>3479</v>
      </c>
      <c r="CM48" s="107"/>
      <c r="CN48" s="129">
        <v>2861</v>
      </c>
      <c r="CO48" s="129">
        <v>5865</v>
      </c>
      <c r="CP48" s="129">
        <v>8726</v>
      </c>
      <c r="CQ48" s="129">
        <v>7638</v>
      </c>
      <c r="CR48" s="141">
        <v>16</v>
      </c>
      <c r="CS48" s="128">
        <v>1979</v>
      </c>
      <c r="CU48" s="74">
        <f t="shared" si="44"/>
        <v>26623</v>
      </c>
      <c r="DI48" t="s">
        <v>487</v>
      </c>
      <c r="DK48" s="256">
        <f t="shared" ref="DK48:DT48" si="87">47/DK46</f>
        <v>2.2065727699530517E-2</v>
      </c>
      <c r="DL48" s="256">
        <f t="shared" si="87"/>
        <v>0.16845878136200718</v>
      </c>
      <c r="DM48" s="256">
        <f t="shared" si="87"/>
        <v>1.5112540192926046E-2</v>
      </c>
      <c r="DN48" s="256">
        <f t="shared" si="87"/>
        <v>4.9557148882328128E-3</v>
      </c>
      <c r="DO48" s="256">
        <f t="shared" si="87"/>
        <v>9.6767551986823141E-3</v>
      </c>
      <c r="DP48" s="256">
        <f t="shared" si="87"/>
        <v>9.5918367346938781E-3</v>
      </c>
      <c r="DQ48" s="256">
        <f t="shared" si="87"/>
        <v>2.0695728753852928E-2</v>
      </c>
      <c r="DR48" s="256">
        <f t="shared" si="87"/>
        <v>1.3556388808768388E-2</v>
      </c>
      <c r="DS48" s="256">
        <f t="shared" si="87"/>
        <v>8.1924350705943876E-3</v>
      </c>
      <c r="DT48" s="256">
        <f t="shared" si="87"/>
        <v>1.4835858585858586E-2</v>
      </c>
      <c r="DX48">
        <v>2007</v>
      </c>
      <c r="DY48" s="74">
        <f>7275-205</f>
        <v>7070</v>
      </c>
      <c r="DZ48" s="74">
        <f>DZ32-DZ6</f>
        <v>87.153846153846132</v>
      </c>
      <c r="EA48" s="74">
        <f>EA32-EA6</f>
        <v>39.883720930232585</v>
      </c>
      <c r="EB48" s="74">
        <f>EB32-EB6</f>
        <v>6588</v>
      </c>
      <c r="EC48" s="74">
        <f>EC32-EC6</f>
        <v>10.411764705882348</v>
      </c>
      <c r="ED48" s="74">
        <f>SUM(DY48:EC48)</f>
        <v>13795.449331789961</v>
      </c>
      <c r="EE48" s="74"/>
      <c r="EG48" s="74"/>
      <c r="EH48" s="74"/>
      <c r="EI48" s="74"/>
      <c r="EJ48" s="74"/>
      <c r="EK48" s="74"/>
      <c r="EL48" s="74"/>
      <c r="EN48" s="74"/>
      <c r="EO48" s="74"/>
      <c r="EP48" s="74"/>
      <c r="EQ48" s="74"/>
      <c r="ES48" s="74"/>
      <c r="ET48" s="74"/>
      <c r="EU48" s="74"/>
      <c r="EV48" s="74"/>
      <c r="EW48" s="74"/>
      <c r="EX48" s="74"/>
      <c r="EY48" s="74"/>
      <c r="EZ48" s="74"/>
      <c r="FA48" s="74"/>
      <c r="FE48" s="486" t="s">
        <v>511</v>
      </c>
      <c r="FF48" s="486"/>
      <c r="FG48" s="486"/>
      <c r="FH48" s="486"/>
      <c r="FI48" s="486" t="s">
        <v>512</v>
      </c>
      <c r="FJ48" s="486"/>
      <c r="FK48" s="486" t="s">
        <v>513</v>
      </c>
      <c r="FL48" s="486"/>
      <c r="FM48" s="486" t="s">
        <v>526</v>
      </c>
      <c r="FN48" s="486"/>
      <c r="FO48" s="486" t="s">
        <v>534</v>
      </c>
      <c r="FP48" s="486"/>
      <c r="FQ48" s="486"/>
      <c r="FR48" s="486" t="s">
        <v>531</v>
      </c>
      <c r="FS48" s="486"/>
      <c r="FT48" s="486" t="s">
        <v>532</v>
      </c>
      <c r="FU48" s="486"/>
      <c r="FV48" s="87" t="s">
        <v>541</v>
      </c>
      <c r="FW48" s="87"/>
      <c r="HJ48">
        <v>2012</v>
      </c>
      <c r="HK48" s="218">
        <f t="shared" si="71"/>
        <v>7.4949579488844953E-2</v>
      </c>
      <c r="HL48" s="218">
        <f t="shared" si="72"/>
        <v>1.0171338710396752E-2</v>
      </c>
      <c r="HM48" s="218"/>
      <c r="HN48" s="218">
        <f t="shared" si="73"/>
        <v>8.9972512822512115E-3</v>
      </c>
      <c r="HO48" s="218">
        <f t="shared" si="74"/>
        <v>1.6144982079994844E-3</v>
      </c>
      <c r="HP48" s="218"/>
      <c r="HQ48" s="218">
        <f t="shared" si="75"/>
        <v>0.24921560615938401</v>
      </c>
      <c r="HR48" s="218">
        <f t="shared" si="76"/>
        <v>2.5024722223992008E-2</v>
      </c>
      <c r="HS48" s="218"/>
      <c r="HT48" s="218">
        <f t="shared" si="77"/>
        <v>4.9658223590847053E-2</v>
      </c>
      <c r="HU48" s="218">
        <f t="shared" si="78"/>
        <v>5.4085689967982723E-3</v>
      </c>
      <c r="HV48" s="218"/>
      <c r="HW48" s="218">
        <f t="shared" si="79"/>
        <v>3.7012545641848103E-2</v>
      </c>
      <c r="HX48" s="218">
        <f t="shared" si="80"/>
        <v>3.8747956991987626E-3</v>
      </c>
      <c r="HY48" s="218"/>
      <c r="HZ48" s="218"/>
      <c r="IA48" s="218"/>
    </row>
    <row r="49" spans="29:258" x14ac:dyDescent="0.3">
      <c r="AC49" s="79">
        <f t="shared" si="85"/>
        <v>2012</v>
      </c>
      <c r="BF49" s="82">
        <v>1980</v>
      </c>
      <c r="BG49" s="85">
        <v>0.4</v>
      </c>
      <c r="BH49" s="85">
        <v>0.8</v>
      </c>
      <c r="BI49" s="85">
        <v>42.4</v>
      </c>
      <c r="BJ49" s="85">
        <v>1.8</v>
      </c>
      <c r="BK49" s="85">
        <v>31.5</v>
      </c>
      <c r="BL49" s="85">
        <v>2.4</v>
      </c>
      <c r="BM49" s="85">
        <v>2.8</v>
      </c>
      <c r="BN49" s="85">
        <v>82.1</v>
      </c>
      <c r="BO49" s="85" t="s">
        <v>93</v>
      </c>
      <c r="BP49" s="85" t="s">
        <v>94</v>
      </c>
      <c r="CB49" s="130">
        <v>1980</v>
      </c>
      <c r="CC49" s="137">
        <v>26364</v>
      </c>
      <c r="CD49" s="132">
        <v>609</v>
      </c>
      <c r="CE49" s="113"/>
      <c r="CF49" s="131">
        <v>26973</v>
      </c>
      <c r="CG49" s="131">
        <v>7760</v>
      </c>
      <c r="CH49" s="132">
        <v>625</v>
      </c>
      <c r="CI49" s="131">
        <v>8385</v>
      </c>
      <c r="CJ49" s="131">
        <v>1276</v>
      </c>
      <c r="CK49" s="131">
        <v>1365</v>
      </c>
      <c r="CL49" s="131">
        <v>2641</v>
      </c>
      <c r="CM49" s="113"/>
      <c r="CN49" s="131">
        <v>6258</v>
      </c>
      <c r="CO49" s="131">
        <v>16097</v>
      </c>
      <c r="CP49" s="131">
        <v>22356</v>
      </c>
      <c r="CQ49" s="143">
        <v>11222</v>
      </c>
      <c r="CR49" s="144">
        <v>3194</v>
      </c>
      <c r="CS49" s="133">
        <v>1980</v>
      </c>
      <c r="CU49" s="74">
        <f t="shared" si="44"/>
        <v>26973</v>
      </c>
      <c r="DI49" t="s">
        <v>735</v>
      </c>
      <c r="DX49">
        <v>2008</v>
      </c>
      <c r="DY49" s="74">
        <f>6107-202</f>
        <v>5905</v>
      </c>
      <c r="DZ49" s="74">
        <f t="shared" ref="DZ49:EC49" si="88">DZ33-DZ7</f>
        <v>1113.9259259259259</v>
      </c>
      <c r="EA49" s="74">
        <f t="shared" si="88"/>
        <v>197.9677419354839</v>
      </c>
      <c r="EB49" s="74">
        <f t="shared" si="88"/>
        <v>1839.9069767441861</v>
      </c>
      <c r="EC49" s="74">
        <f t="shared" si="88"/>
        <v>239.05084745762713</v>
      </c>
      <c r="ED49" s="74">
        <f t="shared" ref="ED49:ED57" si="89">SUM(DY49:EC49)</f>
        <v>9295.8514920632224</v>
      </c>
      <c r="EE49" s="74"/>
      <c r="EG49" s="74"/>
      <c r="EH49" s="74"/>
      <c r="EI49" s="74"/>
      <c r="EJ49" s="74"/>
      <c r="EK49" s="74"/>
      <c r="EL49" s="74"/>
      <c r="EN49" s="74"/>
      <c r="EO49" s="74"/>
      <c r="EP49" s="74"/>
      <c r="EQ49" s="74"/>
      <c r="ES49" s="74"/>
      <c r="ET49" s="74"/>
      <c r="EU49" s="74"/>
      <c r="EV49" s="74"/>
      <c r="EW49" s="74"/>
      <c r="EX49" s="74"/>
      <c r="EY49" s="74"/>
      <c r="EZ49" s="74"/>
      <c r="FA49" s="74"/>
      <c r="FE49" s="198" t="s">
        <v>5</v>
      </c>
      <c r="FF49" s="198" t="s">
        <v>6</v>
      </c>
      <c r="FG49" s="198" t="s">
        <v>418</v>
      </c>
      <c r="FH49" s="198" t="s">
        <v>576</v>
      </c>
      <c r="FI49" s="198" t="s">
        <v>6</v>
      </c>
      <c r="FJ49" s="198" t="s">
        <v>418</v>
      </c>
      <c r="FK49" s="198" t="s">
        <v>6</v>
      </c>
      <c r="FL49" s="198" t="s">
        <v>418</v>
      </c>
      <c r="FM49" s="198" t="s">
        <v>6</v>
      </c>
      <c r="FN49" s="198" t="s">
        <v>418</v>
      </c>
      <c r="FO49" s="198" t="s">
        <v>6</v>
      </c>
      <c r="FP49" s="198" t="s">
        <v>418</v>
      </c>
      <c r="FQ49" s="198" t="s">
        <v>5</v>
      </c>
      <c r="FR49" s="198" t="s">
        <v>6</v>
      </c>
      <c r="FS49" s="198" t="s">
        <v>418</v>
      </c>
      <c r="FT49" s="198" t="s">
        <v>6</v>
      </c>
      <c r="FU49" s="198" t="s">
        <v>418</v>
      </c>
      <c r="FV49" s="198" t="s">
        <v>6</v>
      </c>
      <c r="FW49" s="198" t="s">
        <v>418</v>
      </c>
      <c r="HJ49">
        <v>2013</v>
      </c>
      <c r="HK49" s="218">
        <f t="shared" si="71"/>
        <v>5.8023591360121467E-2</v>
      </c>
      <c r="HL49" s="218">
        <f t="shared" si="72"/>
        <v>5.7524945076453948E-3</v>
      </c>
      <c r="HM49" s="218"/>
      <c r="HN49" s="218">
        <f t="shared" si="73"/>
        <v>9.7367449249998635E-3</v>
      </c>
      <c r="HO49" s="218">
        <f t="shared" si="74"/>
        <v>1.5599985105479036E-3</v>
      </c>
      <c r="HP49" s="218"/>
      <c r="HQ49" s="218">
        <f t="shared" si="75"/>
        <v>0.18322543099354363</v>
      </c>
      <c r="HR49" s="218">
        <f t="shared" si="76"/>
        <v>1.5307485384751305E-2</v>
      </c>
      <c r="HS49" s="218"/>
      <c r="HT49" s="218">
        <f t="shared" si="77"/>
        <v>4.3709517978531995E-2</v>
      </c>
      <c r="HU49" s="218">
        <f t="shared" si="78"/>
        <v>2.6324974865495876E-3</v>
      </c>
      <c r="HV49" s="218"/>
      <c r="HW49" s="218">
        <f t="shared" si="79"/>
        <v>4.5693908927920551E-2</v>
      </c>
      <c r="HX49" s="218">
        <f t="shared" si="80"/>
        <v>3.8999962763697593E-3</v>
      </c>
      <c r="HY49" s="218"/>
      <c r="HZ49" s="218"/>
      <c r="IA49" s="218"/>
      <c r="IJ49" s="485" t="s">
        <v>6</v>
      </c>
      <c r="IK49" s="485"/>
      <c r="IL49" s="485"/>
      <c r="IM49" s="485"/>
      <c r="IN49" s="485"/>
      <c r="IO49" s="485"/>
      <c r="IP49" s="485"/>
      <c r="IR49" s="485" t="s">
        <v>418</v>
      </c>
      <c r="IS49" s="485"/>
      <c r="IT49" s="485"/>
      <c r="IU49" s="485"/>
      <c r="IV49" s="485"/>
      <c r="IW49" s="485"/>
      <c r="IX49" s="485"/>
    </row>
    <row r="50" spans="29:258" x14ac:dyDescent="0.3">
      <c r="AC50" s="79">
        <f t="shared" si="85"/>
        <v>2013</v>
      </c>
      <c r="BF50" s="82">
        <v>1981</v>
      </c>
      <c r="BG50" s="85">
        <v>6.8</v>
      </c>
      <c r="BH50" s="85">
        <v>3.5</v>
      </c>
      <c r="BI50" s="85">
        <v>48.6</v>
      </c>
      <c r="BJ50" s="85">
        <v>2.8</v>
      </c>
      <c r="BK50" s="85">
        <v>30.2</v>
      </c>
      <c r="BL50" s="85">
        <v>3.1</v>
      </c>
      <c r="BM50" s="85">
        <v>3.8</v>
      </c>
      <c r="BN50" s="85">
        <v>98.8</v>
      </c>
      <c r="BO50" s="85" t="s">
        <v>95</v>
      </c>
      <c r="BP50" s="85" t="s">
        <v>96</v>
      </c>
      <c r="CB50" s="134">
        <v>1981</v>
      </c>
      <c r="CC50" s="138">
        <v>28640</v>
      </c>
      <c r="CD50" s="125">
        <v>1417</v>
      </c>
      <c r="CE50" s="115"/>
      <c r="CF50" s="125">
        <v>30057</v>
      </c>
      <c r="CG50" s="125">
        <v>16690</v>
      </c>
      <c r="CH50" s="125">
        <v>1085</v>
      </c>
      <c r="CI50" s="125">
        <v>17775</v>
      </c>
      <c r="CJ50" s="125">
        <v>1032</v>
      </c>
      <c r="CK50" s="125">
        <v>2417</v>
      </c>
      <c r="CL50" s="125">
        <v>3449</v>
      </c>
      <c r="CM50" s="115"/>
      <c r="CN50" s="125">
        <v>7662</v>
      </c>
      <c r="CO50" s="125">
        <v>9004</v>
      </c>
      <c r="CP50" s="125">
        <v>16666</v>
      </c>
      <c r="CQ50" s="145">
        <v>15224</v>
      </c>
      <c r="CR50" s="140">
        <v>1521</v>
      </c>
      <c r="CS50" s="135">
        <v>1981</v>
      </c>
      <c r="CU50" s="74">
        <f t="shared" si="44"/>
        <v>30057</v>
      </c>
      <c r="DX50">
        <v>2009</v>
      </c>
      <c r="DY50" s="74">
        <f>2955-208</f>
        <v>2747</v>
      </c>
      <c r="DZ50" s="74">
        <f t="shared" ref="DZ50:EC50" si="90">DZ34-DZ8</f>
        <v>281.28571428571422</v>
      </c>
      <c r="EA50" s="74">
        <f t="shared" si="90"/>
        <v>1623.1111111111113</v>
      </c>
      <c r="EB50" s="74">
        <f t="shared" si="90"/>
        <v>1057.9433962264152</v>
      </c>
      <c r="EC50" s="74">
        <f t="shared" si="90"/>
        <v>22.530120481927725</v>
      </c>
      <c r="ED50" s="74">
        <f t="shared" si="89"/>
        <v>5731.8703421051687</v>
      </c>
      <c r="EE50" s="74"/>
      <c r="EG50" s="74"/>
      <c r="EH50" s="74"/>
      <c r="EI50" s="74"/>
      <c r="EJ50" s="74"/>
      <c r="EK50" s="74"/>
      <c r="EL50" s="74"/>
      <c r="EN50" s="74"/>
      <c r="EO50" s="74"/>
      <c r="EP50" s="74"/>
      <c r="EQ50" s="74"/>
      <c r="ES50" s="74"/>
      <c r="ET50" s="74"/>
      <c r="EU50" s="74"/>
      <c r="EV50" s="74"/>
      <c r="EW50" s="74"/>
      <c r="EX50" s="74"/>
      <c r="EY50" s="74"/>
      <c r="EZ50" s="74"/>
      <c r="FA50" s="74"/>
      <c r="FY50" s="486" t="s">
        <v>543</v>
      </c>
      <c r="FZ50" s="486"/>
      <c r="GA50" s="486"/>
      <c r="HJ50">
        <v>2014</v>
      </c>
      <c r="HK50" s="218">
        <f t="shared" si="71"/>
        <v>6.802617867937738E-2</v>
      </c>
      <c r="HL50" s="218">
        <f t="shared" si="72"/>
        <v>8.1553331819762629E-3</v>
      </c>
      <c r="HM50" s="218"/>
      <c r="HN50" s="218">
        <f t="shared" si="73"/>
        <v>6.5446683969191018E-3</v>
      </c>
      <c r="HO50" s="218">
        <f t="shared" si="74"/>
        <v>5.4368887879841757E-4</v>
      </c>
      <c r="HP50" s="218"/>
      <c r="HQ50" s="218">
        <f t="shared" si="75"/>
        <v>0.16634543159986889</v>
      </c>
      <c r="HR50" s="218">
        <f t="shared" si="76"/>
        <v>1.8376684103386512E-2</v>
      </c>
      <c r="HS50" s="218"/>
      <c r="HT50" s="218">
        <f t="shared" si="77"/>
        <v>4.7539447964591523E-2</v>
      </c>
      <c r="HU50" s="218">
        <f t="shared" si="78"/>
        <v>4.1320354788679731E-3</v>
      </c>
      <c r="HV50" s="218"/>
      <c r="HW50" s="218">
        <f t="shared" si="79"/>
        <v>2.6178673587676407E-2</v>
      </c>
      <c r="HX50" s="218">
        <f t="shared" si="80"/>
        <v>3.3708710485501887E-3</v>
      </c>
      <c r="HY50" s="218"/>
      <c r="HZ50" s="218"/>
      <c r="IA50" s="218"/>
      <c r="IE50" s="485" t="s">
        <v>764</v>
      </c>
      <c r="IF50" s="485"/>
      <c r="IG50" s="485"/>
      <c r="IH50" s="485"/>
      <c r="IJ50" s="485" t="s">
        <v>10</v>
      </c>
      <c r="IK50" s="485"/>
      <c r="IM50" s="485" t="s">
        <v>14</v>
      </c>
      <c r="IN50" s="485"/>
      <c r="IO50" s="485"/>
      <c r="IP50" s="485"/>
      <c r="IR50" s="485" t="s">
        <v>10</v>
      </c>
      <c r="IS50" s="485"/>
      <c r="IU50" s="485" t="s">
        <v>14</v>
      </c>
      <c r="IV50" s="485"/>
      <c r="IW50" s="485"/>
      <c r="IX50" s="485"/>
    </row>
    <row r="51" spans="29:258" x14ac:dyDescent="0.3">
      <c r="AC51" s="79">
        <f t="shared" si="85"/>
        <v>2014</v>
      </c>
      <c r="BF51" s="82">
        <v>1982</v>
      </c>
      <c r="BG51" s="85">
        <v>4.5999999999999996</v>
      </c>
      <c r="BH51" s="85">
        <v>2.2000000000000002</v>
      </c>
      <c r="BI51" s="85">
        <v>72.5</v>
      </c>
      <c r="BJ51" s="85">
        <v>1.4</v>
      </c>
      <c r="BK51" s="85">
        <v>24.9</v>
      </c>
      <c r="BL51" s="85">
        <v>4.0999999999999996</v>
      </c>
      <c r="BM51" s="85">
        <v>9.1</v>
      </c>
      <c r="BN51" s="85">
        <v>118.8</v>
      </c>
      <c r="BO51" s="85">
        <v>77.099999999999994</v>
      </c>
      <c r="BP51" s="85">
        <v>195.9</v>
      </c>
      <c r="CB51" s="124">
        <v>1982</v>
      </c>
      <c r="CC51" s="136">
        <v>45107</v>
      </c>
      <c r="CD51" s="129">
        <v>1088</v>
      </c>
      <c r="CE51" s="107"/>
      <c r="CF51" s="129">
        <v>46195</v>
      </c>
      <c r="CG51" s="129">
        <v>25760</v>
      </c>
      <c r="CH51" s="129">
        <v>1123</v>
      </c>
      <c r="CI51" s="129">
        <v>26883</v>
      </c>
      <c r="CJ51" s="129">
        <v>1702</v>
      </c>
      <c r="CK51" s="129">
        <v>3517</v>
      </c>
      <c r="CL51" s="129">
        <v>5219</v>
      </c>
      <c r="CM51" s="107"/>
      <c r="CN51" s="129">
        <v>6117</v>
      </c>
      <c r="CO51" s="129">
        <v>6894</v>
      </c>
      <c r="CP51" s="129">
        <v>13011</v>
      </c>
      <c r="CQ51" s="142">
        <v>12571</v>
      </c>
      <c r="CR51" s="127">
        <v>3</v>
      </c>
      <c r="CS51" s="128">
        <v>1982</v>
      </c>
      <c r="CU51" s="74">
        <f t="shared" si="44"/>
        <v>46195</v>
      </c>
      <c r="DX51">
        <v>2010</v>
      </c>
      <c r="DY51" s="74">
        <f>9380-707</f>
        <v>8673</v>
      </c>
      <c r="DZ51" s="74">
        <f t="shared" ref="DZ51:EC51" si="91">DZ35-DZ9</f>
        <v>64.097560975609781</v>
      </c>
      <c r="EA51" s="74">
        <f t="shared" si="91"/>
        <v>71.619047619047649</v>
      </c>
      <c r="EB51" s="74">
        <f t="shared" si="91"/>
        <v>808.77049180327867</v>
      </c>
      <c r="EC51" s="74">
        <f t="shared" si="91"/>
        <v>101.23076923076923</v>
      </c>
      <c r="ED51" s="74">
        <f t="shared" si="89"/>
        <v>9718.7178696287046</v>
      </c>
      <c r="EE51" s="74"/>
      <c r="EG51" s="74"/>
      <c r="EH51" s="74"/>
      <c r="EI51" s="74"/>
      <c r="EJ51" s="74"/>
      <c r="EK51" s="74"/>
      <c r="EL51" s="74"/>
      <c r="EN51" s="74"/>
      <c r="EO51" s="74"/>
      <c r="EP51" s="74"/>
      <c r="EQ51" s="74"/>
      <c r="ES51" s="74"/>
      <c r="ET51" s="74"/>
      <c r="EU51" s="74"/>
      <c r="EV51" s="74"/>
      <c r="EW51" s="74"/>
      <c r="EX51" s="74"/>
      <c r="EY51" s="74"/>
      <c r="EZ51" s="74"/>
      <c r="FA51" s="74"/>
      <c r="FD51">
        <v>2007</v>
      </c>
      <c r="FE51" s="240">
        <f t="shared" ref="FE51:FE62" si="92">FV6</f>
        <v>23279</v>
      </c>
      <c r="FF51" s="268">
        <f>FE51*(1-$FH$64)</f>
        <v>18388.181403654984</v>
      </c>
      <c r="FG51" s="268">
        <f>FE51*$FH$64</f>
        <v>4890.8185963450169</v>
      </c>
      <c r="FH51" s="240"/>
      <c r="FI51" s="240">
        <v>7275</v>
      </c>
      <c r="FJ51" s="240">
        <v>1198</v>
      </c>
      <c r="FK51">
        <f>Fishery!FD43</f>
        <v>5382</v>
      </c>
      <c r="FL51">
        <f>Fishery!FC22</f>
        <v>248</v>
      </c>
      <c r="FM51" s="65">
        <f t="shared" ref="FM51:FM61" si="93">FH27</f>
        <v>0</v>
      </c>
      <c r="FN51" s="65">
        <f t="shared" ref="FN51:FN61" si="94">FI27</f>
        <v>0</v>
      </c>
      <c r="FO51" s="65">
        <f t="shared" ref="FO51:FO60" si="95">FF51+FI51+FK51+FM51</f>
        <v>31045.181403654984</v>
      </c>
      <c r="FP51" s="65">
        <f t="shared" ref="FP51:FP60" si="96">FG51+FJ51+FL51+FN51</f>
        <v>6336.8185963450169</v>
      </c>
      <c r="FQ51" s="65">
        <f t="shared" ref="FQ51:FQ60" si="97">SUM(FF51:FN51)</f>
        <v>37382</v>
      </c>
      <c r="FR51" s="65">
        <f>Fishery!FC43</f>
        <v>1554</v>
      </c>
      <c r="FS51">
        <f>Fishery!FE22</f>
        <v>48</v>
      </c>
      <c r="FT51">
        <f>Fishery!FF43</f>
        <v>1192</v>
      </c>
      <c r="FU51">
        <f>Fishery!FD22</f>
        <v>77</v>
      </c>
      <c r="FV51" s="65">
        <f t="shared" ref="FV51:FV60" si="98">FO51+FR51+FT51</f>
        <v>33791.181403654984</v>
      </c>
      <c r="FW51" s="65">
        <f t="shared" ref="FW51:FW60" si="99">FP51+FS51+FU51</f>
        <v>6461.8185963450169</v>
      </c>
      <c r="FY51" s="198" t="s">
        <v>6</v>
      </c>
      <c r="GA51" s="198" t="s">
        <v>5</v>
      </c>
      <c r="HJ51">
        <v>2015</v>
      </c>
      <c r="HK51" s="218">
        <f t="shared" si="71"/>
        <v>7.1749317769739515E-2</v>
      </c>
      <c r="HL51" s="218">
        <f t="shared" si="72"/>
        <v>4.2991811489239019E-3</v>
      </c>
      <c r="HM51" s="218"/>
      <c r="HN51" s="218">
        <f t="shared" si="73"/>
        <v>5.0128402443840401E-3</v>
      </c>
      <c r="HO51" s="218">
        <f t="shared" si="74"/>
        <v>4.1604978860553893E-4</v>
      </c>
      <c r="HP51" s="218"/>
      <c r="HQ51" s="218">
        <f t="shared" si="75"/>
        <v>0.16103140930685136</v>
      </c>
      <c r="HR51" s="218">
        <f t="shared" si="76"/>
        <v>1.5671208704141966E-2</v>
      </c>
      <c r="HS51" s="218"/>
      <c r="HT51" s="218">
        <f t="shared" si="77"/>
        <v>4.1404600368055551E-2</v>
      </c>
      <c r="HU51" s="218">
        <f t="shared" si="78"/>
        <v>2.7043236259360029E-3</v>
      </c>
      <c r="HV51" s="218"/>
      <c r="HW51" s="218">
        <f t="shared" si="79"/>
        <v>3.0344717401683968E-2</v>
      </c>
      <c r="HX51" s="218">
        <f t="shared" si="80"/>
        <v>3.3283983088443114E-3</v>
      </c>
      <c r="HY51" s="218"/>
      <c r="HZ51" s="218"/>
      <c r="IA51" s="218"/>
      <c r="IC51" s="354" t="s">
        <v>3</v>
      </c>
      <c r="ID51" s="26"/>
      <c r="IE51" s="324" t="s">
        <v>765</v>
      </c>
      <c r="IF51" s="324" t="s">
        <v>766</v>
      </c>
      <c r="IG51" s="324" t="s">
        <v>763</v>
      </c>
      <c r="IH51" s="324" t="s">
        <v>767</v>
      </c>
      <c r="II51" s="26"/>
      <c r="IJ51" s="324" t="s">
        <v>768</v>
      </c>
      <c r="IK51" s="324" t="s">
        <v>442</v>
      </c>
      <c r="IL51" s="26"/>
      <c r="IM51" s="324" t="s">
        <v>769</v>
      </c>
      <c r="IN51" s="324" t="s">
        <v>766</v>
      </c>
      <c r="IO51" s="324" t="s">
        <v>763</v>
      </c>
      <c r="IP51" s="324" t="s">
        <v>767</v>
      </c>
      <c r="IR51" s="324" t="s">
        <v>768</v>
      </c>
      <c r="IS51" s="324" t="s">
        <v>442</v>
      </c>
      <c r="IT51" s="26"/>
      <c r="IU51" s="324" t="s">
        <v>769</v>
      </c>
      <c r="IV51" s="324" t="s">
        <v>766</v>
      </c>
      <c r="IW51" s="324" t="s">
        <v>763</v>
      </c>
      <c r="IX51" s="324" t="s">
        <v>767</v>
      </c>
    </row>
    <row r="52" spans="29:258" x14ac:dyDescent="0.3">
      <c r="AC52" s="79">
        <f t="shared" si="85"/>
        <v>2015</v>
      </c>
      <c r="BF52" s="82">
        <v>1983</v>
      </c>
      <c r="BG52" s="85">
        <v>5.4</v>
      </c>
      <c r="BH52" s="85">
        <v>2.2000000000000002</v>
      </c>
      <c r="BI52" s="85">
        <v>55.1</v>
      </c>
      <c r="BJ52" s="85">
        <v>1.8</v>
      </c>
      <c r="BK52" s="85">
        <v>26.5</v>
      </c>
      <c r="BL52" s="85">
        <v>3.9</v>
      </c>
      <c r="BM52" s="85">
        <v>5.4</v>
      </c>
      <c r="BN52" s="85">
        <v>100.3</v>
      </c>
      <c r="BO52" s="85">
        <v>59.6</v>
      </c>
      <c r="BP52" s="85">
        <v>159.9</v>
      </c>
      <c r="CB52" s="124">
        <v>1983</v>
      </c>
      <c r="CC52" s="136">
        <v>28692</v>
      </c>
      <c r="CD52" s="129">
        <v>1897</v>
      </c>
      <c r="CE52" s="107"/>
      <c r="CF52" s="129">
        <v>30589</v>
      </c>
      <c r="CG52" s="129">
        <v>13205</v>
      </c>
      <c r="CH52" s="127">
        <v>528</v>
      </c>
      <c r="CI52" s="129">
        <v>13733</v>
      </c>
      <c r="CJ52" s="127">
        <v>949</v>
      </c>
      <c r="CK52" s="129">
        <v>2840</v>
      </c>
      <c r="CL52" s="129">
        <v>3689</v>
      </c>
      <c r="CM52" s="107"/>
      <c r="CN52" s="129">
        <v>4596</v>
      </c>
      <c r="CO52" s="129">
        <v>4702</v>
      </c>
      <c r="CP52" s="129">
        <v>9298</v>
      </c>
      <c r="CQ52" s="129">
        <v>5301</v>
      </c>
      <c r="CR52" s="141">
        <v>120</v>
      </c>
      <c r="CS52" s="128">
        <v>1983</v>
      </c>
      <c r="CU52" s="74">
        <f t="shared" si="44"/>
        <v>30589</v>
      </c>
      <c r="DX52">
        <v>2011</v>
      </c>
      <c r="DY52" s="74">
        <f>4843-488</f>
        <v>4355</v>
      </c>
      <c r="DZ52" s="74">
        <f t="shared" ref="DZ52:EC52" si="100">DZ36-DZ10</f>
        <v>311.0625</v>
      </c>
      <c r="EA52" s="74">
        <f t="shared" si="100"/>
        <v>483.34426229508199</v>
      </c>
      <c r="EB52" s="74">
        <f t="shared" si="100"/>
        <v>4663.2857142857147</v>
      </c>
      <c r="EC52" s="74">
        <f t="shared" si="100"/>
        <v>97.461538461538453</v>
      </c>
      <c r="ED52" s="74">
        <f t="shared" si="89"/>
        <v>9910.1540150423352</v>
      </c>
      <c r="EE52" s="74"/>
      <c r="EG52" s="74"/>
      <c r="EH52" s="74"/>
      <c r="EI52" s="74"/>
      <c r="EJ52" s="74"/>
      <c r="EK52" s="74"/>
      <c r="EL52" s="74"/>
      <c r="EN52" s="74"/>
      <c r="EO52" s="74"/>
      <c r="EP52" s="74"/>
      <c r="EQ52" s="74"/>
      <c r="ES52" s="74"/>
      <c r="ET52" s="74"/>
      <c r="EU52" s="74"/>
      <c r="EV52" s="74"/>
      <c r="EW52" s="74"/>
      <c r="EX52" s="74"/>
      <c r="EY52" s="74"/>
      <c r="EZ52" s="74"/>
      <c r="FA52" s="74"/>
      <c r="FD52">
        <v>2008</v>
      </c>
      <c r="FE52" s="240">
        <f t="shared" si="92"/>
        <v>14151</v>
      </c>
      <c r="FF52" s="268">
        <f>FE52*(1-$FH$64)</f>
        <v>11177.935265394633</v>
      </c>
      <c r="FG52" s="268">
        <f>FE52*$FH$64</f>
        <v>2973.064734605367</v>
      </c>
      <c r="FH52" s="240"/>
      <c r="FI52" s="240">
        <v>6107</v>
      </c>
      <c r="FJ52" s="240">
        <v>1312</v>
      </c>
      <c r="FK52">
        <f>Fishery!FD42</f>
        <v>4301</v>
      </c>
      <c r="FL52">
        <f>Fishery!FC21</f>
        <v>241</v>
      </c>
      <c r="FM52" s="65">
        <f t="shared" si="93"/>
        <v>0</v>
      </c>
      <c r="FN52" s="65">
        <f t="shared" si="94"/>
        <v>0</v>
      </c>
      <c r="FO52" s="65">
        <f t="shared" si="95"/>
        <v>21585.935265394633</v>
      </c>
      <c r="FP52" s="65">
        <f t="shared" si="96"/>
        <v>4526.0647346053665</v>
      </c>
      <c r="FQ52" s="65">
        <f t="shared" si="97"/>
        <v>26112</v>
      </c>
      <c r="FR52" s="65">
        <f>Fishery!FC42</f>
        <v>195</v>
      </c>
      <c r="FS52">
        <f>Fishery!FE21</f>
        <v>8</v>
      </c>
      <c r="FT52">
        <f>Fishery!FF42</f>
        <v>96</v>
      </c>
      <c r="FU52">
        <f>Fishery!FD21</f>
        <v>0</v>
      </c>
      <c r="FV52" s="65">
        <f t="shared" si="98"/>
        <v>21876.935265394633</v>
      </c>
      <c r="FW52" s="65">
        <f t="shared" si="99"/>
        <v>4534.0647346053665</v>
      </c>
      <c r="HK52" s="218"/>
      <c r="HL52" s="218"/>
      <c r="HM52" s="218"/>
      <c r="HN52" s="218"/>
      <c r="HO52" s="218"/>
      <c r="HP52" s="218"/>
      <c r="HQ52" s="218"/>
      <c r="HR52" s="218"/>
      <c r="HS52" s="218"/>
      <c r="HT52" s="218"/>
      <c r="HU52" s="218"/>
      <c r="HV52" s="218"/>
      <c r="HW52" s="218"/>
      <c r="HX52" s="218"/>
      <c r="HY52" s="218"/>
      <c r="HZ52" s="218"/>
      <c r="IA52" s="218"/>
    </row>
    <row r="53" spans="29:258" x14ac:dyDescent="0.3">
      <c r="BF53" s="82">
        <v>1984</v>
      </c>
      <c r="BG53" s="85">
        <v>8.1999999999999993</v>
      </c>
      <c r="BH53" s="85">
        <v>1.6</v>
      </c>
      <c r="BI53" s="85">
        <v>74.5</v>
      </c>
      <c r="BJ53" s="85">
        <v>2.2999999999999998</v>
      </c>
      <c r="BK53" s="85">
        <v>22.7</v>
      </c>
      <c r="BL53" s="85">
        <v>6.7</v>
      </c>
      <c r="BM53" s="85">
        <v>1.9</v>
      </c>
      <c r="BN53" s="85">
        <v>117.9</v>
      </c>
      <c r="BO53" s="85">
        <v>52.8</v>
      </c>
      <c r="BP53" s="85">
        <v>170.7</v>
      </c>
      <c r="CB53" s="124">
        <v>1984</v>
      </c>
      <c r="CC53" s="136">
        <v>42363</v>
      </c>
      <c r="CD53" s="129">
        <v>1089</v>
      </c>
      <c r="CE53" s="107"/>
      <c r="CF53" s="129">
        <v>43452</v>
      </c>
      <c r="CG53" s="129">
        <v>20060</v>
      </c>
      <c r="CH53" s="129">
        <v>1084</v>
      </c>
      <c r="CI53" s="129">
        <v>21144</v>
      </c>
      <c r="CJ53" s="129">
        <v>2735</v>
      </c>
      <c r="CK53" s="129">
        <v>2560</v>
      </c>
      <c r="CL53" s="129">
        <v>5295</v>
      </c>
      <c r="CM53" s="107"/>
      <c r="CN53" s="129">
        <v>6664</v>
      </c>
      <c r="CO53" s="129">
        <v>10720</v>
      </c>
      <c r="CP53" s="129">
        <v>17384</v>
      </c>
      <c r="CQ53" s="142">
        <v>25002</v>
      </c>
      <c r="CR53" s="141">
        <v>663</v>
      </c>
      <c r="CS53" s="128">
        <v>1984</v>
      </c>
      <c r="CU53" s="74">
        <f t="shared" si="44"/>
        <v>43452</v>
      </c>
      <c r="DX53">
        <v>2012</v>
      </c>
      <c r="DY53" s="74">
        <f>3942-545</f>
        <v>3397</v>
      </c>
      <c r="DZ53" s="74">
        <f t="shared" ref="DZ53:EC53" si="101">DZ37-DZ11</f>
        <v>109.89473684210526</v>
      </c>
      <c r="EA53" s="74">
        <f t="shared" si="101"/>
        <v>267.94029850746267</v>
      </c>
      <c r="EB53" s="74">
        <f t="shared" si="101"/>
        <v>2766.8974358974356</v>
      </c>
      <c r="EC53" s="74">
        <f t="shared" si="101"/>
        <v>13.172043010752674</v>
      </c>
      <c r="ED53" s="74">
        <f t="shared" si="89"/>
        <v>6554.9045142577561</v>
      </c>
      <c r="EE53" s="74"/>
      <c r="EG53" s="74"/>
      <c r="EH53" s="74"/>
      <c r="EI53" s="74"/>
      <c r="EJ53" s="74"/>
      <c r="EK53" s="74"/>
      <c r="EL53" s="74"/>
      <c r="EN53" s="74"/>
      <c r="EO53" s="74"/>
      <c r="EP53" s="74"/>
      <c r="EQ53" s="74"/>
      <c r="ES53" s="74"/>
      <c r="ET53" s="74"/>
      <c r="EU53" s="74"/>
      <c r="EV53" s="74"/>
      <c r="EW53" s="74"/>
      <c r="EX53" s="74"/>
      <c r="EY53" s="74"/>
      <c r="EZ53" s="74"/>
      <c r="FA53" s="74"/>
      <c r="FD53">
        <v>2009</v>
      </c>
      <c r="FE53" s="240">
        <f t="shared" si="92"/>
        <v>25795</v>
      </c>
      <c r="FF53" s="268">
        <f>FE53*(1-$FH$64)</f>
        <v>20375.580536418242</v>
      </c>
      <c r="FG53" s="268">
        <f>FE53*$FH$64</f>
        <v>5419.4194635817566</v>
      </c>
      <c r="FH53" s="240"/>
      <c r="FI53" s="240">
        <v>2955</v>
      </c>
      <c r="FJ53" s="240">
        <v>617</v>
      </c>
      <c r="FK53">
        <f>Fishery!FD41</f>
        <v>3988</v>
      </c>
      <c r="FL53">
        <f>Fishery!FC20</f>
        <v>129</v>
      </c>
      <c r="FM53" s="65">
        <f t="shared" si="93"/>
        <v>0</v>
      </c>
      <c r="FN53" s="65">
        <f t="shared" si="94"/>
        <v>0</v>
      </c>
      <c r="FO53" s="65">
        <f t="shared" si="95"/>
        <v>27318.580536418242</v>
      </c>
      <c r="FP53" s="65">
        <f t="shared" si="96"/>
        <v>6165.4194635817566</v>
      </c>
      <c r="FQ53" s="65">
        <f t="shared" si="97"/>
        <v>33484</v>
      </c>
      <c r="FR53" s="65">
        <f>Fishery!FC41</f>
        <v>1302</v>
      </c>
      <c r="FS53">
        <f>Fishery!FE20</f>
        <v>25</v>
      </c>
      <c r="FT53">
        <f>Fishery!FF41</f>
        <v>321</v>
      </c>
      <c r="FU53">
        <f>Fishery!FD20</f>
        <v>2</v>
      </c>
      <c r="FV53" s="65">
        <f t="shared" si="98"/>
        <v>28941.580536418242</v>
      </c>
      <c r="FW53" s="65">
        <f t="shared" si="99"/>
        <v>6192.4194635817566</v>
      </c>
      <c r="FX53" s="87"/>
      <c r="FY53" s="65"/>
      <c r="HJ53" s="253" t="s">
        <v>718</v>
      </c>
      <c r="HK53" s="381">
        <f>AVERAGE(HK40:HK51)</f>
        <v>6.4605767474210499E-2</v>
      </c>
      <c r="HL53" s="381">
        <f>AVERAGE(HL40:HL51)</f>
        <v>6.6847938805893936E-3</v>
      </c>
      <c r="HM53" s="253"/>
      <c r="HN53" s="381">
        <f>AVERAGE(HN40:HN51)</f>
        <v>7.2582715445656731E-3</v>
      </c>
      <c r="HO53" s="381">
        <f>AVERAGE(HO40:HO51)</f>
        <v>1.1520846794066644E-3</v>
      </c>
      <c r="HP53" s="253"/>
      <c r="HQ53" s="381">
        <f>AVERAGE(HQ40:HQ51)</f>
        <v>0.1922712195157035</v>
      </c>
      <c r="HR53" s="381">
        <f>AVERAGE(HR40:HR51)</f>
        <v>2.5693519135711589E-2</v>
      </c>
      <c r="HS53" s="253"/>
      <c r="HT53" s="381">
        <f>AVERAGE(HT40:HT51)</f>
        <v>3.9520750951938029E-2</v>
      </c>
      <c r="HU53" s="381">
        <f>AVERAGE(HU40:HU51)</f>
        <v>4.0387656421463393E-3</v>
      </c>
      <c r="HV53" s="253"/>
      <c r="HW53" s="381">
        <f>AVERAGE(HW40:HW51)</f>
        <v>2.7611707156546351E-2</v>
      </c>
      <c r="HX53" s="381">
        <f>AVERAGE(HX40:HX51)</f>
        <v>4.2591417277490114E-3</v>
      </c>
      <c r="HY53" s="381"/>
      <c r="HZ53" s="381"/>
      <c r="IA53" s="381"/>
      <c r="IC53">
        <v>2007</v>
      </c>
      <c r="IE53" s="261">
        <f t="shared" ref="IE53:IE61" si="102">SUM(IF31:IH31)</f>
        <v>5.2</v>
      </c>
      <c r="IF53" s="261">
        <f t="shared" ref="IF53:IF61" si="103">SUM(II31:IR31)</f>
        <v>1.4</v>
      </c>
      <c r="IG53" s="261">
        <f t="shared" ref="IG53:IG61" si="104">SUM(IS31:IY31)</f>
        <v>0.7</v>
      </c>
      <c r="IH53" s="261">
        <f>SUM(IE53:IG53)</f>
        <v>7.3</v>
      </c>
      <c r="IJ53" s="378">
        <f t="shared" ref="IJ53:IJ61" si="105">HG6</f>
        <v>33918.964491060273</v>
      </c>
      <c r="IK53" s="74">
        <f>IJ53/(1-(IH53/100))</f>
        <v>36590.03720718476</v>
      </c>
      <c r="IM53" s="74">
        <f>IK53*(IE53/100)</f>
        <v>1902.6819347736077</v>
      </c>
      <c r="IN53" s="74">
        <f>IK53*(IF53/100)</f>
        <v>512.26052090058658</v>
      </c>
      <c r="IO53" s="74">
        <f>IK53*(IG53/100)</f>
        <v>256.13026045029329</v>
      </c>
      <c r="IP53" s="74">
        <f>IK53*(IH53/100)</f>
        <v>2671.0727161244872</v>
      </c>
      <c r="IR53" s="379">
        <f t="shared" ref="IR53:IR61" si="106">HH6</f>
        <v>6489.0355089397262</v>
      </c>
      <c r="IS53" s="74">
        <f>IR53/(1-(IH53/100))</f>
        <v>7000.0383052208481</v>
      </c>
      <c r="IU53" s="74">
        <f>IS53*(IE53/100)</f>
        <v>364.00199187148411</v>
      </c>
      <c r="IV53" s="74">
        <f>IS53*(IF53/100)</f>
        <v>98.000536273091868</v>
      </c>
      <c r="IW53" s="74">
        <f>IS53*(IG53/100)</f>
        <v>49.000268136545934</v>
      </c>
      <c r="IX53" s="74">
        <f>IS53*(IH53/100)</f>
        <v>511.0027962811219</v>
      </c>
    </row>
    <row r="54" spans="29:258" x14ac:dyDescent="0.3">
      <c r="BF54" s="82">
        <v>1985</v>
      </c>
      <c r="BG54" s="85">
        <v>9.8000000000000007</v>
      </c>
      <c r="BH54" s="85">
        <v>1.1000000000000001</v>
      </c>
      <c r="BI54" s="85">
        <v>57.1</v>
      </c>
      <c r="BJ54" s="85">
        <v>1.4</v>
      </c>
      <c r="BK54" s="85">
        <v>10.4</v>
      </c>
      <c r="BL54" s="85">
        <v>4.5999999999999996</v>
      </c>
      <c r="BM54" s="85">
        <v>0.4</v>
      </c>
      <c r="BN54" s="85">
        <v>84.8</v>
      </c>
      <c r="BO54" s="85">
        <v>94.2</v>
      </c>
      <c r="BP54" s="85">
        <v>179</v>
      </c>
      <c r="CB54" s="124">
        <v>1985</v>
      </c>
      <c r="CC54" s="136">
        <v>33095</v>
      </c>
      <c r="CD54" s="129">
        <v>1438</v>
      </c>
      <c r="CE54" s="129">
        <v>26133</v>
      </c>
      <c r="CF54" s="129">
        <v>34533</v>
      </c>
      <c r="CG54" s="129">
        <v>29089</v>
      </c>
      <c r="CH54" s="129">
        <v>1114</v>
      </c>
      <c r="CI54" s="129">
        <v>30203</v>
      </c>
      <c r="CJ54" s="129">
        <v>2788</v>
      </c>
      <c r="CK54" s="129">
        <v>2278</v>
      </c>
      <c r="CL54" s="129">
        <v>5066</v>
      </c>
      <c r="CM54" s="107"/>
      <c r="CN54" s="129">
        <v>4549</v>
      </c>
      <c r="CO54" s="129">
        <v>16043</v>
      </c>
      <c r="CP54" s="129">
        <v>20592</v>
      </c>
      <c r="CQ54" s="142">
        <v>22223</v>
      </c>
      <c r="CR54" s="141">
        <v>70</v>
      </c>
      <c r="CS54" s="128">
        <v>1985</v>
      </c>
      <c r="CU54" s="74">
        <f t="shared" ref="CU54:CU86" si="107">CC54+CD54</f>
        <v>34533</v>
      </c>
      <c r="DX54">
        <v>2013</v>
      </c>
      <c r="DY54" s="74">
        <f>3630-368</f>
        <v>3262</v>
      </c>
      <c r="DZ54" s="74">
        <f t="shared" ref="DZ54:EC54" si="108">DZ38-DZ12</f>
        <v>96.179487179487182</v>
      </c>
      <c r="EA54" s="74">
        <f t="shared" si="108"/>
        <v>771.22222222222217</v>
      </c>
      <c r="EB54" s="74">
        <f t="shared" si="108"/>
        <v>2440.424242424242</v>
      </c>
      <c r="EC54" s="74">
        <f t="shared" si="108"/>
        <v>3.765957446808514</v>
      </c>
      <c r="ED54" s="74">
        <f t="shared" si="89"/>
        <v>6573.5919092727599</v>
      </c>
      <c r="EE54" s="74"/>
      <c r="EG54" s="74"/>
      <c r="EH54" s="74"/>
      <c r="EI54" s="74"/>
      <c r="EJ54" s="74"/>
      <c r="EK54" s="74"/>
      <c r="EL54" s="74"/>
      <c r="EN54" s="74"/>
      <c r="EO54" s="74"/>
      <c r="EP54" s="74"/>
      <c r="EQ54" s="74"/>
      <c r="ES54" s="74"/>
      <c r="ET54" s="74"/>
      <c r="EU54" s="74"/>
      <c r="EV54" s="74"/>
      <c r="EW54" s="74"/>
      <c r="EX54" s="74"/>
      <c r="EY54" s="74"/>
      <c r="EZ54" s="74"/>
      <c r="FA54" s="74"/>
      <c r="FD54">
        <v>2010</v>
      </c>
      <c r="FE54" s="240">
        <f t="shared" si="92"/>
        <v>65293</v>
      </c>
      <c r="FF54" s="268">
        <f>FE54*(1-$FH$64)</f>
        <v>51575.219227150854</v>
      </c>
      <c r="FG54" s="268">
        <f>FE54*$FH$64</f>
        <v>13717.780772849144</v>
      </c>
      <c r="FH54" s="240"/>
      <c r="FI54" s="240">
        <v>9380</v>
      </c>
      <c r="FJ54" s="240">
        <v>1164</v>
      </c>
      <c r="FK54">
        <f>Fishery!FD40</f>
        <v>21611</v>
      </c>
      <c r="FL54">
        <f>Fishery!FC19</f>
        <v>382</v>
      </c>
      <c r="FM54" s="65">
        <f t="shared" si="93"/>
        <v>0</v>
      </c>
      <c r="FN54" s="65">
        <f t="shared" si="94"/>
        <v>0</v>
      </c>
      <c r="FO54" s="65">
        <f t="shared" si="95"/>
        <v>82566.219227150854</v>
      </c>
      <c r="FP54" s="65">
        <f t="shared" si="96"/>
        <v>15263.780772849144</v>
      </c>
      <c r="FQ54" s="65">
        <f t="shared" si="97"/>
        <v>97830</v>
      </c>
      <c r="FR54" s="65">
        <f>Fishery!FC40</f>
        <v>5255</v>
      </c>
      <c r="FS54">
        <f>Fishery!FE19</f>
        <v>97</v>
      </c>
      <c r="FT54">
        <f>Fishery!FF40</f>
        <v>3192</v>
      </c>
      <c r="FU54">
        <f>Fishery!FD19</f>
        <v>55</v>
      </c>
      <c r="FV54" s="65">
        <f t="shared" si="98"/>
        <v>91013.219227150854</v>
      </c>
      <c r="FW54" s="65">
        <f t="shared" si="99"/>
        <v>15415.780772849144</v>
      </c>
      <c r="FX54" s="198" t="s">
        <v>5</v>
      </c>
      <c r="FY54" s="65"/>
      <c r="IC54">
        <v>2008</v>
      </c>
      <c r="IE54" s="261">
        <f t="shared" si="102"/>
        <v>2.3000000000000003</v>
      </c>
      <c r="IF54" s="261">
        <f t="shared" si="103"/>
        <v>1.7999999999999998</v>
      </c>
      <c r="IG54" s="261">
        <f t="shared" si="104"/>
        <v>0.1</v>
      </c>
      <c r="IH54" s="261">
        <f>SUM(IE54:IG54)</f>
        <v>4.1999999999999993</v>
      </c>
      <c r="IJ54" s="378">
        <f t="shared" si="105"/>
        <v>22049.199129945308</v>
      </c>
      <c r="IK54" s="74">
        <f>IJ54/(1-(IH54/100))</f>
        <v>23015.865480109926</v>
      </c>
      <c r="IM54" s="74">
        <f>IK54*(IE54/100)</f>
        <v>529.36490604252833</v>
      </c>
      <c r="IN54" s="74">
        <f>IK54*(IF54/100)</f>
        <v>414.28557864197865</v>
      </c>
      <c r="IO54" s="74">
        <f>IK54*(IG54/100)</f>
        <v>23.015865480109927</v>
      </c>
      <c r="IP54" s="74">
        <f>IK54*(IH54/100)</f>
        <v>966.6663501646168</v>
      </c>
      <c r="IR54" s="379">
        <f t="shared" si="106"/>
        <v>4568.8008700546934</v>
      </c>
      <c r="IS54" s="74">
        <f>IR54/(1-(IH54/100))</f>
        <v>4769.1032046499931</v>
      </c>
      <c r="IU54" s="74">
        <f>IS54*(IE54/100)</f>
        <v>109.68937370694985</v>
      </c>
      <c r="IV54" s="74">
        <f>IS54*(IF54/100)</f>
        <v>85.843857683699866</v>
      </c>
      <c r="IW54" s="74">
        <f>IS54*(IG54/100)</f>
        <v>4.7691032046499933</v>
      </c>
      <c r="IX54" s="74">
        <f>IS54*(IH54/100)</f>
        <v>200.3023345952997</v>
      </c>
    </row>
    <row r="55" spans="29:258" x14ac:dyDescent="0.3">
      <c r="BF55" s="82">
        <v>1986</v>
      </c>
      <c r="BG55" s="85">
        <v>8.6</v>
      </c>
      <c r="BH55" s="85">
        <v>4.4000000000000004</v>
      </c>
      <c r="BI55" s="85">
        <v>62.5</v>
      </c>
      <c r="BJ55" s="85">
        <v>1.3</v>
      </c>
      <c r="BK55" s="85">
        <v>11.3</v>
      </c>
      <c r="BL55" s="85">
        <v>9.4</v>
      </c>
      <c r="BM55" s="85">
        <v>1.2</v>
      </c>
      <c r="BN55" s="85">
        <v>98.7</v>
      </c>
      <c r="BO55" s="85">
        <v>125.5</v>
      </c>
      <c r="BP55" s="85">
        <v>224.2</v>
      </c>
      <c r="CB55" s="124">
        <v>1986</v>
      </c>
      <c r="CC55" s="136">
        <v>37300</v>
      </c>
      <c r="CD55" s="129">
        <v>1855</v>
      </c>
      <c r="CE55" s="129">
        <v>10756</v>
      </c>
      <c r="CF55" s="129">
        <v>39155</v>
      </c>
      <c r="CG55" s="129">
        <v>14037</v>
      </c>
      <c r="CH55" s="127">
        <v>810</v>
      </c>
      <c r="CI55" s="129">
        <v>14847</v>
      </c>
      <c r="CJ55" s="129">
        <v>2930</v>
      </c>
      <c r="CK55" s="129">
        <v>2240</v>
      </c>
      <c r="CL55" s="129">
        <v>5170</v>
      </c>
      <c r="CM55" s="107"/>
      <c r="CN55" s="129">
        <v>8475</v>
      </c>
      <c r="CO55" s="129">
        <v>12776</v>
      </c>
      <c r="CP55" s="129">
        <v>21251</v>
      </c>
      <c r="CQ55" s="142">
        <v>40719</v>
      </c>
      <c r="CR55" s="141">
        <v>69</v>
      </c>
      <c r="CS55" s="128">
        <v>1986</v>
      </c>
      <c r="CU55" s="74">
        <f t="shared" si="107"/>
        <v>39155</v>
      </c>
      <c r="DX55">
        <v>2014</v>
      </c>
      <c r="DY55" s="74">
        <f>4473-307</f>
        <v>4166</v>
      </c>
      <c r="DZ55" s="74">
        <f t="shared" ref="DZ55:EC55" si="109">DZ39-DZ13</f>
        <v>115.57894736842104</v>
      </c>
      <c r="EA55" s="74">
        <f t="shared" si="109"/>
        <v>1223.5238095238096</v>
      </c>
      <c r="EB55" s="74">
        <f t="shared" si="109"/>
        <v>964.62745098039204</v>
      </c>
      <c r="EC55" s="74">
        <f t="shared" si="109"/>
        <v>13.597701149425291</v>
      </c>
      <c r="ED55" s="74">
        <f t="shared" si="89"/>
        <v>6483.3279090220476</v>
      </c>
      <c r="EE55" s="74"/>
      <c r="EG55" s="74"/>
      <c r="EH55" s="74"/>
      <c r="EI55" s="74"/>
      <c r="EJ55" s="74"/>
      <c r="EK55" s="74"/>
      <c r="EL55" s="74"/>
      <c r="EN55" s="74"/>
      <c r="EO55" s="74"/>
      <c r="EP55" s="74"/>
      <c r="EQ55" s="74"/>
      <c r="ES55" s="74"/>
      <c r="ET55" s="74"/>
      <c r="EU55" s="74"/>
      <c r="EV55" s="74"/>
      <c r="EW55" s="74"/>
      <c r="EX55" s="74"/>
      <c r="EY55" s="74"/>
      <c r="EZ55" s="74"/>
      <c r="FA55" s="74"/>
      <c r="FD55">
        <v>2011</v>
      </c>
      <c r="FE55" s="240">
        <f t="shared" si="92"/>
        <v>43748</v>
      </c>
      <c r="FF55" s="268">
        <f>FE55*(1-$FH$64)</f>
        <v>34556.73182040028</v>
      </c>
      <c r="FG55" s="268">
        <f>FE55*$FH$64</f>
        <v>9191.2681795997178</v>
      </c>
      <c r="FH55" s="240"/>
      <c r="FI55" s="240">
        <v>4843</v>
      </c>
      <c r="FJ55" s="240">
        <v>1673</v>
      </c>
      <c r="FK55">
        <f>Fishery!FD39</f>
        <v>20582</v>
      </c>
      <c r="FL55">
        <f>Fishery!FC18</f>
        <v>449</v>
      </c>
      <c r="FM55" s="65">
        <f t="shared" si="93"/>
        <v>0</v>
      </c>
      <c r="FN55" s="65">
        <f t="shared" si="94"/>
        <v>0</v>
      </c>
      <c r="FO55" s="65">
        <f t="shared" si="95"/>
        <v>59981.73182040028</v>
      </c>
      <c r="FP55" s="65">
        <f t="shared" si="96"/>
        <v>11313.268179599718</v>
      </c>
      <c r="FQ55" s="65">
        <f t="shared" si="97"/>
        <v>71295</v>
      </c>
      <c r="FR55" s="65">
        <f>Fishery!FC39</f>
        <v>1975</v>
      </c>
      <c r="FS55">
        <f>Fishery!FE18</f>
        <v>44</v>
      </c>
      <c r="FT55">
        <f>Fishery!FF39</f>
        <v>2118</v>
      </c>
      <c r="FU55">
        <f>Fishery!FD18</f>
        <v>118</v>
      </c>
      <c r="FV55" s="65">
        <f t="shared" si="98"/>
        <v>64074.73182040028</v>
      </c>
      <c r="FW55" s="65">
        <f t="shared" si="99"/>
        <v>11475.268179599718</v>
      </c>
      <c r="FY55" s="65"/>
      <c r="IC55">
        <v>2009</v>
      </c>
      <c r="IE55" s="261">
        <f t="shared" si="102"/>
        <v>3.4</v>
      </c>
      <c r="IF55" s="261">
        <f t="shared" si="103"/>
        <v>3.7</v>
      </c>
      <c r="IG55" s="261">
        <f t="shared" si="104"/>
        <v>0.7</v>
      </c>
      <c r="IH55" s="261">
        <f t="shared" ref="IH55:IH61" si="110">SUM(IE55:IG55)</f>
        <v>7.8</v>
      </c>
      <c r="IJ55" s="378">
        <f t="shared" si="105"/>
        <v>29201.878503449567</v>
      </c>
      <c r="IK55" s="74">
        <f t="shared" ref="IK55:IK61" si="111">IJ55/(1-(IH55/100))</f>
        <v>31672.319418058098</v>
      </c>
      <c r="IM55" s="74">
        <f t="shared" ref="IM55:IM61" si="112">IK55*(IE55/100)</f>
        <v>1076.8588602139755</v>
      </c>
      <c r="IN55" s="74">
        <f t="shared" ref="IN55:IN61" si="113">IK55*(IF55/100)</f>
        <v>1171.8758184681499</v>
      </c>
      <c r="IO55" s="74">
        <f t="shared" ref="IO55:IO61" si="114">IK55*(IG55/100)</f>
        <v>221.70623592640666</v>
      </c>
      <c r="IP55" s="74">
        <f t="shared" ref="IP55:IP61" si="115">IK55*(IH55/100)</f>
        <v>2470.4409146085318</v>
      </c>
      <c r="IR55" s="379">
        <f t="shared" si="106"/>
        <v>6254.1214965504323</v>
      </c>
      <c r="IS55" s="74">
        <f t="shared" ref="IS55:IS61" si="116">IR55/(1-(IH55/100))</f>
        <v>6783.2120353041564</v>
      </c>
      <c r="IU55" s="74">
        <f t="shared" ref="IU55:IU61" si="117">IS55*(IE55/100)</f>
        <v>230.62920920034134</v>
      </c>
      <c r="IV55" s="74">
        <f t="shared" ref="IV55:IV61" si="118">IS55*(IF55/100)</f>
        <v>250.97884530625382</v>
      </c>
      <c r="IW55" s="74">
        <f t="shared" ref="IW55:IW61" si="119">IS55*(IG55/100)</f>
        <v>47.482484247129094</v>
      </c>
      <c r="IX55" s="74">
        <f t="shared" ref="IX55:IX61" si="120">IS55*(IH55/100)</f>
        <v>529.09053875372422</v>
      </c>
    </row>
    <row r="56" spans="29:258" x14ac:dyDescent="0.3">
      <c r="BF56" s="82">
        <v>1987</v>
      </c>
      <c r="BG56" s="85">
        <v>10.6</v>
      </c>
      <c r="BH56" s="85">
        <v>2.4</v>
      </c>
      <c r="BI56" s="85">
        <v>82.9</v>
      </c>
      <c r="BJ56" s="85">
        <v>2.4</v>
      </c>
      <c r="BK56" s="85">
        <v>20.2</v>
      </c>
      <c r="BL56" s="85">
        <v>17.399999999999999</v>
      </c>
      <c r="BM56" s="85">
        <v>2.7</v>
      </c>
      <c r="BN56" s="85">
        <v>138.6</v>
      </c>
      <c r="BO56" s="85">
        <v>103.2</v>
      </c>
      <c r="BP56" s="85">
        <v>241.8</v>
      </c>
      <c r="CB56" s="124">
        <v>1987</v>
      </c>
      <c r="CC56" s="136">
        <v>52797</v>
      </c>
      <c r="CD56" s="129">
        <v>2035</v>
      </c>
      <c r="CE56" s="129">
        <v>26486</v>
      </c>
      <c r="CF56" s="129">
        <v>54832</v>
      </c>
      <c r="CG56" s="129">
        <v>8766</v>
      </c>
      <c r="CH56" s="127">
        <v>183</v>
      </c>
      <c r="CI56" s="129">
        <v>8949</v>
      </c>
      <c r="CJ56" s="129">
        <v>1589</v>
      </c>
      <c r="CK56" s="129">
        <v>3224</v>
      </c>
      <c r="CL56" s="129">
        <v>4813</v>
      </c>
      <c r="CM56" s="107"/>
      <c r="CN56" s="129">
        <v>8543</v>
      </c>
      <c r="CO56" s="129">
        <v>8222</v>
      </c>
      <c r="CP56" s="129">
        <v>16765</v>
      </c>
      <c r="CQ56" s="142">
        <v>23742</v>
      </c>
      <c r="CR56" s="141">
        <v>69</v>
      </c>
      <c r="CS56" s="128">
        <v>1987</v>
      </c>
      <c r="CU56" s="74">
        <f t="shared" si="107"/>
        <v>54832</v>
      </c>
      <c r="DX56">
        <v>2015</v>
      </c>
      <c r="DY56" s="74">
        <f>5808-412</f>
        <v>5396</v>
      </c>
      <c r="DZ56" s="74">
        <f t="shared" ref="DZ56:EC56" si="121">DZ40-DZ14</f>
        <v>133.52054794520546</v>
      </c>
      <c r="EA56" s="74">
        <f t="shared" si="121"/>
        <v>437.10169491525426</v>
      </c>
      <c r="EB56" s="74">
        <f t="shared" si="121"/>
        <v>2046.5454545454545</v>
      </c>
      <c r="EC56" s="74">
        <f t="shared" si="121"/>
        <v>18.954545454545467</v>
      </c>
      <c r="ED56" s="74">
        <f t="shared" si="89"/>
        <v>8032.1222428604588</v>
      </c>
      <c r="EE56" s="74"/>
      <c r="EG56" s="74"/>
      <c r="EH56" s="74"/>
      <c r="EI56" s="74"/>
      <c r="EJ56" s="74"/>
      <c r="EK56" s="74"/>
      <c r="EL56" s="74"/>
      <c r="EN56" s="74"/>
      <c r="EO56" s="74"/>
      <c r="EP56" s="74"/>
      <c r="EQ56" s="74"/>
      <c r="ES56" s="74"/>
      <c r="ET56" s="74"/>
      <c r="EU56" s="74"/>
      <c r="EV56" s="74"/>
      <c r="EW56" s="74"/>
      <c r="EX56" s="74"/>
      <c r="EY56" s="74"/>
      <c r="EZ56" s="74"/>
      <c r="FA56" s="74"/>
      <c r="FD56">
        <v>2012</v>
      </c>
      <c r="FE56" s="240">
        <f t="shared" si="92"/>
        <v>35899</v>
      </c>
      <c r="FF56" s="240">
        <f t="shared" ref="FF56:FG62" si="122">FT11</f>
        <v>27489</v>
      </c>
      <c r="FG56" s="240">
        <f t="shared" si="122"/>
        <v>8410</v>
      </c>
      <c r="FH56" s="358">
        <f t="shared" ref="FH56:FH62" si="123">FG56/(FG56+FF56)</f>
        <v>0.23426836402128193</v>
      </c>
      <c r="FI56" s="240">
        <v>3942</v>
      </c>
      <c r="FJ56" s="240">
        <v>1697</v>
      </c>
      <c r="FK56">
        <f>Fishery!FD38</f>
        <v>15096</v>
      </c>
      <c r="FL56">
        <f>Fishery!FC17</f>
        <v>330</v>
      </c>
      <c r="FM56" s="65">
        <f t="shared" si="93"/>
        <v>0</v>
      </c>
      <c r="FN56" s="65">
        <f t="shared" si="94"/>
        <v>0</v>
      </c>
      <c r="FO56" s="65">
        <f t="shared" si="95"/>
        <v>46527</v>
      </c>
      <c r="FP56" s="65">
        <f t="shared" si="96"/>
        <v>10437</v>
      </c>
      <c r="FQ56" s="65">
        <f t="shared" si="97"/>
        <v>56964.234268364024</v>
      </c>
      <c r="FR56" s="65">
        <f>Fishery!FC38</f>
        <v>3008</v>
      </c>
      <c r="FS56">
        <f>Fishery!FE17</f>
        <v>67</v>
      </c>
      <c r="FT56">
        <f>Fishery!FF38</f>
        <v>2242</v>
      </c>
      <c r="FU56">
        <f>Fishery!FD17</f>
        <v>48</v>
      </c>
      <c r="FV56" s="65">
        <f t="shared" si="98"/>
        <v>51777</v>
      </c>
      <c r="FW56" s="65">
        <f t="shared" si="99"/>
        <v>10552</v>
      </c>
      <c r="FX56" s="65">
        <f t="shared" ref="FX56:FX65" si="124">SUM(FQ51:FU51)</f>
        <v>40253</v>
      </c>
      <c r="FY56" s="65"/>
      <c r="IC56">
        <v>2010</v>
      </c>
      <c r="IE56" s="261">
        <f t="shared" si="102"/>
        <v>3</v>
      </c>
      <c r="IF56" s="261">
        <f t="shared" si="103"/>
        <v>1.4000000000000001</v>
      </c>
      <c r="IG56" s="261">
        <f t="shared" si="104"/>
        <v>2.3000000000000003</v>
      </c>
      <c r="IH56" s="261">
        <f t="shared" si="110"/>
        <v>6.7000000000000011</v>
      </c>
      <c r="IJ56" s="378">
        <f t="shared" si="105"/>
        <v>91854.248043081432</v>
      </c>
      <c r="IK56" s="74">
        <f t="shared" si="111"/>
        <v>98450.426627096924</v>
      </c>
      <c r="IM56" s="74">
        <f t="shared" si="112"/>
        <v>2953.5127988129075</v>
      </c>
      <c r="IN56" s="74">
        <f t="shared" si="113"/>
        <v>1378.305972779357</v>
      </c>
      <c r="IO56" s="74">
        <f t="shared" si="114"/>
        <v>2264.3598124232294</v>
      </c>
      <c r="IP56" s="74">
        <f t="shared" si="115"/>
        <v>6596.1785840154944</v>
      </c>
      <c r="IR56" s="379">
        <f t="shared" si="106"/>
        <v>15627.751956918572</v>
      </c>
      <c r="IS56" s="74">
        <f t="shared" si="116"/>
        <v>16750.002097447556</v>
      </c>
      <c r="IU56" s="74">
        <f t="shared" si="117"/>
        <v>502.50006292342664</v>
      </c>
      <c r="IV56" s="74">
        <f t="shared" si="118"/>
        <v>234.5000293642658</v>
      </c>
      <c r="IW56" s="74">
        <f t="shared" si="119"/>
        <v>385.25004824129383</v>
      </c>
      <c r="IX56" s="74">
        <f t="shared" si="120"/>
        <v>1122.2501405289863</v>
      </c>
    </row>
    <row r="57" spans="29:258" x14ac:dyDescent="0.3">
      <c r="BF57" s="82">
        <v>1988</v>
      </c>
      <c r="BG57" s="85">
        <v>13.2</v>
      </c>
      <c r="BH57" s="85">
        <v>3.3</v>
      </c>
      <c r="BI57" s="85">
        <v>103.9</v>
      </c>
      <c r="BJ57" s="85">
        <v>2.9</v>
      </c>
      <c r="BK57" s="85">
        <v>12.8</v>
      </c>
      <c r="BL57" s="85">
        <v>11</v>
      </c>
      <c r="BM57" s="85">
        <v>2.1</v>
      </c>
      <c r="BN57" s="85">
        <v>149.19999999999999</v>
      </c>
      <c r="BO57" s="85">
        <v>101.2</v>
      </c>
      <c r="BP57" s="85">
        <v>250.4</v>
      </c>
      <c r="CB57" s="124">
        <v>1988</v>
      </c>
      <c r="CC57" s="136">
        <v>68723</v>
      </c>
      <c r="CD57" s="129">
        <v>1728</v>
      </c>
      <c r="CE57" s="129">
        <v>34400</v>
      </c>
      <c r="CF57" s="129">
        <v>70451</v>
      </c>
      <c r="CG57" s="129">
        <v>6867</v>
      </c>
      <c r="CH57" s="127">
        <v>88</v>
      </c>
      <c r="CI57" s="129">
        <v>6955</v>
      </c>
      <c r="CJ57" s="129">
        <v>3707</v>
      </c>
      <c r="CK57" s="129">
        <v>4985</v>
      </c>
      <c r="CL57" s="129">
        <v>8692</v>
      </c>
      <c r="CM57" s="107"/>
      <c r="CN57" s="129">
        <v>8371</v>
      </c>
      <c r="CO57" s="129">
        <v>15007</v>
      </c>
      <c r="CP57" s="129">
        <v>23378</v>
      </c>
      <c r="CQ57" s="142">
        <v>36940</v>
      </c>
      <c r="CR57" s="141">
        <v>42</v>
      </c>
      <c r="CS57" s="128">
        <v>1988</v>
      </c>
      <c r="CU57" s="74">
        <f t="shared" si="107"/>
        <v>70451</v>
      </c>
      <c r="DX57">
        <v>2016</v>
      </c>
      <c r="DY57" s="74">
        <f>2075-42</f>
        <v>2033</v>
      </c>
      <c r="DZ57" s="74">
        <f t="shared" ref="DZ57:EC57" si="125">DZ44-DZ15</f>
        <v>62.285714285714278</v>
      </c>
      <c r="EA57" s="74">
        <f t="shared" si="125"/>
        <v>88.058823529411825</v>
      </c>
      <c r="EB57" s="74">
        <f t="shared" si="125"/>
        <v>1521.7358490566035</v>
      </c>
      <c r="EC57" s="74">
        <f t="shared" si="125"/>
        <v>1388.2857142857142</v>
      </c>
      <c r="ED57" s="74">
        <f t="shared" si="89"/>
        <v>5093.3661011574441</v>
      </c>
      <c r="EE57" s="74"/>
      <c r="EG57" s="74"/>
      <c r="EH57" s="74"/>
      <c r="EI57" s="74"/>
      <c r="EJ57" s="74"/>
      <c r="EK57" s="74"/>
      <c r="EL57" s="74"/>
      <c r="EN57" s="74"/>
      <c r="EO57" s="74"/>
      <c r="EP57" s="74"/>
      <c r="EQ57" s="74"/>
      <c r="ES57" s="74"/>
      <c r="ET57" s="74"/>
      <c r="EU57" s="74"/>
      <c r="EV57" s="74"/>
      <c r="EW57" s="74"/>
      <c r="EX57" s="74"/>
      <c r="EY57" s="74"/>
      <c r="EZ57" s="74"/>
      <c r="FA57" s="74"/>
      <c r="FD57">
        <v>2013</v>
      </c>
      <c r="FE57" s="240">
        <f t="shared" si="92"/>
        <v>27897</v>
      </c>
      <c r="FF57" s="240">
        <f t="shared" si="122"/>
        <v>20861</v>
      </c>
      <c r="FG57" s="240">
        <f t="shared" si="122"/>
        <v>7036</v>
      </c>
      <c r="FH57" s="358">
        <f t="shared" si="123"/>
        <v>0.2522134996594616</v>
      </c>
      <c r="FI57" s="240">
        <v>3630</v>
      </c>
      <c r="FJ57" s="240">
        <v>2149</v>
      </c>
      <c r="FK57">
        <f>Fishery!FD37</f>
        <v>6925</v>
      </c>
      <c r="FL57">
        <f>Fishery!FC16</f>
        <v>173</v>
      </c>
      <c r="FM57" s="65">
        <f t="shared" si="93"/>
        <v>0</v>
      </c>
      <c r="FN57" s="65">
        <f t="shared" si="94"/>
        <v>0</v>
      </c>
      <c r="FO57" s="65">
        <f t="shared" si="95"/>
        <v>31416</v>
      </c>
      <c r="FP57" s="65">
        <f t="shared" si="96"/>
        <v>9358</v>
      </c>
      <c r="FQ57" s="65">
        <f t="shared" si="97"/>
        <v>40774.252213499654</v>
      </c>
      <c r="FR57" s="65">
        <f>Fishery!FC37</f>
        <v>1652</v>
      </c>
      <c r="FS57">
        <f>Fishery!FE16</f>
        <v>27</v>
      </c>
      <c r="FT57">
        <f>Fishery!FF37</f>
        <v>1727</v>
      </c>
      <c r="FU57">
        <f>Fishery!FD16</f>
        <v>40</v>
      </c>
      <c r="FV57" s="65">
        <f t="shared" si="98"/>
        <v>34795</v>
      </c>
      <c r="FW57" s="65">
        <f t="shared" si="99"/>
        <v>9425</v>
      </c>
      <c r="FX57" s="65">
        <f t="shared" si="124"/>
        <v>26411</v>
      </c>
      <c r="FY57" s="65"/>
      <c r="IC57">
        <v>2011</v>
      </c>
      <c r="IE57" s="261">
        <f t="shared" si="102"/>
        <v>4.3</v>
      </c>
      <c r="IF57" s="261">
        <f t="shared" si="103"/>
        <v>2.4000000000000004</v>
      </c>
      <c r="IG57" s="261">
        <f t="shared" si="104"/>
        <v>1.5</v>
      </c>
      <c r="IH57" s="261">
        <f t="shared" si="110"/>
        <v>8.1999999999999993</v>
      </c>
      <c r="IJ57" s="378">
        <f t="shared" si="105"/>
        <v>64875.962925525419</v>
      </c>
      <c r="IK57" s="74">
        <f t="shared" si="111"/>
        <v>70670.983579003718</v>
      </c>
      <c r="IM57" s="74">
        <f t="shared" si="112"/>
        <v>3038.8522938971596</v>
      </c>
      <c r="IN57" s="74">
        <f t="shared" si="113"/>
        <v>1696.1036058960894</v>
      </c>
      <c r="IO57" s="74">
        <f t="shared" si="114"/>
        <v>1060.0647536850556</v>
      </c>
      <c r="IP57" s="74">
        <f t="shared" si="115"/>
        <v>5795.0206534783038</v>
      </c>
      <c r="IR57" s="379">
        <f t="shared" si="106"/>
        <v>11673.037074474585</v>
      </c>
      <c r="IS57" s="74">
        <f t="shared" si="116"/>
        <v>12715.726660647695</v>
      </c>
      <c r="IU57" s="74">
        <f t="shared" si="117"/>
        <v>546.77624640785086</v>
      </c>
      <c r="IV57" s="74">
        <f t="shared" si="118"/>
        <v>305.17743985554472</v>
      </c>
      <c r="IW57" s="74">
        <f t="shared" si="119"/>
        <v>190.73589990971541</v>
      </c>
      <c r="IX57" s="74">
        <f t="shared" si="120"/>
        <v>1042.6895861731109</v>
      </c>
    </row>
    <row r="58" spans="29:258" x14ac:dyDescent="0.3">
      <c r="BF58" s="82">
        <v>1989</v>
      </c>
      <c r="BG58" s="85">
        <v>12.4</v>
      </c>
      <c r="BH58" s="85">
        <v>2.5</v>
      </c>
      <c r="BI58" s="85">
        <v>102</v>
      </c>
      <c r="BJ58" s="85">
        <v>2</v>
      </c>
      <c r="BK58" s="85">
        <v>9.1</v>
      </c>
      <c r="BL58" s="85">
        <v>12.5</v>
      </c>
      <c r="BM58" s="85">
        <v>2.1</v>
      </c>
      <c r="BN58" s="85">
        <v>142.6</v>
      </c>
      <c r="BO58" s="85">
        <v>89.3</v>
      </c>
      <c r="BP58" s="85">
        <v>231.9</v>
      </c>
      <c r="CB58" s="124">
        <v>1989</v>
      </c>
      <c r="CC58" s="136">
        <v>65866</v>
      </c>
      <c r="CD58" s="129">
        <v>3314</v>
      </c>
      <c r="CE58" s="129">
        <v>13154</v>
      </c>
      <c r="CF58" s="129">
        <v>69180</v>
      </c>
      <c r="CG58" s="129">
        <v>6472</v>
      </c>
      <c r="CH58" s="127">
        <v>513</v>
      </c>
      <c r="CI58" s="129">
        <v>6985</v>
      </c>
      <c r="CJ58" s="129">
        <v>1946</v>
      </c>
      <c r="CK58" s="129">
        <v>1741</v>
      </c>
      <c r="CL58" s="129">
        <v>3687</v>
      </c>
      <c r="CM58" s="107"/>
      <c r="CN58" s="129">
        <v>4211</v>
      </c>
      <c r="CO58" s="129">
        <v>5361</v>
      </c>
      <c r="CP58" s="129">
        <v>9572</v>
      </c>
      <c r="CQ58" s="129">
        <v>6841</v>
      </c>
      <c r="CR58" s="141">
        <v>182</v>
      </c>
      <c r="CS58" s="128">
        <v>1989</v>
      </c>
      <c r="CU58" s="74">
        <f t="shared" si="107"/>
        <v>69180</v>
      </c>
      <c r="FD58">
        <v>2014</v>
      </c>
      <c r="FE58" s="240">
        <f t="shared" si="92"/>
        <v>30071</v>
      </c>
      <c r="FF58" s="240">
        <f t="shared" si="122"/>
        <v>23659</v>
      </c>
      <c r="FG58" s="240">
        <f t="shared" si="122"/>
        <v>6412</v>
      </c>
      <c r="FH58" s="358">
        <f t="shared" si="123"/>
        <v>0.21322869209537429</v>
      </c>
      <c r="FI58" s="240">
        <v>4473</v>
      </c>
      <c r="FJ58" s="240">
        <v>907</v>
      </c>
      <c r="FK58">
        <f>Fishery!FD36</f>
        <v>7803</v>
      </c>
      <c r="FL58">
        <f>Fishery!FC15</f>
        <v>174</v>
      </c>
      <c r="FM58" s="65">
        <f t="shared" si="93"/>
        <v>0</v>
      </c>
      <c r="FN58" s="65">
        <f t="shared" si="94"/>
        <v>0</v>
      </c>
      <c r="FO58" s="65">
        <f t="shared" si="95"/>
        <v>35935</v>
      </c>
      <c r="FP58" s="65">
        <f t="shared" si="96"/>
        <v>7493</v>
      </c>
      <c r="FQ58" s="65">
        <f t="shared" si="97"/>
        <v>43428.213228692097</v>
      </c>
      <c r="FR58" s="65">
        <f>Fishery!FC36</f>
        <v>2230</v>
      </c>
      <c r="FS58">
        <f>Fishery!FE15</f>
        <v>38</v>
      </c>
      <c r="FT58">
        <f>Fishery!FF36</f>
        <v>1228</v>
      </c>
      <c r="FU58">
        <f>Fishery!FD15</f>
        <v>31</v>
      </c>
      <c r="FV58" s="65">
        <f t="shared" si="98"/>
        <v>39393</v>
      </c>
      <c r="FW58" s="65">
        <f t="shared" si="99"/>
        <v>7562</v>
      </c>
      <c r="FX58" s="65">
        <f t="shared" si="124"/>
        <v>35134</v>
      </c>
      <c r="FY58" s="65"/>
      <c r="IC58">
        <v>2012</v>
      </c>
      <c r="IE58" s="261">
        <f t="shared" si="102"/>
        <v>6.7</v>
      </c>
      <c r="IF58" s="261">
        <f t="shared" si="103"/>
        <v>3.8000000000000003</v>
      </c>
      <c r="IG58" s="261">
        <f t="shared" si="104"/>
        <v>3.0999999999999996</v>
      </c>
      <c r="IH58" s="261">
        <f t="shared" si="110"/>
        <v>13.6</v>
      </c>
      <c r="IJ58" s="378">
        <f t="shared" si="105"/>
        <v>52335.984094264466</v>
      </c>
      <c r="IK58" s="74">
        <f t="shared" si="111"/>
        <v>60574.05566465795</v>
      </c>
      <c r="IM58" s="74">
        <f t="shared" si="112"/>
        <v>4058.4617295320827</v>
      </c>
      <c r="IN58" s="74">
        <f t="shared" si="113"/>
        <v>2301.8141152570024</v>
      </c>
      <c r="IO58" s="74">
        <f t="shared" si="114"/>
        <v>1877.7957256043962</v>
      </c>
      <c r="IP58" s="74">
        <f t="shared" si="115"/>
        <v>8238.071570393482</v>
      </c>
      <c r="IR58" s="379">
        <f t="shared" si="106"/>
        <v>10703.015905735536</v>
      </c>
      <c r="IS58" s="74">
        <f t="shared" si="116"/>
        <v>12387.74989089761</v>
      </c>
      <c r="IU58" s="74">
        <f t="shared" si="117"/>
        <v>829.97924269013993</v>
      </c>
      <c r="IV58" s="74">
        <f t="shared" si="118"/>
        <v>470.73449585410924</v>
      </c>
      <c r="IW58" s="74">
        <f t="shared" si="119"/>
        <v>384.02024661782588</v>
      </c>
      <c r="IX58" s="74">
        <f t="shared" si="120"/>
        <v>1684.7339851620752</v>
      </c>
    </row>
    <row r="59" spans="29:258" x14ac:dyDescent="0.3">
      <c r="BF59" s="82">
        <v>1990</v>
      </c>
      <c r="BG59" s="85">
        <v>16.2</v>
      </c>
      <c r="BH59" s="85">
        <v>9.1</v>
      </c>
      <c r="BI59" s="85">
        <v>106.3</v>
      </c>
      <c r="BJ59" s="85">
        <v>3.5</v>
      </c>
      <c r="BK59" s="85">
        <v>9.4</v>
      </c>
      <c r="BL59" s="85">
        <v>9.4</v>
      </c>
      <c r="BM59" s="85">
        <v>2.5</v>
      </c>
      <c r="BN59" s="85">
        <v>156.4</v>
      </c>
      <c r="BO59" s="85">
        <v>101.5</v>
      </c>
      <c r="BP59" s="85">
        <v>257.89999999999998</v>
      </c>
      <c r="BR59" s="102">
        <v>1990</v>
      </c>
      <c r="BS59" s="103" t="s">
        <v>107</v>
      </c>
      <c r="BT59" s="99">
        <v>7555</v>
      </c>
      <c r="BU59" s="99">
        <v>1987</v>
      </c>
      <c r="BV59" s="99">
        <v>9299</v>
      </c>
      <c r="BW59" s="99">
        <v>3527</v>
      </c>
      <c r="BX59" s="99">
        <v>127900</v>
      </c>
      <c r="BY59" s="100">
        <v>105715</v>
      </c>
      <c r="BZ59" s="101">
        <v>255983</v>
      </c>
      <c r="CB59" s="130">
        <v>1990</v>
      </c>
      <c r="CC59" s="137">
        <v>69128</v>
      </c>
      <c r="CD59" s="131">
        <v>2145</v>
      </c>
      <c r="CE59" s="131">
        <v>7904</v>
      </c>
      <c r="CF59" s="131">
        <v>71273</v>
      </c>
      <c r="CG59" s="131">
        <v>4490</v>
      </c>
      <c r="CH59" s="132">
        <v>422</v>
      </c>
      <c r="CI59" s="131">
        <v>4912</v>
      </c>
      <c r="CJ59" s="132">
        <v>901</v>
      </c>
      <c r="CK59" s="131">
        <v>1817</v>
      </c>
      <c r="CL59" s="131">
        <v>2718</v>
      </c>
      <c r="CM59" s="113"/>
      <c r="CN59" s="131">
        <v>1878</v>
      </c>
      <c r="CO59" s="131">
        <v>9229</v>
      </c>
      <c r="CP59" s="131">
        <v>11107</v>
      </c>
      <c r="CQ59" s="143">
        <v>23428</v>
      </c>
      <c r="CR59" s="139">
        <v>57</v>
      </c>
      <c r="CS59" s="133">
        <v>1990</v>
      </c>
      <c r="CU59" s="74">
        <f t="shared" si="107"/>
        <v>71273</v>
      </c>
      <c r="FD59">
        <v>2015</v>
      </c>
      <c r="FE59" s="240">
        <f t="shared" si="92"/>
        <v>51046</v>
      </c>
      <c r="FF59" s="240">
        <f t="shared" si="122"/>
        <v>42098</v>
      </c>
      <c r="FG59" s="240">
        <f t="shared" si="122"/>
        <v>8948</v>
      </c>
      <c r="FH59" s="358">
        <f t="shared" si="123"/>
        <v>0.17529287309485561</v>
      </c>
      <c r="FI59" s="240">
        <v>5808</v>
      </c>
      <c r="FJ59" s="240">
        <v>2321</v>
      </c>
      <c r="FK59">
        <f>Fishery!FD35</f>
        <v>13235</v>
      </c>
      <c r="FL59">
        <f>Fishery!FC14</f>
        <v>232</v>
      </c>
      <c r="FM59" s="65">
        <f t="shared" si="93"/>
        <v>0</v>
      </c>
      <c r="FN59" s="65">
        <f t="shared" si="94"/>
        <v>0</v>
      </c>
      <c r="FO59" s="65">
        <f t="shared" si="95"/>
        <v>61141</v>
      </c>
      <c r="FP59" s="65">
        <f t="shared" si="96"/>
        <v>11501</v>
      </c>
      <c r="FQ59" s="65">
        <f t="shared" si="97"/>
        <v>72642.175292873086</v>
      </c>
      <c r="FR59" s="65">
        <f>Fishery!FC35</f>
        <v>3403</v>
      </c>
      <c r="FS59">
        <f>Fishery!FE14</f>
        <v>39</v>
      </c>
      <c r="FT59">
        <f>Fishery!FF35</f>
        <v>2494</v>
      </c>
      <c r="FU59">
        <f>Fishery!FD14</f>
        <v>48</v>
      </c>
      <c r="FV59" s="65">
        <f t="shared" si="98"/>
        <v>67038</v>
      </c>
      <c r="FW59" s="65">
        <f t="shared" si="99"/>
        <v>11588</v>
      </c>
      <c r="FX59" s="65">
        <f t="shared" si="124"/>
        <v>106429</v>
      </c>
      <c r="FY59" s="65"/>
      <c r="IC59">
        <v>2013</v>
      </c>
      <c r="IE59" s="261">
        <f t="shared" si="102"/>
        <v>3</v>
      </c>
      <c r="IF59" s="261">
        <f t="shared" si="103"/>
        <v>1.9000000000000001</v>
      </c>
      <c r="IG59" s="261">
        <f t="shared" si="104"/>
        <v>1.7000000000000002</v>
      </c>
      <c r="IH59" s="261">
        <f t="shared" si="110"/>
        <v>6.6000000000000005</v>
      </c>
      <c r="IJ59" s="378">
        <f t="shared" si="105"/>
        <v>35300.503674230204</v>
      </c>
      <c r="IK59" s="74">
        <f t="shared" si="111"/>
        <v>37794.971813950971</v>
      </c>
      <c r="IM59" s="74">
        <f t="shared" si="112"/>
        <v>1133.849154418529</v>
      </c>
      <c r="IN59" s="74">
        <f t="shared" si="113"/>
        <v>718.10446446506853</v>
      </c>
      <c r="IO59" s="74">
        <f t="shared" si="114"/>
        <v>642.51452083716651</v>
      </c>
      <c r="IP59" s="74">
        <f t="shared" si="115"/>
        <v>2494.4681397207642</v>
      </c>
      <c r="IR59" s="379">
        <f t="shared" si="106"/>
        <v>9579.4963257697964</v>
      </c>
      <c r="IS59" s="74">
        <f t="shared" si="116"/>
        <v>10256.420049004066</v>
      </c>
      <c r="IU59" s="74">
        <f t="shared" si="117"/>
        <v>307.69260147012199</v>
      </c>
      <c r="IV59" s="74">
        <f t="shared" si="118"/>
        <v>194.87198093107727</v>
      </c>
      <c r="IW59" s="74">
        <f t="shared" si="119"/>
        <v>174.35914083306912</v>
      </c>
      <c r="IX59" s="74">
        <f t="shared" si="120"/>
        <v>676.92372323426832</v>
      </c>
    </row>
    <row r="60" spans="29:258" x14ac:dyDescent="0.3">
      <c r="BF60" s="82">
        <v>1991</v>
      </c>
      <c r="BG60" s="85">
        <v>11.7</v>
      </c>
      <c r="BH60" s="85">
        <v>4.0999999999999996</v>
      </c>
      <c r="BI60" s="85">
        <v>95.3</v>
      </c>
      <c r="BJ60" s="85">
        <v>3.7</v>
      </c>
      <c r="BK60" s="85">
        <v>11.4</v>
      </c>
      <c r="BL60" s="85">
        <v>9.1</v>
      </c>
      <c r="BM60" s="85">
        <v>2.8</v>
      </c>
      <c r="BN60" s="85">
        <v>138.1</v>
      </c>
      <c r="BO60" s="85">
        <v>63.6</v>
      </c>
      <c r="BP60" s="85">
        <v>201.7</v>
      </c>
      <c r="BR60" s="102">
        <v>1991</v>
      </c>
      <c r="BS60" s="103" t="s">
        <v>107</v>
      </c>
      <c r="BT60" s="99">
        <v>8945</v>
      </c>
      <c r="BU60" s="99">
        <v>2613</v>
      </c>
      <c r="BV60" s="99">
        <v>8334</v>
      </c>
      <c r="BW60" s="99">
        <v>3652</v>
      </c>
      <c r="BX60" s="99">
        <v>105530</v>
      </c>
      <c r="BY60" s="100">
        <v>64479</v>
      </c>
      <c r="BZ60" s="101">
        <v>193553</v>
      </c>
      <c r="CB60" s="134">
        <v>1991</v>
      </c>
      <c r="CC60" s="138">
        <v>48696</v>
      </c>
      <c r="CD60" s="125">
        <v>3820</v>
      </c>
      <c r="CE60" s="125">
        <v>5448</v>
      </c>
      <c r="CF60" s="125">
        <v>52516</v>
      </c>
      <c r="CG60" s="125">
        <v>6488</v>
      </c>
      <c r="CH60" s="125">
        <v>2949</v>
      </c>
      <c r="CI60" s="125">
        <v>9437</v>
      </c>
      <c r="CJ60" s="126">
        <v>921</v>
      </c>
      <c r="CK60" s="126">
        <v>815</v>
      </c>
      <c r="CL60" s="125">
        <v>1736</v>
      </c>
      <c r="CM60" s="115"/>
      <c r="CN60" s="125">
        <v>2221</v>
      </c>
      <c r="CO60" s="125">
        <v>2722</v>
      </c>
      <c r="CP60" s="125">
        <v>4943</v>
      </c>
      <c r="CQ60" s="125">
        <v>6360</v>
      </c>
      <c r="CR60" s="146">
        <v>33</v>
      </c>
      <c r="CS60" s="135">
        <v>1991</v>
      </c>
      <c r="CU60" s="74">
        <f t="shared" si="107"/>
        <v>52516</v>
      </c>
      <c r="DY60" s="74"/>
      <c r="FD60">
        <v>2016</v>
      </c>
      <c r="FE60" s="240">
        <f t="shared" si="92"/>
        <v>30317</v>
      </c>
      <c r="FF60" s="240">
        <f t="shared" si="122"/>
        <v>23686</v>
      </c>
      <c r="FG60" s="240">
        <f t="shared" si="122"/>
        <v>6631</v>
      </c>
      <c r="FH60" s="358">
        <f t="shared" si="123"/>
        <v>0.2187221690800541</v>
      </c>
      <c r="FI60" s="240">
        <v>2075</v>
      </c>
      <c r="FJ60" s="240">
        <v>3490</v>
      </c>
      <c r="FK60">
        <f>Fishery!FD34</f>
        <v>5747</v>
      </c>
      <c r="FL60">
        <f>Fishery!FC13</f>
        <v>145</v>
      </c>
      <c r="FM60" s="65">
        <f t="shared" si="93"/>
        <v>0</v>
      </c>
      <c r="FN60" s="65">
        <f t="shared" si="94"/>
        <v>0</v>
      </c>
      <c r="FO60" s="65">
        <f t="shared" si="95"/>
        <v>31508</v>
      </c>
      <c r="FP60" s="65">
        <f t="shared" si="96"/>
        <v>10266</v>
      </c>
      <c r="FQ60" s="65">
        <f t="shared" si="97"/>
        <v>41774.218722169084</v>
      </c>
      <c r="FR60" s="65">
        <f>Fishery!FC34</f>
        <v>1385</v>
      </c>
      <c r="FS60">
        <f>Fishery!FE13</f>
        <v>19</v>
      </c>
      <c r="FT60">
        <f>Fishery!FF34</f>
        <v>922</v>
      </c>
      <c r="FU60">
        <f>Fishery!FD13</f>
        <v>24</v>
      </c>
      <c r="FV60" s="65">
        <f t="shared" si="98"/>
        <v>33815</v>
      </c>
      <c r="FW60" s="65">
        <f t="shared" si="99"/>
        <v>10309</v>
      </c>
      <c r="FX60" s="65">
        <f t="shared" si="124"/>
        <v>75550</v>
      </c>
      <c r="FY60" s="65"/>
      <c r="IC60">
        <v>2014</v>
      </c>
      <c r="IE60" s="261">
        <f t="shared" si="102"/>
        <v>5</v>
      </c>
      <c r="IF60" s="261">
        <f t="shared" si="103"/>
        <v>3.9</v>
      </c>
      <c r="IG60" s="261">
        <f t="shared" si="104"/>
        <v>2.4</v>
      </c>
      <c r="IH60" s="261">
        <f t="shared" si="110"/>
        <v>11.3</v>
      </c>
      <c r="IJ60" s="378">
        <f t="shared" si="105"/>
        <v>41607.761231751523</v>
      </c>
      <c r="IK60" s="74">
        <f t="shared" si="111"/>
        <v>46908.411760711977</v>
      </c>
      <c r="IM60" s="74">
        <f t="shared" si="112"/>
        <v>2345.4205880355989</v>
      </c>
      <c r="IN60" s="74">
        <f t="shared" si="113"/>
        <v>1829.4280586677671</v>
      </c>
      <c r="IO60" s="74">
        <f t="shared" si="114"/>
        <v>1125.8018822570875</v>
      </c>
      <c r="IP60" s="74">
        <f t="shared" si="115"/>
        <v>5300.6505289604538</v>
      </c>
      <c r="IR60" s="379">
        <f t="shared" si="106"/>
        <v>8157.2387682484787</v>
      </c>
      <c r="IS60" s="74">
        <f t="shared" si="116"/>
        <v>9196.4360408663797</v>
      </c>
      <c r="IU60" s="74">
        <f t="shared" si="117"/>
        <v>459.821802043319</v>
      </c>
      <c r="IV60" s="74">
        <f t="shared" si="118"/>
        <v>358.66100559378879</v>
      </c>
      <c r="IW60" s="74">
        <f t="shared" si="119"/>
        <v>220.71446498079311</v>
      </c>
      <c r="IX60" s="74">
        <f t="shared" si="120"/>
        <v>1039.197272617901</v>
      </c>
    </row>
    <row r="61" spans="29:258" x14ac:dyDescent="0.3">
      <c r="BF61" s="82">
        <v>1992</v>
      </c>
      <c r="BG61" s="85">
        <v>5.0999999999999996</v>
      </c>
      <c r="BH61" s="85">
        <v>4.0999999999999996</v>
      </c>
      <c r="BI61" s="85">
        <v>68</v>
      </c>
      <c r="BJ61" s="85">
        <v>9.1999999999999993</v>
      </c>
      <c r="BK61" s="85">
        <v>11.9</v>
      </c>
      <c r="BL61" s="85">
        <v>6</v>
      </c>
      <c r="BM61" s="85">
        <v>2.7</v>
      </c>
      <c r="BN61" s="85">
        <v>107</v>
      </c>
      <c r="BO61" s="85">
        <v>92</v>
      </c>
      <c r="BP61" s="85">
        <v>199</v>
      </c>
      <c r="BR61" s="102">
        <v>1992</v>
      </c>
      <c r="BS61" s="104">
        <v>245</v>
      </c>
      <c r="BT61" s="99">
        <v>10353</v>
      </c>
      <c r="BU61" s="99">
        <v>2430</v>
      </c>
      <c r="BV61" s="99">
        <v>6025</v>
      </c>
      <c r="BW61" s="99">
        <v>8551</v>
      </c>
      <c r="BX61" s="99">
        <v>72197</v>
      </c>
      <c r="BY61" s="100">
        <v>95691</v>
      </c>
      <c r="BZ61" s="101">
        <v>195492</v>
      </c>
      <c r="CB61" s="124">
        <v>1992</v>
      </c>
      <c r="CC61" s="136">
        <v>39657</v>
      </c>
      <c r="CD61" s="129">
        <v>2347</v>
      </c>
      <c r="CE61" s="127">
        <v>913</v>
      </c>
      <c r="CF61" s="129">
        <v>42004</v>
      </c>
      <c r="CG61" s="129">
        <v>12635</v>
      </c>
      <c r="CH61" s="129">
        <v>1656</v>
      </c>
      <c r="CI61" s="129">
        <v>14291</v>
      </c>
      <c r="CJ61" s="127">
        <v>940</v>
      </c>
      <c r="CK61" s="127">
        <v>588</v>
      </c>
      <c r="CL61" s="129">
        <v>1528</v>
      </c>
      <c r="CM61" s="107"/>
      <c r="CN61" s="129">
        <v>1717</v>
      </c>
      <c r="CO61" s="129">
        <v>3679</v>
      </c>
      <c r="CP61" s="129">
        <v>5396</v>
      </c>
      <c r="CQ61" s="142">
        <v>11697</v>
      </c>
      <c r="CR61" s="127">
        <v>7</v>
      </c>
      <c r="CS61" s="128">
        <v>1992</v>
      </c>
      <c r="CU61" s="74">
        <f t="shared" si="107"/>
        <v>42004</v>
      </c>
      <c r="DY61" s="74"/>
      <c r="FD61">
        <v>2017</v>
      </c>
      <c r="FE61" s="240">
        <f t="shared" si="92"/>
        <v>34186</v>
      </c>
      <c r="FF61" s="240">
        <f t="shared" si="122"/>
        <v>28281</v>
      </c>
      <c r="FG61" s="240">
        <f t="shared" si="122"/>
        <v>5905</v>
      </c>
      <c r="FH61" s="358">
        <f t="shared" si="123"/>
        <v>0.1727315275258878</v>
      </c>
      <c r="FI61" s="240"/>
      <c r="FJ61" s="240"/>
      <c r="FM61" s="65">
        <f t="shared" si="93"/>
        <v>0</v>
      </c>
      <c r="FN61" s="65">
        <f t="shared" si="94"/>
        <v>0</v>
      </c>
      <c r="FX61" s="65">
        <f t="shared" si="124"/>
        <v>62329.234268364024</v>
      </c>
      <c r="FY61" s="65"/>
      <c r="IC61">
        <v>2015</v>
      </c>
      <c r="IE61" s="261">
        <f t="shared" si="102"/>
        <v>5.3999999999999995</v>
      </c>
      <c r="IF61" s="261">
        <f t="shared" si="103"/>
        <v>1.2000000000000002</v>
      </c>
      <c r="IG61" s="261">
        <f t="shared" si="104"/>
        <v>5.8999999999999995</v>
      </c>
      <c r="IH61" s="261">
        <f t="shared" si="110"/>
        <v>12.5</v>
      </c>
      <c r="IJ61" s="378">
        <f t="shared" si="105"/>
        <v>71915.317948517026</v>
      </c>
      <c r="IK61" s="74">
        <f t="shared" si="111"/>
        <v>82188.93479830517</v>
      </c>
      <c r="IM61" s="74">
        <f t="shared" si="112"/>
        <v>4438.2024791084787</v>
      </c>
      <c r="IN61" s="74">
        <f t="shared" si="113"/>
        <v>986.2672175796622</v>
      </c>
      <c r="IO61" s="74">
        <f t="shared" si="114"/>
        <v>4849.1471531000052</v>
      </c>
      <c r="IP61" s="74">
        <f t="shared" si="115"/>
        <v>10273.616849788146</v>
      </c>
      <c r="IR61" s="379">
        <f t="shared" si="106"/>
        <v>12618.682051482976</v>
      </c>
      <c r="IS61" s="74">
        <f t="shared" si="116"/>
        <v>14421.350915980544</v>
      </c>
      <c r="IU61" s="74">
        <f t="shared" si="117"/>
        <v>778.75294946294923</v>
      </c>
      <c r="IV61" s="74">
        <f t="shared" si="118"/>
        <v>173.05621099176656</v>
      </c>
      <c r="IW61" s="74">
        <f t="shared" si="119"/>
        <v>850.85970404285206</v>
      </c>
      <c r="IX61" s="74">
        <f t="shared" si="120"/>
        <v>1802.6688644975679</v>
      </c>
    </row>
    <row r="62" spans="29:258" x14ac:dyDescent="0.3">
      <c r="BF62" s="82">
        <v>1993</v>
      </c>
      <c r="BG62" s="85">
        <v>2.1</v>
      </c>
      <c r="BH62" s="85">
        <v>1.4</v>
      </c>
      <c r="BI62" s="85">
        <v>63.9</v>
      </c>
      <c r="BJ62" s="85">
        <v>6.4</v>
      </c>
      <c r="BK62" s="85">
        <v>9.9</v>
      </c>
      <c r="BL62" s="85">
        <v>6.7</v>
      </c>
      <c r="BM62" s="85">
        <v>3</v>
      </c>
      <c r="BN62" s="85">
        <v>93.4</v>
      </c>
      <c r="BO62" s="85">
        <v>112.8</v>
      </c>
      <c r="BP62" s="85">
        <v>206.2</v>
      </c>
      <c r="BR62" s="102">
        <v>1993</v>
      </c>
      <c r="BS62" s="104">
        <v>629</v>
      </c>
      <c r="BT62" s="99">
        <v>9458</v>
      </c>
      <c r="BU62" s="99">
        <v>2874</v>
      </c>
      <c r="BV62" s="99">
        <v>8195</v>
      </c>
      <c r="BW62" s="99">
        <v>6369</v>
      </c>
      <c r="BX62" s="99">
        <v>62778</v>
      </c>
      <c r="BY62" s="100">
        <v>119963</v>
      </c>
      <c r="BZ62" s="101">
        <v>210266</v>
      </c>
      <c r="CB62" s="124">
        <v>1993</v>
      </c>
      <c r="CC62" s="136">
        <v>29721</v>
      </c>
      <c r="CD62" s="129">
        <v>2245</v>
      </c>
      <c r="CE62" s="129">
        <v>2917</v>
      </c>
      <c r="CF62" s="129">
        <v>31966</v>
      </c>
      <c r="CG62" s="129">
        <v>7148</v>
      </c>
      <c r="CH62" s="127">
        <v>136</v>
      </c>
      <c r="CI62" s="129">
        <v>7284</v>
      </c>
      <c r="CJ62" s="127">
        <v>427</v>
      </c>
      <c r="CK62" s="127">
        <v>236</v>
      </c>
      <c r="CL62" s="127">
        <v>663</v>
      </c>
      <c r="CM62" s="107"/>
      <c r="CN62" s="127">
        <v>843</v>
      </c>
      <c r="CO62" s="129">
        <v>2725</v>
      </c>
      <c r="CP62" s="129">
        <v>3568</v>
      </c>
      <c r="CQ62" s="142">
        <v>12920</v>
      </c>
      <c r="CR62" s="141">
        <v>31</v>
      </c>
      <c r="CS62" s="128">
        <v>1993</v>
      </c>
      <c r="CU62" s="74">
        <f t="shared" si="107"/>
        <v>31966</v>
      </c>
      <c r="DY62" s="74"/>
      <c r="FD62">
        <v>2018</v>
      </c>
      <c r="FE62" s="240">
        <f t="shared" si="92"/>
        <v>24543</v>
      </c>
      <c r="FF62" s="240">
        <f t="shared" si="122"/>
        <v>19531</v>
      </c>
      <c r="FG62" s="240">
        <f t="shared" si="122"/>
        <v>5012</v>
      </c>
      <c r="FH62" s="358">
        <f t="shared" si="123"/>
        <v>0.204213013893982</v>
      </c>
      <c r="FI62" s="240"/>
      <c r="FJ62" s="240"/>
      <c r="FM62" s="65"/>
      <c r="FN62" s="65"/>
      <c r="FX62" s="65">
        <f t="shared" si="124"/>
        <v>44220.252213499654</v>
      </c>
      <c r="FY62" s="65"/>
      <c r="IR62" s="379"/>
    </row>
    <row r="63" spans="29:258" x14ac:dyDescent="0.3">
      <c r="BF63" s="82">
        <v>1994</v>
      </c>
      <c r="BG63" s="85">
        <v>1.6</v>
      </c>
      <c r="BH63" s="85">
        <v>1.6</v>
      </c>
      <c r="BI63" s="85">
        <v>47.2</v>
      </c>
      <c r="BJ63" s="85">
        <v>3.5</v>
      </c>
      <c r="BK63" s="85">
        <v>3.4</v>
      </c>
      <c r="BL63" s="85">
        <v>3</v>
      </c>
      <c r="BM63" s="85">
        <v>1.3</v>
      </c>
      <c r="BN63" s="85">
        <v>61.6</v>
      </c>
      <c r="BO63" s="85">
        <v>21.4</v>
      </c>
      <c r="BP63" s="85">
        <v>83</v>
      </c>
      <c r="BR63" s="102">
        <v>1994</v>
      </c>
      <c r="BS63" s="104">
        <v>128</v>
      </c>
      <c r="BT63" s="99">
        <v>3149</v>
      </c>
      <c r="BU63" s="99">
        <v>1265</v>
      </c>
      <c r="BV63" s="99">
        <v>3068</v>
      </c>
      <c r="BW63" s="99">
        <v>3498</v>
      </c>
      <c r="BX63" s="99">
        <v>48804</v>
      </c>
      <c r="BY63" s="100">
        <v>24095</v>
      </c>
      <c r="BZ63" s="101">
        <v>84007</v>
      </c>
      <c r="CB63" s="124">
        <v>1994</v>
      </c>
      <c r="CC63" s="136">
        <v>25460</v>
      </c>
      <c r="CD63" s="127">
        <v>642</v>
      </c>
      <c r="CE63" s="129">
        <v>2906</v>
      </c>
      <c r="CF63" s="129">
        <v>26102</v>
      </c>
      <c r="CG63" s="129">
        <v>2545</v>
      </c>
      <c r="CH63" s="127">
        <v>147</v>
      </c>
      <c r="CI63" s="129">
        <v>2692</v>
      </c>
      <c r="CJ63" s="127">
        <v>685</v>
      </c>
      <c r="CK63" s="127">
        <v>174</v>
      </c>
      <c r="CL63" s="127">
        <v>859</v>
      </c>
      <c r="CM63" s="107"/>
      <c r="CN63" s="129">
        <v>1025</v>
      </c>
      <c r="CO63" s="129">
        <v>4275</v>
      </c>
      <c r="CP63" s="129">
        <v>5300</v>
      </c>
      <c r="CQ63" s="142">
        <v>11819</v>
      </c>
      <c r="CR63" s="127">
        <v>1</v>
      </c>
      <c r="CS63" s="128">
        <v>1994</v>
      </c>
      <c r="CU63" s="74">
        <f t="shared" si="107"/>
        <v>26102</v>
      </c>
      <c r="DY63" s="74"/>
      <c r="FX63" s="65">
        <f t="shared" si="124"/>
        <v>46955.213228692097</v>
      </c>
      <c r="IC63" s="253" t="s">
        <v>770</v>
      </c>
      <c r="IE63" s="262">
        <f>AVERAGE(IE54:IE61)</f>
        <v>4.1375000000000002</v>
      </c>
      <c r="IF63" s="262">
        <f>AVERAGE(IF54:IF61)</f>
        <v>2.5125000000000002</v>
      </c>
      <c r="IG63" s="262">
        <f>AVERAGE(IG54:IG61)</f>
        <v>2.2124999999999999</v>
      </c>
      <c r="IH63" s="262">
        <f>AVERAGE(IH54:IH61)</f>
        <v>8.8625000000000007</v>
      </c>
      <c r="IJ63" s="380">
        <f>AVERAGE(IJ54:IJ61)</f>
        <v>51142.606943845618</v>
      </c>
      <c r="IK63" s="380">
        <f>AVERAGE(IK54:IK61)</f>
        <v>56409.49614273684</v>
      </c>
      <c r="IM63" s="380">
        <f t="shared" ref="IM63:IP63" si="126">AVERAGE(IM54:IM61)</f>
        <v>2446.8153512576573</v>
      </c>
      <c r="IN63" s="380">
        <f t="shared" si="126"/>
        <v>1312.0231039693842</v>
      </c>
      <c r="IO63" s="380">
        <f t="shared" si="126"/>
        <v>1508.0507436641822</v>
      </c>
      <c r="IP63" s="380">
        <f t="shared" si="126"/>
        <v>5266.8891988912246</v>
      </c>
      <c r="IR63" s="380">
        <f>AVERAGE(IR54:IR61)</f>
        <v>9897.7680561543839</v>
      </c>
      <c r="IS63" s="380">
        <f>AVERAGE(IS54:IS61)</f>
        <v>10910.000111849749</v>
      </c>
      <c r="IU63" s="380">
        <f t="shared" ref="IU63:IX63" si="127">AVERAGE(IU54:IU61)</f>
        <v>470.73018598813741</v>
      </c>
      <c r="IV63" s="380">
        <f t="shared" si="127"/>
        <v>259.22798319756328</v>
      </c>
      <c r="IW63" s="380">
        <f t="shared" si="127"/>
        <v>282.27388650966606</v>
      </c>
      <c r="IX63" s="380">
        <f t="shared" si="127"/>
        <v>1012.2320556953666</v>
      </c>
    </row>
    <row r="64" spans="29:258" x14ac:dyDescent="0.3">
      <c r="BF64" s="82">
        <v>1995</v>
      </c>
      <c r="BG64" s="85">
        <v>0.2</v>
      </c>
      <c r="BH64" s="85">
        <v>0</v>
      </c>
      <c r="BI64" s="85">
        <v>42.5</v>
      </c>
      <c r="BJ64" s="85">
        <v>2.7</v>
      </c>
      <c r="BK64" s="85">
        <v>2.4</v>
      </c>
      <c r="BL64" s="85">
        <v>3.8</v>
      </c>
      <c r="BM64" s="85">
        <v>0.7</v>
      </c>
      <c r="BN64" s="85">
        <v>52.3</v>
      </c>
      <c r="BO64" s="85">
        <v>12.6</v>
      </c>
      <c r="BP64" s="85">
        <v>64.900000000000006</v>
      </c>
      <c r="BR64" s="102">
        <v>1995</v>
      </c>
      <c r="BS64" s="104">
        <v>187</v>
      </c>
      <c r="BT64" s="99">
        <v>2102</v>
      </c>
      <c r="BU64" s="105">
        <v>697</v>
      </c>
      <c r="BV64" s="99">
        <v>3726</v>
      </c>
      <c r="BW64" s="99">
        <v>2529</v>
      </c>
      <c r="BX64" s="99">
        <v>40854</v>
      </c>
      <c r="BY64" s="100">
        <v>12792</v>
      </c>
      <c r="BZ64" s="101">
        <v>62887</v>
      </c>
      <c r="CB64" s="124">
        <v>1995</v>
      </c>
      <c r="CC64" s="136">
        <v>19343</v>
      </c>
      <c r="CD64" s="129">
        <v>1249</v>
      </c>
      <c r="CE64" s="129">
        <v>4395</v>
      </c>
      <c r="CF64" s="129">
        <v>20592</v>
      </c>
      <c r="CG64" s="127">
        <v>988</v>
      </c>
      <c r="CH64" s="127">
        <v>69</v>
      </c>
      <c r="CI64" s="129">
        <v>1057</v>
      </c>
      <c r="CJ64" s="127">
        <v>582</v>
      </c>
      <c r="CK64" s="127">
        <v>600</v>
      </c>
      <c r="CL64" s="129">
        <v>1179</v>
      </c>
      <c r="CM64" s="107"/>
      <c r="CN64" s="129">
        <v>1991</v>
      </c>
      <c r="CO64" s="129">
        <v>2702</v>
      </c>
      <c r="CP64" s="129">
        <v>4693</v>
      </c>
      <c r="CQ64" s="142">
        <v>12704</v>
      </c>
      <c r="CR64" s="127">
        <v>2</v>
      </c>
      <c r="CS64" s="128">
        <v>1995</v>
      </c>
      <c r="CU64" s="74">
        <f t="shared" si="107"/>
        <v>20592</v>
      </c>
      <c r="DY64" s="74"/>
      <c r="FC64" t="s">
        <v>542</v>
      </c>
      <c r="FE64" s="65">
        <f>AVERAGE(FE51:FE60)</f>
        <v>34749.599999999999</v>
      </c>
      <c r="FF64" s="65">
        <f>AVERAGE(FF51:FF60)</f>
        <v>27386.664825301898</v>
      </c>
      <c r="FG64" s="65">
        <f>AVERAGE(FG51:FG60)</f>
        <v>7362.9351746981001</v>
      </c>
      <c r="FH64" s="266">
        <f>AVERAGE(FH56:FH62)</f>
        <v>0.21009573419584249</v>
      </c>
      <c r="FO64" s="65"/>
      <c r="FP64" s="65"/>
      <c r="FV64" s="65">
        <f>AVERAGE(FV51:FV60)</f>
        <v>46651.564825301895</v>
      </c>
      <c r="FW64" s="65">
        <f>AVERAGE(FW51:FW60)</f>
        <v>9351.5351746980996</v>
      </c>
      <c r="FX64" s="65">
        <f t="shared" si="124"/>
        <v>78626.175292873086</v>
      </c>
      <c r="FZ64" t="s">
        <v>542</v>
      </c>
      <c r="GG64" t="s">
        <v>542</v>
      </c>
      <c r="GW64" t="s">
        <v>542</v>
      </c>
    </row>
    <row r="65" spans="58:258" x14ac:dyDescent="0.3">
      <c r="BF65" s="82">
        <v>1996</v>
      </c>
      <c r="BG65" s="85">
        <v>0.9</v>
      </c>
      <c r="BH65" s="85">
        <v>0</v>
      </c>
      <c r="BI65" s="85">
        <v>34.6</v>
      </c>
      <c r="BJ65" s="85">
        <v>4.2</v>
      </c>
      <c r="BK65" s="85">
        <v>1.9</v>
      </c>
      <c r="BL65" s="85">
        <v>1.8</v>
      </c>
      <c r="BM65" s="85">
        <v>0.7</v>
      </c>
      <c r="BN65" s="85">
        <v>44.1</v>
      </c>
      <c r="BO65" s="85" t="s">
        <v>97</v>
      </c>
      <c r="BP65" s="85">
        <v>100.3</v>
      </c>
      <c r="BR65" s="102">
        <v>1996</v>
      </c>
      <c r="BS65" s="104">
        <v>705</v>
      </c>
      <c r="BT65" s="99">
        <v>1787</v>
      </c>
      <c r="BU65" s="105">
        <v>627</v>
      </c>
      <c r="BV65" s="99">
        <v>1730</v>
      </c>
      <c r="BW65" s="99">
        <v>3801</v>
      </c>
      <c r="BX65" s="99">
        <v>33358</v>
      </c>
      <c r="BY65" s="100">
        <v>55552</v>
      </c>
      <c r="BZ65" s="101">
        <v>97560</v>
      </c>
      <c r="CB65" s="124">
        <v>1996</v>
      </c>
      <c r="CC65" s="136">
        <v>20394</v>
      </c>
      <c r="CD65" s="129">
        <v>1211</v>
      </c>
      <c r="CE65" s="129">
        <v>2095</v>
      </c>
      <c r="CF65" s="129">
        <v>21605</v>
      </c>
      <c r="CG65" s="129">
        <v>1175</v>
      </c>
      <c r="CH65" s="127">
        <v>789</v>
      </c>
      <c r="CI65" s="129">
        <v>1964</v>
      </c>
      <c r="CJ65" s="127">
        <v>315</v>
      </c>
      <c r="CK65" s="127">
        <v>976</v>
      </c>
      <c r="CL65" s="129">
        <v>1291</v>
      </c>
      <c r="CM65" s="107"/>
      <c r="CN65" s="127">
        <v>479</v>
      </c>
      <c r="CO65" s="129">
        <v>1322</v>
      </c>
      <c r="CP65" s="129">
        <v>1801</v>
      </c>
      <c r="CQ65" s="129">
        <v>6346</v>
      </c>
      <c r="CR65" s="127">
        <v>0</v>
      </c>
      <c r="CS65" s="128">
        <v>1996</v>
      </c>
      <c r="CU65" s="74">
        <f t="shared" si="107"/>
        <v>21605</v>
      </c>
      <c r="DY65" s="74"/>
      <c r="FX65" s="65">
        <f t="shared" si="124"/>
        <v>44124.218722169084</v>
      </c>
      <c r="IC65" t="s">
        <v>794</v>
      </c>
      <c r="IP65" s="74">
        <f>HZ17</f>
        <v>18393.2</v>
      </c>
      <c r="IX65" s="74">
        <f>IA17</f>
        <v>404.3</v>
      </c>
    </row>
    <row r="66" spans="58:258" x14ac:dyDescent="0.3">
      <c r="BF66" s="82">
        <v>1997</v>
      </c>
      <c r="BG66" s="85">
        <v>1.9</v>
      </c>
      <c r="BH66" s="85">
        <v>0</v>
      </c>
      <c r="BI66" s="85">
        <v>35</v>
      </c>
      <c r="BJ66" s="85">
        <v>4.5999999999999996</v>
      </c>
      <c r="BK66" s="85">
        <v>2</v>
      </c>
      <c r="BL66" s="85">
        <v>2.2000000000000002</v>
      </c>
      <c r="BM66" s="85">
        <v>0.5</v>
      </c>
      <c r="BN66" s="85">
        <v>46.2</v>
      </c>
      <c r="BO66" s="85">
        <v>115</v>
      </c>
      <c r="BP66" s="85">
        <v>161.19999999999999</v>
      </c>
      <c r="BR66" s="102">
        <v>1997</v>
      </c>
      <c r="BS66" s="106">
        <v>1597</v>
      </c>
      <c r="BT66" s="99">
        <v>1877</v>
      </c>
      <c r="BU66" s="105">
        <v>505</v>
      </c>
      <c r="BV66" s="99">
        <v>2196</v>
      </c>
      <c r="BW66" s="99">
        <v>4410</v>
      </c>
      <c r="BX66" s="99">
        <v>34540</v>
      </c>
      <c r="BY66" s="100">
        <v>124321</v>
      </c>
      <c r="BZ66" s="101">
        <v>169446</v>
      </c>
      <c r="CB66" s="124">
        <v>1997</v>
      </c>
      <c r="CC66" s="136">
        <v>26248</v>
      </c>
      <c r="CD66" s="127">
        <v>637</v>
      </c>
      <c r="CE66" s="129">
        <v>2413</v>
      </c>
      <c r="CF66" s="129">
        <v>26885</v>
      </c>
      <c r="CG66" s="129">
        <v>4448</v>
      </c>
      <c r="CH66" s="127">
        <v>44</v>
      </c>
      <c r="CI66" s="129">
        <v>4492</v>
      </c>
      <c r="CJ66" s="129">
        <v>1407</v>
      </c>
      <c r="CK66" s="127">
        <v>428</v>
      </c>
      <c r="CL66" s="129">
        <v>1835</v>
      </c>
      <c r="CM66" s="107"/>
      <c r="CN66" s="127">
        <v>619</v>
      </c>
      <c r="CO66" s="129">
        <v>3925</v>
      </c>
      <c r="CP66" s="129">
        <v>4544</v>
      </c>
      <c r="CQ66" s="142">
        <v>14907</v>
      </c>
      <c r="CR66" s="127">
        <v>0</v>
      </c>
      <c r="CS66" s="128">
        <v>1997</v>
      </c>
      <c r="CU66" s="74">
        <f t="shared" si="107"/>
        <v>26885</v>
      </c>
      <c r="DY66" s="74"/>
    </row>
    <row r="67" spans="58:258" x14ac:dyDescent="0.3">
      <c r="BF67" s="82">
        <v>1998</v>
      </c>
      <c r="BG67" s="85">
        <v>2.2000000000000002</v>
      </c>
      <c r="BH67" s="85">
        <v>0.1</v>
      </c>
      <c r="BI67" s="85">
        <v>45.1</v>
      </c>
      <c r="BJ67" s="85">
        <v>4.2</v>
      </c>
      <c r="BK67" s="85">
        <v>1.4</v>
      </c>
      <c r="BL67" s="85">
        <v>1.6</v>
      </c>
      <c r="BM67" s="85">
        <v>0.4</v>
      </c>
      <c r="BN67" s="85">
        <v>55</v>
      </c>
      <c r="BO67" s="85">
        <v>39.1</v>
      </c>
      <c r="BP67" s="85">
        <v>94.1</v>
      </c>
      <c r="BR67" s="102">
        <v>1998</v>
      </c>
      <c r="BS67" s="106">
        <v>2034</v>
      </c>
      <c r="BT67" s="99">
        <v>1055</v>
      </c>
      <c r="BU67" s="105">
        <v>407</v>
      </c>
      <c r="BV67" s="99">
        <v>1611</v>
      </c>
      <c r="BW67" s="99">
        <v>3577</v>
      </c>
      <c r="BX67" s="99">
        <v>43497</v>
      </c>
      <c r="BY67" s="100">
        <v>44308</v>
      </c>
      <c r="BZ67" s="101">
        <v>96489</v>
      </c>
      <c r="CB67" s="147" t="s">
        <v>127</v>
      </c>
      <c r="CC67" s="136">
        <v>33073</v>
      </c>
      <c r="CD67" s="129">
        <v>1388</v>
      </c>
      <c r="CE67" s="129">
        <v>1096</v>
      </c>
      <c r="CF67" s="129">
        <v>34461</v>
      </c>
      <c r="CG67" s="129">
        <v>2657</v>
      </c>
      <c r="CH67" s="127">
        <v>65</v>
      </c>
      <c r="CI67" s="129">
        <v>2722</v>
      </c>
      <c r="CJ67" s="127">
        <v>373</v>
      </c>
      <c r="CK67" s="127">
        <v>386</v>
      </c>
      <c r="CL67" s="127">
        <v>759</v>
      </c>
      <c r="CM67" s="107"/>
      <c r="CN67" s="127">
        <v>757</v>
      </c>
      <c r="CO67" s="129">
        <v>2921</v>
      </c>
      <c r="CP67" s="129">
        <v>3678</v>
      </c>
      <c r="CQ67" s="142">
        <v>12931</v>
      </c>
      <c r="CR67" s="127">
        <v>2</v>
      </c>
      <c r="CS67" s="128">
        <v>1998</v>
      </c>
      <c r="CU67" s="74">
        <f t="shared" si="107"/>
        <v>34461</v>
      </c>
      <c r="DY67" s="74"/>
      <c r="FF67" s="240" t="s">
        <v>577</v>
      </c>
      <c r="FG67" s="240"/>
      <c r="FH67" s="240"/>
      <c r="FI67" s="240"/>
      <c r="FJ67" s="240"/>
      <c r="FK67" s="240"/>
      <c r="FL67" s="240"/>
      <c r="FM67" s="240"/>
      <c r="FN67" s="240"/>
      <c r="FO67" s="240"/>
      <c r="FP67" s="240"/>
      <c r="IC67" s="253" t="s">
        <v>543</v>
      </c>
      <c r="IP67" s="398">
        <f>IP65+IP63</f>
        <v>23660.089198891226</v>
      </c>
      <c r="IX67" s="398">
        <f>IX63+IX65</f>
        <v>1416.5320556953666</v>
      </c>
    </row>
    <row r="68" spans="58:258" x14ac:dyDescent="0.3">
      <c r="BF68" s="82">
        <v>1999</v>
      </c>
      <c r="BG68" s="85">
        <v>1.9</v>
      </c>
      <c r="BH68" s="85">
        <v>0</v>
      </c>
      <c r="BI68" s="85">
        <v>54.2</v>
      </c>
      <c r="BJ68" s="85">
        <v>3.4</v>
      </c>
      <c r="BK68" s="85">
        <v>2.4</v>
      </c>
      <c r="BL68" s="85">
        <v>1.9</v>
      </c>
      <c r="BM68" s="85">
        <v>1</v>
      </c>
      <c r="BN68" s="85">
        <v>64.8</v>
      </c>
      <c r="BO68" s="85">
        <v>47.3</v>
      </c>
      <c r="BP68" s="85">
        <v>112.1</v>
      </c>
      <c r="BR68" s="102">
        <v>1999</v>
      </c>
      <c r="BS68" s="106">
        <v>1346</v>
      </c>
      <c r="BT68" s="99">
        <v>2069</v>
      </c>
      <c r="BU68" s="105">
        <v>977</v>
      </c>
      <c r="BV68" s="99">
        <v>1753</v>
      </c>
      <c r="BW68" s="99">
        <v>3585</v>
      </c>
      <c r="BX68" s="99">
        <v>52584</v>
      </c>
      <c r="BY68" s="100">
        <v>43067</v>
      </c>
      <c r="BZ68" s="101">
        <v>105381</v>
      </c>
      <c r="CB68" s="147" t="s">
        <v>128</v>
      </c>
      <c r="CC68" s="136">
        <v>38948</v>
      </c>
      <c r="CD68" s="129">
        <v>1462</v>
      </c>
      <c r="CE68" s="129">
        <v>1352</v>
      </c>
      <c r="CF68" s="129">
        <v>40410</v>
      </c>
      <c r="CG68" s="127">
        <v>289</v>
      </c>
      <c r="CH68" s="127">
        <v>63</v>
      </c>
      <c r="CI68" s="127">
        <v>352</v>
      </c>
      <c r="CJ68" s="127">
        <v>635</v>
      </c>
      <c r="CK68" s="127">
        <v>623</v>
      </c>
      <c r="CL68" s="129">
        <v>1258</v>
      </c>
      <c r="CM68" s="107"/>
      <c r="CN68" s="129">
        <v>1207</v>
      </c>
      <c r="CO68" s="129">
        <v>5697</v>
      </c>
      <c r="CP68" s="129">
        <v>6904</v>
      </c>
      <c r="CQ68" s="142">
        <v>10935</v>
      </c>
      <c r="CR68" s="127">
        <v>0</v>
      </c>
      <c r="CS68" s="128">
        <v>1999</v>
      </c>
      <c r="CU68" s="74">
        <f t="shared" si="107"/>
        <v>40410</v>
      </c>
      <c r="DY68" s="74"/>
      <c r="FF68" s="240" t="s">
        <v>578</v>
      </c>
      <c r="FG68" s="240"/>
      <c r="FH68" s="240"/>
      <c r="FI68" s="240"/>
      <c r="FJ68" s="240"/>
      <c r="FK68" s="240"/>
      <c r="FL68" s="240"/>
      <c r="FM68" s="240"/>
      <c r="FN68" s="240"/>
      <c r="FO68" s="240"/>
      <c r="FP68" s="240"/>
    </row>
    <row r="69" spans="58:258" x14ac:dyDescent="0.3">
      <c r="BF69" s="82">
        <v>2000</v>
      </c>
      <c r="BG69" s="85">
        <v>6.9</v>
      </c>
      <c r="BH69" s="85">
        <v>0.2</v>
      </c>
      <c r="BI69" s="85">
        <v>57.5</v>
      </c>
      <c r="BJ69" s="85">
        <v>3.8</v>
      </c>
      <c r="BK69" s="85">
        <v>2</v>
      </c>
      <c r="BL69" s="85">
        <v>2.2999999999999998</v>
      </c>
      <c r="BM69" s="85">
        <v>1.5</v>
      </c>
      <c r="BN69" s="85">
        <v>74.2</v>
      </c>
      <c r="BO69" s="85">
        <v>199.8</v>
      </c>
      <c r="BP69" s="85">
        <v>274</v>
      </c>
      <c r="BR69" s="102">
        <v>2000</v>
      </c>
      <c r="BS69" s="106">
        <v>5619</v>
      </c>
      <c r="BT69" s="99">
        <v>2199</v>
      </c>
      <c r="BU69" s="99">
        <v>1418</v>
      </c>
      <c r="BV69" s="99">
        <v>2515</v>
      </c>
      <c r="BW69" s="99">
        <v>3641</v>
      </c>
      <c r="BX69" s="99">
        <v>55740</v>
      </c>
      <c r="BY69" s="100">
        <v>186715</v>
      </c>
      <c r="BZ69" s="101">
        <v>257847</v>
      </c>
      <c r="CB69" s="130">
        <v>2000</v>
      </c>
      <c r="CC69" s="137">
        <v>37594</v>
      </c>
      <c r="CD69" s="131">
        <v>1479</v>
      </c>
      <c r="CE69" s="131">
        <v>5162</v>
      </c>
      <c r="CF69" s="131">
        <v>39073</v>
      </c>
      <c r="CG69" s="131">
        <v>1896</v>
      </c>
      <c r="CH69" s="132">
        <v>233</v>
      </c>
      <c r="CI69" s="131">
        <v>2129</v>
      </c>
      <c r="CJ69" s="131">
        <v>2839</v>
      </c>
      <c r="CK69" s="132">
        <v>773</v>
      </c>
      <c r="CL69" s="131">
        <v>3612</v>
      </c>
      <c r="CM69" s="113"/>
      <c r="CN69" s="131">
        <v>1402</v>
      </c>
      <c r="CO69" s="131">
        <v>3359</v>
      </c>
      <c r="CP69" s="131">
        <v>4761</v>
      </c>
      <c r="CQ69" s="143">
        <v>12518</v>
      </c>
      <c r="CR69" s="132">
        <v>0</v>
      </c>
      <c r="CS69" s="133">
        <v>2000</v>
      </c>
      <c r="CU69" s="74">
        <f t="shared" si="107"/>
        <v>39073</v>
      </c>
      <c r="DY69" s="74"/>
      <c r="FX69" s="65"/>
    </row>
    <row r="70" spans="58:258" x14ac:dyDescent="0.3">
      <c r="BF70" s="82">
        <v>2001</v>
      </c>
      <c r="BG70" s="85">
        <v>5</v>
      </c>
      <c r="BH70" s="85">
        <v>4.4000000000000004</v>
      </c>
      <c r="BI70" s="85">
        <v>73</v>
      </c>
      <c r="BJ70" s="85">
        <v>5.6</v>
      </c>
      <c r="BK70" s="85">
        <v>2.2000000000000002</v>
      </c>
      <c r="BL70" s="85">
        <v>2.2999999999999998</v>
      </c>
      <c r="BM70" s="85">
        <v>1.8</v>
      </c>
      <c r="BN70" s="85">
        <v>94.3</v>
      </c>
      <c r="BO70" s="85">
        <v>431.4</v>
      </c>
      <c r="BP70" s="85">
        <v>525.70000000000005</v>
      </c>
      <c r="BR70" s="102">
        <v>2001</v>
      </c>
      <c r="BS70" s="106">
        <v>8142</v>
      </c>
      <c r="BT70" s="99">
        <v>1609</v>
      </c>
      <c r="BU70" s="99">
        <v>1796</v>
      </c>
      <c r="BV70" s="99">
        <v>3777</v>
      </c>
      <c r="BW70" s="99">
        <v>5329</v>
      </c>
      <c r="BX70" s="99">
        <v>78502</v>
      </c>
      <c r="BY70" s="100">
        <v>440336</v>
      </c>
      <c r="BZ70" s="101">
        <v>539491</v>
      </c>
      <c r="CB70" s="134">
        <v>2001</v>
      </c>
      <c r="CC70" s="138">
        <v>52685</v>
      </c>
      <c r="CD70" s="125">
        <v>1288</v>
      </c>
      <c r="CE70" s="125">
        <v>3507</v>
      </c>
      <c r="CF70" s="125">
        <v>53973</v>
      </c>
      <c r="CG70" s="125">
        <v>1711</v>
      </c>
      <c r="CH70" s="126">
        <v>39</v>
      </c>
      <c r="CI70" s="125">
        <v>1750</v>
      </c>
      <c r="CJ70" s="125">
        <v>1736</v>
      </c>
      <c r="CK70" s="126">
        <v>402</v>
      </c>
      <c r="CL70" s="125">
        <v>2138</v>
      </c>
      <c r="CM70" s="115"/>
      <c r="CN70" s="125">
        <v>1773</v>
      </c>
      <c r="CO70" s="125">
        <v>10752</v>
      </c>
      <c r="CP70" s="125">
        <v>12525</v>
      </c>
      <c r="CQ70" s="145">
        <v>26418</v>
      </c>
      <c r="CR70" s="126">
        <v>0</v>
      </c>
      <c r="CS70" s="135">
        <v>2001</v>
      </c>
      <c r="CU70" s="74">
        <f t="shared" si="107"/>
        <v>53973</v>
      </c>
      <c r="DY70" s="74"/>
    </row>
    <row r="71" spans="58:258" x14ac:dyDescent="0.3">
      <c r="BF71" s="82">
        <v>2002</v>
      </c>
      <c r="BG71" s="85">
        <v>6.3</v>
      </c>
      <c r="BH71" s="85">
        <v>5.7</v>
      </c>
      <c r="BI71" s="85">
        <v>109.1</v>
      </c>
      <c r="BJ71" s="85">
        <v>7</v>
      </c>
      <c r="BK71" s="85">
        <v>5</v>
      </c>
      <c r="BL71" s="85">
        <v>3</v>
      </c>
      <c r="BM71" s="85">
        <v>2.9</v>
      </c>
      <c r="BN71" s="85">
        <v>139</v>
      </c>
      <c r="BO71" s="85">
        <v>301.8</v>
      </c>
      <c r="BP71" s="85">
        <v>440.8</v>
      </c>
      <c r="BR71" s="102">
        <v>2002</v>
      </c>
      <c r="BS71" s="106">
        <v>8661</v>
      </c>
      <c r="BT71" s="99">
        <v>5152</v>
      </c>
      <c r="BU71" s="99">
        <v>2912</v>
      </c>
      <c r="BV71" s="99">
        <v>3514</v>
      </c>
      <c r="BW71" s="99">
        <v>5905</v>
      </c>
      <c r="BX71" s="99">
        <v>120161</v>
      </c>
      <c r="BY71" s="100">
        <v>335214</v>
      </c>
      <c r="BZ71" s="101">
        <v>481519</v>
      </c>
      <c r="CB71" s="124">
        <v>2002</v>
      </c>
      <c r="CC71" s="136">
        <v>82111</v>
      </c>
      <c r="CD71" s="129">
        <v>1025</v>
      </c>
      <c r="CE71" s="129">
        <v>10376</v>
      </c>
      <c r="CF71" s="129">
        <v>83136</v>
      </c>
      <c r="CG71" s="127">
        <v>763</v>
      </c>
      <c r="CH71" s="127">
        <v>95</v>
      </c>
      <c r="CI71" s="127">
        <v>858</v>
      </c>
      <c r="CJ71" s="129">
        <v>2337</v>
      </c>
      <c r="CK71" s="129">
        <v>2417</v>
      </c>
      <c r="CL71" s="129">
        <v>4747</v>
      </c>
      <c r="CM71" s="107"/>
      <c r="CN71" s="129">
        <v>5552</v>
      </c>
      <c r="CO71" s="129">
        <v>11106</v>
      </c>
      <c r="CP71" s="129">
        <v>16658</v>
      </c>
      <c r="CQ71" s="142">
        <v>34291</v>
      </c>
      <c r="CR71" s="127">
        <v>0</v>
      </c>
      <c r="CS71" s="128">
        <v>2002</v>
      </c>
      <c r="CU71" s="74">
        <f t="shared" si="107"/>
        <v>83136</v>
      </c>
    </row>
    <row r="72" spans="58:258" x14ac:dyDescent="0.3">
      <c r="BF72" s="102">
        <v>2003</v>
      </c>
      <c r="BR72" s="102">
        <v>2003</v>
      </c>
      <c r="BS72" s="106">
        <v>6857</v>
      </c>
      <c r="BT72" s="99">
        <v>15954</v>
      </c>
      <c r="BU72" s="99">
        <v>4556</v>
      </c>
      <c r="BV72" s="99">
        <v>5040</v>
      </c>
      <c r="BW72" s="99">
        <v>5472</v>
      </c>
      <c r="BX72" s="99">
        <v>123355</v>
      </c>
      <c r="BY72" s="100">
        <v>242605</v>
      </c>
      <c r="BZ72" s="101">
        <v>403839</v>
      </c>
      <c r="CB72" s="124">
        <v>2003</v>
      </c>
      <c r="CC72" s="136">
        <v>85898</v>
      </c>
      <c r="CD72" s="129">
        <v>1851</v>
      </c>
      <c r="CE72" s="129">
        <v>1659</v>
      </c>
      <c r="CF72" s="129">
        <v>87749</v>
      </c>
      <c r="CG72" s="127">
        <v>390</v>
      </c>
      <c r="CH72" s="127">
        <v>34</v>
      </c>
      <c r="CI72" s="127">
        <v>424</v>
      </c>
      <c r="CJ72" s="129">
        <v>7908</v>
      </c>
      <c r="CK72" s="129">
        <v>1869</v>
      </c>
      <c r="CL72" s="129">
        <v>9717</v>
      </c>
      <c r="CM72" s="107"/>
      <c r="CN72" s="129">
        <v>2430</v>
      </c>
      <c r="CO72" s="129">
        <v>6662</v>
      </c>
      <c r="CP72" s="129">
        <v>9092</v>
      </c>
      <c r="CQ72" s="142">
        <v>15834</v>
      </c>
      <c r="CR72" s="127">
        <v>0</v>
      </c>
      <c r="CS72" s="128">
        <v>2003</v>
      </c>
      <c r="CU72" s="74">
        <f t="shared" si="107"/>
        <v>87749</v>
      </c>
    </row>
    <row r="73" spans="58:258" x14ac:dyDescent="0.3">
      <c r="BF73" s="102">
        <v>2004</v>
      </c>
      <c r="BR73" s="102">
        <v>2004</v>
      </c>
      <c r="BS73" s="106">
        <v>10175</v>
      </c>
      <c r="BT73" s="99">
        <v>16511</v>
      </c>
      <c r="BU73" s="99">
        <v>4286</v>
      </c>
      <c r="BV73" s="99">
        <v>7475</v>
      </c>
      <c r="BW73" s="99">
        <v>12680</v>
      </c>
      <c r="BX73" s="99">
        <v>143240</v>
      </c>
      <c r="BY73" s="100">
        <v>221675</v>
      </c>
      <c r="BZ73" s="101">
        <v>416042</v>
      </c>
      <c r="CB73" s="124">
        <v>2004</v>
      </c>
      <c r="CC73" s="136">
        <v>95968</v>
      </c>
      <c r="CD73" s="127">
        <v>757</v>
      </c>
      <c r="CE73" s="129">
        <v>1289</v>
      </c>
      <c r="CF73" s="129">
        <v>96725</v>
      </c>
      <c r="CG73" s="127">
        <v>673</v>
      </c>
      <c r="CH73" s="127">
        <v>116</v>
      </c>
      <c r="CI73" s="127">
        <v>789</v>
      </c>
      <c r="CJ73" s="129">
        <v>2849</v>
      </c>
      <c r="CK73" s="127">
        <v>524</v>
      </c>
      <c r="CL73" s="129">
        <v>3373</v>
      </c>
      <c r="CM73" s="107"/>
      <c r="CN73" s="129">
        <v>3755</v>
      </c>
      <c r="CO73" s="129">
        <v>8087</v>
      </c>
      <c r="CP73" s="129">
        <v>11842</v>
      </c>
      <c r="CQ73" s="142">
        <v>33440</v>
      </c>
      <c r="CR73" s="127">
        <v>0</v>
      </c>
      <c r="CS73" s="128">
        <v>2004</v>
      </c>
      <c r="CU73" s="74">
        <f t="shared" si="107"/>
        <v>96725</v>
      </c>
    </row>
    <row r="74" spans="58:258" x14ac:dyDescent="0.3">
      <c r="BF74" s="102">
        <v>2005</v>
      </c>
      <c r="BR74" s="102">
        <v>2005</v>
      </c>
      <c r="BS74" s="106">
        <v>2379</v>
      </c>
      <c r="BT74" s="99">
        <v>9379</v>
      </c>
      <c r="BU74" s="99">
        <v>3367</v>
      </c>
      <c r="BV74" s="99">
        <v>3512</v>
      </c>
      <c r="BW74" s="99">
        <v>7665</v>
      </c>
      <c r="BX74" s="99">
        <v>59471</v>
      </c>
      <c r="BY74" s="100">
        <v>106900</v>
      </c>
      <c r="BZ74" s="101">
        <v>192673</v>
      </c>
      <c r="CB74" s="124">
        <v>2005</v>
      </c>
      <c r="CC74" s="136">
        <v>35453</v>
      </c>
      <c r="CD74" s="129">
        <v>1180</v>
      </c>
      <c r="CE74" s="127">
        <v>125</v>
      </c>
      <c r="CF74" s="129">
        <v>36633</v>
      </c>
      <c r="CG74" s="127">
        <v>964</v>
      </c>
      <c r="CH74" s="127">
        <v>73</v>
      </c>
      <c r="CI74" s="129">
        <v>1037</v>
      </c>
      <c r="CJ74" s="129">
        <v>1322</v>
      </c>
      <c r="CK74" s="127">
        <v>271</v>
      </c>
      <c r="CL74" s="129">
        <v>1593</v>
      </c>
      <c r="CM74" s="107"/>
      <c r="CN74" s="129">
        <v>1340</v>
      </c>
      <c r="CO74" s="129">
        <v>4623</v>
      </c>
      <c r="CP74" s="129">
        <v>5963</v>
      </c>
      <c r="CQ74" s="142">
        <v>14063</v>
      </c>
      <c r="CR74" s="127">
        <v>0</v>
      </c>
      <c r="CS74" s="128">
        <v>2005</v>
      </c>
      <c r="CU74" s="74">
        <f t="shared" si="107"/>
        <v>36633</v>
      </c>
    </row>
    <row r="75" spans="58:258" x14ac:dyDescent="0.3">
      <c r="BF75" s="102">
        <v>2006</v>
      </c>
      <c r="BR75" s="102">
        <v>2006</v>
      </c>
      <c r="BS75" s="106">
        <v>7002</v>
      </c>
      <c r="BT75" s="99">
        <v>6963</v>
      </c>
      <c r="BU75" s="99">
        <v>5458</v>
      </c>
      <c r="BV75" s="99">
        <v>7301</v>
      </c>
      <c r="BW75" s="99">
        <v>4382</v>
      </c>
      <c r="BX75" s="99">
        <v>59311</v>
      </c>
      <c r="BY75" s="100">
        <v>132583</v>
      </c>
      <c r="BZ75" s="101">
        <v>223000</v>
      </c>
      <c r="CB75" s="124">
        <v>2006</v>
      </c>
      <c r="CC75" s="136">
        <v>36851</v>
      </c>
      <c r="CD75" s="127">
        <v>190</v>
      </c>
      <c r="CE75" s="127">
        <v>443</v>
      </c>
      <c r="CF75" s="129">
        <v>37041</v>
      </c>
      <c r="CG75" s="129">
        <v>1937</v>
      </c>
      <c r="CH75" s="127">
        <v>329</v>
      </c>
      <c r="CI75" s="129">
        <v>2266</v>
      </c>
      <c r="CJ75" s="129">
        <v>6188</v>
      </c>
      <c r="CK75" s="129">
        <v>1614</v>
      </c>
      <c r="CL75" s="129">
        <v>7802</v>
      </c>
      <c r="CM75" s="107"/>
      <c r="CN75" s="129">
        <v>3153</v>
      </c>
      <c r="CO75" s="129">
        <v>3251</v>
      </c>
      <c r="CP75" s="129">
        <v>6404</v>
      </c>
      <c r="CQ75" s="142">
        <v>19373</v>
      </c>
      <c r="CR75" s="127">
        <v>0</v>
      </c>
      <c r="CS75" s="128">
        <v>2006</v>
      </c>
      <c r="CU75" s="74">
        <f t="shared" si="107"/>
        <v>37041</v>
      </c>
    </row>
    <row r="76" spans="58:258" x14ac:dyDescent="0.3">
      <c r="BF76" s="102">
        <v>2007</v>
      </c>
      <c r="BR76" s="102">
        <v>2007</v>
      </c>
      <c r="BS76" s="106">
        <v>6419</v>
      </c>
      <c r="BT76" s="99">
        <v>3975</v>
      </c>
      <c r="BU76" s="99">
        <v>8030</v>
      </c>
      <c r="BV76" s="99">
        <v>7596</v>
      </c>
      <c r="BW76" s="99">
        <v>2841</v>
      </c>
      <c r="BX76" s="99">
        <v>39963</v>
      </c>
      <c r="BY76" s="100">
        <v>86247</v>
      </c>
      <c r="BZ76" s="101">
        <v>155071</v>
      </c>
      <c r="CB76" s="124">
        <v>2007</v>
      </c>
      <c r="CC76" s="136">
        <v>23279</v>
      </c>
      <c r="CD76" s="127">
        <v>360</v>
      </c>
      <c r="CE76" s="129">
        <v>2990</v>
      </c>
      <c r="CF76" s="129">
        <v>23639</v>
      </c>
      <c r="CG76" s="127">
        <v>548</v>
      </c>
      <c r="CH76" s="127">
        <v>113</v>
      </c>
      <c r="CI76" s="127">
        <v>661</v>
      </c>
      <c r="CJ76" s="129">
        <v>6678</v>
      </c>
      <c r="CK76" s="127">
        <v>924</v>
      </c>
      <c r="CL76" s="129">
        <v>7602</v>
      </c>
      <c r="CM76" s="107"/>
      <c r="CN76" s="129">
        <v>2106</v>
      </c>
      <c r="CO76" s="129">
        <v>3368</v>
      </c>
      <c r="CP76" s="129">
        <v>5474</v>
      </c>
      <c r="CQ76" s="142">
        <v>14915</v>
      </c>
      <c r="CR76" s="127">
        <v>0</v>
      </c>
      <c r="CS76" s="128">
        <v>2007</v>
      </c>
      <c r="CU76" s="74">
        <f t="shared" si="107"/>
        <v>23639</v>
      </c>
    </row>
    <row r="77" spans="58:258" x14ac:dyDescent="0.3">
      <c r="BF77" s="102">
        <v>2008</v>
      </c>
      <c r="BR77" s="102">
        <v>2008</v>
      </c>
      <c r="BS77" s="106">
        <v>3307</v>
      </c>
      <c r="BT77" s="99">
        <v>2986</v>
      </c>
      <c r="BU77" s="99">
        <v>1623</v>
      </c>
      <c r="BV77" s="99">
        <v>2215</v>
      </c>
      <c r="BW77" s="99">
        <v>5848</v>
      </c>
      <c r="BX77" s="99">
        <v>26615</v>
      </c>
      <c r="BY77" s="100">
        <v>178629</v>
      </c>
      <c r="BZ77" s="101">
        <v>221223</v>
      </c>
      <c r="CB77" s="124">
        <v>2008</v>
      </c>
      <c r="CC77" s="136">
        <v>14151</v>
      </c>
      <c r="CD77" s="127">
        <v>521</v>
      </c>
      <c r="CE77" s="129">
        <v>9973</v>
      </c>
      <c r="CF77" s="129">
        <v>14672</v>
      </c>
      <c r="CG77" s="129">
        <v>2552</v>
      </c>
      <c r="CH77" s="129">
        <v>1096</v>
      </c>
      <c r="CI77" s="129">
        <v>3648</v>
      </c>
      <c r="CJ77" s="129">
        <v>4048</v>
      </c>
      <c r="CK77" s="129">
        <v>2962</v>
      </c>
      <c r="CL77" s="129">
        <v>7010</v>
      </c>
      <c r="CM77" s="107"/>
      <c r="CN77" s="129">
        <v>2327</v>
      </c>
      <c r="CO77" s="129">
        <v>2588</v>
      </c>
      <c r="CP77" s="129">
        <v>4915</v>
      </c>
      <c r="CQ77" s="142">
        <v>14883</v>
      </c>
      <c r="CR77" s="127">
        <v>0</v>
      </c>
      <c r="CS77" s="128">
        <v>2008</v>
      </c>
      <c r="CU77" s="74">
        <f t="shared" si="107"/>
        <v>14672</v>
      </c>
    </row>
    <row r="78" spans="58:258" x14ac:dyDescent="0.3">
      <c r="BF78" s="102">
        <v>2009</v>
      </c>
      <c r="BR78" s="102">
        <v>2009</v>
      </c>
      <c r="BS78" s="106">
        <v>3115</v>
      </c>
      <c r="BT78" s="99">
        <v>6034</v>
      </c>
      <c r="BU78" s="105">
        <v>404</v>
      </c>
      <c r="BV78" s="99">
        <v>1493</v>
      </c>
      <c r="BW78" s="99">
        <v>2348</v>
      </c>
      <c r="BX78" s="99">
        <v>35432</v>
      </c>
      <c r="BY78" s="100">
        <v>169296</v>
      </c>
      <c r="BZ78" s="101">
        <v>218122</v>
      </c>
      <c r="CB78" s="124">
        <v>2009</v>
      </c>
      <c r="CC78" s="136">
        <v>25795</v>
      </c>
      <c r="CD78" s="129">
        <v>2719</v>
      </c>
      <c r="CE78" s="129">
        <v>7487</v>
      </c>
      <c r="CF78" s="129">
        <v>28514</v>
      </c>
      <c r="CG78" s="129">
        <v>1336</v>
      </c>
      <c r="CH78" s="127">
        <v>231</v>
      </c>
      <c r="CI78" s="129">
        <v>1567</v>
      </c>
      <c r="CJ78" s="129">
        <v>25298</v>
      </c>
      <c r="CK78" s="129">
        <v>2094</v>
      </c>
      <c r="CL78" s="129">
        <v>27392</v>
      </c>
      <c r="CM78" s="107"/>
      <c r="CN78" s="127">
        <v>703</v>
      </c>
      <c r="CO78" s="129">
        <v>2110</v>
      </c>
      <c r="CP78" s="129">
        <v>2813</v>
      </c>
      <c r="CQ78" s="142">
        <v>15062</v>
      </c>
      <c r="CR78" s="127">
        <v>0</v>
      </c>
      <c r="CS78" s="128">
        <v>2009</v>
      </c>
      <c r="CU78" s="74">
        <f t="shared" si="107"/>
        <v>28514</v>
      </c>
    </row>
    <row r="79" spans="58:258" x14ac:dyDescent="0.3">
      <c r="BF79" s="102">
        <v>2010</v>
      </c>
      <c r="BR79" s="102">
        <v>2010</v>
      </c>
      <c r="BS79" s="106">
        <v>23138</v>
      </c>
      <c r="BT79" s="99">
        <v>8585</v>
      </c>
      <c r="BU79" s="105">
        <v>977</v>
      </c>
      <c r="BV79" s="99">
        <v>2347</v>
      </c>
      <c r="BW79" s="99">
        <v>7343</v>
      </c>
      <c r="BX79" s="99">
        <v>107675</v>
      </c>
      <c r="BY79" s="100">
        <v>315345</v>
      </c>
      <c r="BZ79" s="101">
        <v>465410</v>
      </c>
      <c r="CB79" s="130">
        <v>2010</v>
      </c>
      <c r="CC79" s="137">
        <v>65293</v>
      </c>
      <c r="CD79" s="131">
        <v>1766</v>
      </c>
      <c r="CE79" s="131">
        <v>4567</v>
      </c>
      <c r="CF79" s="131">
        <v>67059</v>
      </c>
      <c r="CG79" s="132">
        <v>695</v>
      </c>
      <c r="CH79" s="132">
        <v>79</v>
      </c>
      <c r="CI79" s="132">
        <v>774</v>
      </c>
      <c r="CJ79" s="131">
        <v>20021</v>
      </c>
      <c r="CK79" s="131">
        <v>1987</v>
      </c>
      <c r="CL79" s="131">
        <v>22008</v>
      </c>
      <c r="CM79" s="113"/>
      <c r="CN79" s="131">
        <v>2481</v>
      </c>
      <c r="CO79" s="131">
        <v>4856</v>
      </c>
      <c r="CP79" s="131">
        <v>7337</v>
      </c>
      <c r="CQ79" s="143">
        <v>25675</v>
      </c>
      <c r="CR79" s="132">
        <v>0</v>
      </c>
      <c r="CS79" s="133">
        <v>2010</v>
      </c>
      <c r="CU79" s="74">
        <f t="shared" si="107"/>
        <v>67059</v>
      </c>
    </row>
    <row r="80" spans="58:258" x14ac:dyDescent="0.3">
      <c r="BF80" s="102">
        <v>2011</v>
      </c>
      <c r="BR80" s="102">
        <v>2011</v>
      </c>
      <c r="BS80" s="106">
        <v>8941</v>
      </c>
      <c r="BT80" s="99">
        <v>5308</v>
      </c>
      <c r="BU80" s="105">
        <v>776</v>
      </c>
      <c r="BV80" s="99">
        <v>1310</v>
      </c>
      <c r="BW80" s="99">
        <v>4702</v>
      </c>
      <c r="BX80" s="99">
        <v>76549</v>
      </c>
      <c r="BY80" s="100">
        <v>221158</v>
      </c>
      <c r="BZ80" s="101">
        <v>318744</v>
      </c>
      <c r="CB80" s="134">
        <v>2011</v>
      </c>
      <c r="CC80" s="138">
        <v>43748</v>
      </c>
      <c r="CD80" s="125">
        <v>1399</v>
      </c>
      <c r="CE80" s="125">
        <v>3586</v>
      </c>
      <c r="CF80" s="125">
        <v>45147</v>
      </c>
      <c r="CG80" s="125">
        <v>1856</v>
      </c>
      <c r="CH80" s="126">
        <v>339</v>
      </c>
      <c r="CI80" s="125">
        <v>2195</v>
      </c>
      <c r="CJ80" s="125">
        <v>3393</v>
      </c>
      <c r="CK80" s="125">
        <v>1969</v>
      </c>
      <c r="CL80" s="125">
        <v>5362</v>
      </c>
      <c r="CM80" s="115"/>
      <c r="CN80" s="125">
        <v>2771</v>
      </c>
      <c r="CO80" s="125">
        <v>4670</v>
      </c>
      <c r="CP80" s="125">
        <v>7441</v>
      </c>
      <c r="CQ80" s="145">
        <v>21477</v>
      </c>
      <c r="CR80" s="126">
        <v>0</v>
      </c>
      <c r="CS80" s="135">
        <v>2011</v>
      </c>
      <c r="CU80" s="74">
        <f t="shared" si="107"/>
        <v>45147</v>
      </c>
    </row>
    <row r="81" spans="58:99" x14ac:dyDescent="0.3">
      <c r="BF81" s="102">
        <v>2012</v>
      </c>
      <c r="BR81" s="102">
        <v>2012</v>
      </c>
      <c r="BS81" s="106">
        <v>9139</v>
      </c>
      <c r="BT81" s="99">
        <v>12144</v>
      </c>
      <c r="BU81" s="105">
        <v>889</v>
      </c>
      <c r="BV81" s="99">
        <v>1895</v>
      </c>
      <c r="BW81" s="99">
        <v>4568</v>
      </c>
      <c r="BX81" s="99">
        <v>63037</v>
      </c>
      <c r="BY81" s="100">
        <v>203090</v>
      </c>
      <c r="BZ81" s="101">
        <v>294762</v>
      </c>
      <c r="CB81" s="124">
        <v>2012</v>
      </c>
      <c r="CC81" s="136">
        <v>35899</v>
      </c>
      <c r="CD81" s="129">
        <v>1314</v>
      </c>
      <c r="CE81" s="129">
        <v>3877</v>
      </c>
      <c r="CF81" s="129">
        <v>37213</v>
      </c>
      <c r="CG81" s="129">
        <v>1795</v>
      </c>
      <c r="CH81" s="127">
        <v>429</v>
      </c>
      <c r="CI81" s="129">
        <v>2224</v>
      </c>
      <c r="CJ81" s="129">
        <v>6571</v>
      </c>
      <c r="CK81" s="129">
        <v>6370</v>
      </c>
      <c r="CL81" s="129">
        <v>12941</v>
      </c>
      <c r="CM81" s="107"/>
      <c r="CN81" s="129">
        <v>2917</v>
      </c>
      <c r="CO81" s="129">
        <v>4699</v>
      </c>
      <c r="CP81" s="129">
        <v>7616</v>
      </c>
      <c r="CQ81" s="142">
        <v>24729</v>
      </c>
      <c r="CR81" s="127">
        <v>1</v>
      </c>
      <c r="CS81" s="128">
        <v>2012</v>
      </c>
      <c r="CU81" s="74">
        <f t="shared" si="107"/>
        <v>37213</v>
      </c>
    </row>
    <row r="82" spans="58:99" x14ac:dyDescent="0.3">
      <c r="BF82" s="102">
        <v>2013</v>
      </c>
      <c r="BR82" s="102">
        <v>2013</v>
      </c>
      <c r="BS82" s="106">
        <v>5408</v>
      </c>
      <c r="BT82" s="99">
        <v>8157</v>
      </c>
      <c r="BU82" s="99">
        <v>1014</v>
      </c>
      <c r="BV82" s="99">
        <v>1570</v>
      </c>
      <c r="BW82" s="99">
        <v>3649</v>
      </c>
      <c r="BX82" s="99">
        <v>44880</v>
      </c>
      <c r="BY82" s="100">
        <v>123136</v>
      </c>
      <c r="BZ82" s="101">
        <v>187814</v>
      </c>
      <c r="CB82" s="124">
        <v>2013</v>
      </c>
      <c r="CC82" s="136">
        <v>27897</v>
      </c>
      <c r="CD82" s="129">
        <v>1664</v>
      </c>
      <c r="CE82" s="129">
        <v>12748</v>
      </c>
      <c r="CF82" s="129">
        <v>29561</v>
      </c>
      <c r="CG82" s="129">
        <v>1590</v>
      </c>
      <c r="CH82" s="127">
        <v>409</v>
      </c>
      <c r="CI82" s="129">
        <v>1999</v>
      </c>
      <c r="CJ82" s="129">
        <v>18627</v>
      </c>
      <c r="CK82" s="129">
        <v>4111</v>
      </c>
      <c r="CL82" s="129">
        <v>22738</v>
      </c>
      <c r="CM82" s="107"/>
      <c r="CN82" s="129">
        <v>1322</v>
      </c>
      <c r="CO82" s="129">
        <v>3622</v>
      </c>
      <c r="CP82" s="129">
        <v>4944</v>
      </c>
      <c r="CQ82" s="142">
        <v>13549</v>
      </c>
      <c r="CR82" s="127">
        <v>0</v>
      </c>
      <c r="CS82" s="128">
        <v>2013</v>
      </c>
      <c r="CU82" s="74">
        <f t="shared" si="107"/>
        <v>29561</v>
      </c>
    </row>
    <row r="83" spans="58:99" x14ac:dyDescent="0.3">
      <c r="BF83" s="102">
        <v>2014</v>
      </c>
      <c r="BR83" s="102">
        <v>2014</v>
      </c>
      <c r="BS83" s="106">
        <v>2551</v>
      </c>
      <c r="BT83" s="99">
        <v>8310</v>
      </c>
      <c r="BU83" s="99">
        <v>1013</v>
      </c>
      <c r="BV83" s="99">
        <v>1396</v>
      </c>
      <c r="BW83" s="99">
        <v>3054</v>
      </c>
      <c r="BX83" s="99">
        <v>49765</v>
      </c>
      <c r="BY83" s="100">
        <v>242635</v>
      </c>
      <c r="BZ83" s="101">
        <v>308724</v>
      </c>
      <c r="CB83" s="124">
        <v>2014</v>
      </c>
      <c r="CC83" s="136">
        <v>30071</v>
      </c>
      <c r="CD83" s="129">
        <v>1598</v>
      </c>
      <c r="CE83" s="129">
        <v>6840</v>
      </c>
      <c r="CF83" s="129">
        <v>31669</v>
      </c>
      <c r="CG83" s="129">
        <v>1383</v>
      </c>
      <c r="CH83" s="127">
        <v>479</v>
      </c>
      <c r="CI83" s="129">
        <v>1862</v>
      </c>
      <c r="CJ83" s="129">
        <v>18062</v>
      </c>
      <c r="CK83" s="129">
        <v>3379</v>
      </c>
      <c r="CL83" s="129">
        <v>21441</v>
      </c>
      <c r="CM83" s="107"/>
      <c r="CN83" s="127">
        <v>839</v>
      </c>
      <c r="CO83" s="129">
        <v>4510</v>
      </c>
      <c r="CP83" s="129">
        <v>5349</v>
      </c>
      <c r="CQ83" s="142">
        <v>22941</v>
      </c>
      <c r="CR83" s="127">
        <v>0</v>
      </c>
      <c r="CS83" s="128">
        <v>2014</v>
      </c>
      <c r="CU83" s="74">
        <f t="shared" si="107"/>
        <v>31669</v>
      </c>
    </row>
    <row r="84" spans="58:99" x14ac:dyDescent="0.3">
      <c r="BF84" s="102">
        <v>2015</v>
      </c>
      <c r="BR84" s="102">
        <v>2015</v>
      </c>
      <c r="BS84" s="106">
        <v>13628</v>
      </c>
      <c r="BT84" s="99">
        <v>23596</v>
      </c>
      <c r="BU84" s="99">
        <v>3149</v>
      </c>
      <c r="BV84" s="99">
        <v>1006</v>
      </c>
      <c r="BW84" s="99">
        <v>3580</v>
      </c>
      <c r="BX84" s="99">
        <v>84532</v>
      </c>
      <c r="BY84" s="100">
        <v>288994</v>
      </c>
      <c r="BZ84" s="101">
        <v>418485</v>
      </c>
      <c r="CB84" s="124">
        <v>2015</v>
      </c>
      <c r="CC84" s="136">
        <v>51046</v>
      </c>
      <c r="CD84" s="129">
        <v>2042</v>
      </c>
      <c r="CE84" s="129">
        <v>5678</v>
      </c>
      <c r="CF84" s="129">
        <v>53088</v>
      </c>
      <c r="CG84" s="129">
        <v>2931</v>
      </c>
      <c r="CH84" s="129">
        <v>1022</v>
      </c>
      <c r="CI84" s="129">
        <v>3953</v>
      </c>
      <c r="CJ84" s="129">
        <v>2650</v>
      </c>
      <c r="CK84" s="127">
        <v>923</v>
      </c>
      <c r="CL84" s="129">
        <v>3573</v>
      </c>
      <c r="CM84" s="107"/>
      <c r="CN84" s="129">
        <v>1905</v>
      </c>
      <c r="CO84" s="129">
        <v>2603</v>
      </c>
      <c r="CP84" s="129">
        <v>4508</v>
      </c>
      <c r="CQ84" s="129">
        <v>3894</v>
      </c>
      <c r="CR84" s="127">
        <v>0</v>
      </c>
      <c r="CS84" s="128">
        <v>2015</v>
      </c>
      <c r="CU84" s="74">
        <f t="shared" si="107"/>
        <v>53088</v>
      </c>
    </row>
    <row r="85" spans="58:99" x14ac:dyDescent="0.3">
      <c r="BF85" s="102">
        <v>2016</v>
      </c>
      <c r="BR85" s="102">
        <v>2016</v>
      </c>
      <c r="BS85" s="106">
        <v>9538</v>
      </c>
      <c r="BT85" s="99">
        <v>22478</v>
      </c>
      <c r="BU85" s="99">
        <v>3980</v>
      </c>
      <c r="BV85" s="99">
        <v>473</v>
      </c>
      <c r="BW85" s="99">
        <v>4179</v>
      </c>
      <c r="BX85" s="99">
        <v>47225</v>
      </c>
      <c r="BY85" s="100">
        <v>187816</v>
      </c>
      <c r="BZ85" s="101">
        <v>275689</v>
      </c>
      <c r="CB85" s="124">
        <v>2016</v>
      </c>
      <c r="CC85" s="136">
        <v>30317</v>
      </c>
      <c r="CD85" s="129">
        <v>2161</v>
      </c>
      <c r="CE85" s="129">
        <v>3727</v>
      </c>
      <c r="CF85" s="129">
        <v>32478</v>
      </c>
      <c r="CG85" s="129">
        <v>1041</v>
      </c>
      <c r="CH85" s="127">
        <v>222</v>
      </c>
      <c r="CI85" s="129">
        <v>1263</v>
      </c>
      <c r="CJ85" s="129">
        <v>2559</v>
      </c>
      <c r="CK85" s="129">
        <v>1991</v>
      </c>
      <c r="CL85" s="129">
        <v>4550</v>
      </c>
      <c r="CM85" s="107"/>
      <c r="CN85" s="129">
        <v>2023</v>
      </c>
      <c r="CO85" s="129">
        <v>3755</v>
      </c>
      <c r="CP85" s="129">
        <v>5778</v>
      </c>
      <c r="CQ85" s="142">
        <v>21732</v>
      </c>
      <c r="CR85" s="127">
        <v>0</v>
      </c>
      <c r="CS85" s="128">
        <v>2016</v>
      </c>
      <c r="CU85" s="74">
        <f t="shared" si="107"/>
        <v>32478</v>
      </c>
    </row>
    <row r="86" spans="58:99" x14ac:dyDescent="0.3">
      <c r="BR86" s="112">
        <v>2017</v>
      </c>
      <c r="BS86" s="108">
        <v>16549</v>
      </c>
      <c r="BT86" s="109">
        <v>14026</v>
      </c>
      <c r="BU86" s="109">
        <v>2503</v>
      </c>
      <c r="BV86" s="109">
        <v>2394</v>
      </c>
      <c r="BW86" s="109">
        <v>8124</v>
      </c>
      <c r="BX86" s="109">
        <v>50774</v>
      </c>
      <c r="BY86" s="110">
        <v>115821</v>
      </c>
      <c r="BZ86" s="111">
        <v>210191</v>
      </c>
      <c r="CB86" s="130">
        <v>2017</v>
      </c>
      <c r="CC86" s="137">
        <v>34186</v>
      </c>
      <c r="CD86" s="131">
        <v>2442</v>
      </c>
      <c r="CE86" s="131">
        <v>1624</v>
      </c>
      <c r="CF86" s="131">
        <v>36628</v>
      </c>
      <c r="CG86" s="131">
        <v>2886</v>
      </c>
      <c r="CH86" s="132">
        <v>576</v>
      </c>
      <c r="CI86" s="131">
        <v>3462</v>
      </c>
      <c r="CJ86" s="131">
        <v>3041</v>
      </c>
      <c r="CK86" s="131">
        <v>2680</v>
      </c>
      <c r="CL86" s="131">
        <v>5721</v>
      </c>
      <c r="CM86" s="113"/>
      <c r="CN86" s="132">
        <v>279</v>
      </c>
      <c r="CO86" s="132">
        <v>543</v>
      </c>
      <c r="CP86" s="132">
        <v>822</v>
      </c>
      <c r="CQ86" s="131">
        <v>2182</v>
      </c>
      <c r="CR86" s="132">
        <v>0</v>
      </c>
      <c r="CS86" s="133">
        <v>2017</v>
      </c>
      <c r="CU86" s="74">
        <f t="shared" si="107"/>
        <v>36628</v>
      </c>
    </row>
    <row r="87" spans="58:99" x14ac:dyDescent="0.3">
      <c r="BR87" s="456">
        <v>2018</v>
      </c>
      <c r="BX87" s="99">
        <v>37441</v>
      </c>
      <c r="CB87" s="148" t="s">
        <v>123</v>
      </c>
      <c r="CC87" s="138">
        <v>35840</v>
      </c>
      <c r="CD87" s="125">
        <v>1763</v>
      </c>
      <c r="CE87" s="125">
        <v>6011</v>
      </c>
      <c r="CF87" s="125">
        <v>37603</v>
      </c>
      <c r="CG87" s="125">
        <v>1807</v>
      </c>
      <c r="CH87" s="126">
        <v>488</v>
      </c>
      <c r="CI87" s="125">
        <v>2295</v>
      </c>
      <c r="CJ87" s="125">
        <v>10427</v>
      </c>
      <c r="CK87" s="125">
        <v>2847</v>
      </c>
      <c r="CL87" s="125">
        <v>13274</v>
      </c>
      <c r="CM87" s="115"/>
      <c r="CN87" s="125">
        <v>1757</v>
      </c>
      <c r="CO87" s="125">
        <v>3396</v>
      </c>
      <c r="CP87" s="125">
        <v>5152</v>
      </c>
      <c r="CQ87" s="145">
        <v>16612</v>
      </c>
      <c r="CR87" s="126">
        <v>0</v>
      </c>
      <c r="CS87" s="148" t="s">
        <v>123</v>
      </c>
    </row>
    <row r="88" spans="58:99" x14ac:dyDescent="0.3">
      <c r="BR88" s="456">
        <v>2019</v>
      </c>
      <c r="BX88" s="99">
        <v>27292</v>
      </c>
      <c r="CB88" s="149" t="s">
        <v>124</v>
      </c>
      <c r="CC88" s="137">
        <v>39954</v>
      </c>
      <c r="CD88" s="131">
        <v>1524</v>
      </c>
      <c r="CE88" s="131">
        <v>6910</v>
      </c>
      <c r="CF88" s="131">
        <v>41478</v>
      </c>
      <c r="CG88" s="131">
        <v>8358</v>
      </c>
      <c r="CH88" s="132">
        <v>473</v>
      </c>
      <c r="CI88" s="131">
        <v>8831</v>
      </c>
      <c r="CJ88" s="131">
        <v>4930</v>
      </c>
      <c r="CK88" s="131">
        <v>2895</v>
      </c>
      <c r="CL88" s="131">
        <v>7822</v>
      </c>
      <c r="CM88" s="113"/>
      <c r="CN88" s="131">
        <v>3967</v>
      </c>
      <c r="CO88" s="131">
        <v>6188</v>
      </c>
      <c r="CP88" s="131">
        <v>9486</v>
      </c>
      <c r="CQ88" s="143">
        <v>13909</v>
      </c>
      <c r="CR88" s="139">
        <v>173</v>
      </c>
      <c r="CS88" s="149" t="s">
        <v>124</v>
      </c>
    </row>
    <row r="90" spans="58:99" x14ac:dyDescent="0.3">
      <c r="CU90" s="74">
        <f>AVERAGE(CU77:CU86)</f>
        <v>37602.9</v>
      </c>
    </row>
    <row r="91" spans="58:99" x14ac:dyDescent="0.3">
      <c r="BX91" s="74">
        <f>AVERAGE(BX77:BX86)</f>
        <v>58648.4</v>
      </c>
    </row>
  </sheetData>
  <mergeCells count="117">
    <mergeCell ref="IC2:JI2"/>
    <mergeCell ref="IC3:JI3"/>
    <mergeCell ref="HJ20:HX20"/>
    <mergeCell ref="HJ37:HX37"/>
    <mergeCell ref="HK38:HL38"/>
    <mergeCell ref="HN38:HO38"/>
    <mergeCell ref="HQ38:HR38"/>
    <mergeCell ref="HT38:HU38"/>
    <mergeCell ref="HW38:HX38"/>
    <mergeCell ref="HZ4:IA4"/>
    <mergeCell ref="HJ2:IA2"/>
    <mergeCell ref="HJ3:IA3"/>
    <mergeCell ref="IF5:IL5"/>
    <mergeCell ref="IM5:IY5"/>
    <mergeCell ref="IZ5:JG5"/>
    <mergeCell ref="JH5:JI5"/>
    <mergeCell ref="IF6:IH6"/>
    <mergeCell ref="II6:IJ6"/>
    <mergeCell ref="IK6:IL6"/>
    <mergeCell ref="IM6:IO6"/>
    <mergeCell ref="IP6:IR6"/>
    <mergeCell ref="IS6:IT6"/>
    <mergeCell ref="IU6:IV6"/>
    <mergeCell ref="IX6:IY6"/>
    <mergeCell ref="IE50:IH50"/>
    <mergeCell ref="IJ50:IK50"/>
    <mergeCell ref="IM50:IP50"/>
    <mergeCell ref="IR50:IS50"/>
    <mergeCell ref="IU50:IX50"/>
    <mergeCell ref="IF47:IH47"/>
    <mergeCell ref="II47:IR47"/>
    <mergeCell ref="IS47:IY47"/>
    <mergeCell ref="IJ49:IP49"/>
    <mergeCell ref="IR49:IX49"/>
    <mergeCell ref="IZ6:JB6"/>
    <mergeCell ref="JC6:JD6"/>
    <mergeCell ref="JE6:JG6"/>
    <mergeCell ref="HK21:HL21"/>
    <mergeCell ref="HN21:HO21"/>
    <mergeCell ref="HQ21:HR21"/>
    <mergeCell ref="HT21:HU21"/>
    <mergeCell ref="HW21:HX21"/>
    <mergeCell ref="HN4:HO4"/>
    <mergeCell ref="HQ4:HR4"/>
    <mergeCell ref="HT4:HU4"/>
    <mergeCell ref="HW4:HX4"/>
    <mergeCell ref="HG4:HH4"/>
    <mergeCell ref="GW3:HH3"/>
    <mergeCell ref="GW2:HH2"/>
    <mergeCell ref="HK4:HL4"/>
    <mergeCell ref="GG3:GU3"/>
    <mergeCell ref="GG2:GU2"/>
    <mergeCell ref="GX4:GY4"/>
    <mergeCell ref="HA4:HB4"/>
    <mergeCell ref="HD4:HE4"/>
    <mergeCell ref="GH4:GI4"/>
    <mergeCell ref="GK4:GL4"/>
    <mergeCell ref="GN4:GO4"/>
    <mergeCell ref="GQ4:GR4"/>
    <mergeCell ref="GT4:GU4"/>
    <mergeCell ref="FZ3:GE3"/>
    <mergeCell ref="FZ19:GE20"/>
    <mergeCell ref="DX2:ED2"/>
    <mergeCell ref="ES4:EU4"/>
    <mergeCell ref="EW4:EY4"/>
    <mergeCell ref="ER3:FA3"/>
    <mergeCell ref="ER2:FA2"/>
    <mergeCell ref="FK48:FL48"/>
    <mergeCell ref="FO48:FQ48"/>
    <mergeCell ref="FT4:FU4"/>
    <mergeCell ref="FR4:FS4"/>
    <mergeCell ref="FP4:FQ4"/>
    <mergeCell ref="FN4:FO4"/>
    <mergeCell ref="FL4:FM4"/>
    <mergeCell ref="FJ4:FK4"/>
    <mergeCell ref="FO46:FQ46"/>
    <mergeCell ref="FR46:FS46"/>
    <mergeCell ref="FR48:FS48"/>
    <mergeCell ref="FT48:FU48"/>
    <mergeCell ref="AV2:AV3"/>
    <mergeCell ref="AW2:AW3"/>
    <mergeCell ref="FC24:FI24"/>
    <mergeCell ref="FI48:FJ48"/>
    <mergeCell ref="FH4:FI4"/>
    <mergeCell ref="DY17:EC17"/>
    <mergeCell ref="DY4:ED4"/>
    <mergeCell ref="DY30:ED30"/>
    <mergeCell ref="DY46:ED46"/>
    <mergeCell ref="EH4:EI4"/>
    <mergeCell ref="DX3:ED3"/>
    <mergeCell ref="EM2:EP2"/>
    <mergeCell ref="EM3:EP3"/>
    <mergeCell ref="EF2:EK2"/>
    <mergeCell ref="AC2:AC3"/>
    <mergeCell ref="AD2:AD3"/>
    <mergeCell ref="AE2:AE3"/>
    <mergeCell ref="AF2:AF3"/>
    <mergeCell ref="AG2:AG3"/>
    <mergeCell ref="FY50:GA50"/>
    <mergeCell ref="FM46:FN46"/>
    <mergeCell ref="AH2:AK2"/>
    <mergeCell ref="CB2:CF2"/>
    <mergeCell ref="CG2:CI2"/>
    <mergeCell ref="CM2:CP2"/>
    <mergeCell ref="AX2:AX3"/>
    <mergeCell ref="AY2:BB2"/>
    <mergeCell ref="BF2:BF3"/>
    <mergeCell ref="BG2:BH2"/>
    <mergeCell ref="FF4:FG4"/>
    <mergeCell ref="FD4:FE4"/>
    <mergeCell ref="FM48:FN48"/>
    <mergeCell ref="FE48:FH48"/>
    <mergeCell ref="AT2:AT3"/>
    <mergeCell ref="AU2:AU3"/>
    <mergeCell ref="FC3:FX3"/>
    <mergeCell ref="FC2:FX2"/>
    <mergeCell ref="EF3:EK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7A8CC-7BBE-4450-AF69-F04ECBC677FA}">
  <dimension ref="A1:T18"/>
  <sheetViews>
    <sheetView workbookViewId="0">
      <selection activeCell="K18" sqref="K18"/>
    </sheetView>
  </sheetViews>
  <sheetFormatPr defaultRowHeight="14.4" x14ac:dyDescent="0.3"/>
  <cols>
    <col min="1" max="1" width="3" customWidth="1"/>
    <col min="3" max="3" width="18.33203125" customWidth="1"/>
    <col min="4" max="4" width="10.109375" bestFit="1" customWidth="1"/>
    <col min="6" max="6" width="11.109375" customWidth="1"/>
    <col min="7" max="7" width="10.88671875" customWidth="1"/>
    <col min="8" max="8" width="11.33203125" customWidth="1"/>
  </cols>
  <sheetData>
    <row r="1" spans="1:20" x14ac:dyDescent="0.3">
      <c r="C1" t="s">
        <v>775</v>
      </c>
    </row>
    <row r="3" spans="1:20" ht="97.8" x14ac:dyDescent="0.3">
      <c r="A3" s="385"/>
      <c r="B3" s="385"/>
      <c r="C3" s="385"/>
      <c r="D3" s="385" t="s">
        <v>776</v>
      </c>
      <c r="E3" s="385" t="s">
        <v>777</v>
      </c>
      <c r="F3" s="385" t="s">
        <v>778</v>
      </c>
      <c r="G3" s="385" t="s">
        <v>779</v>
      </c>
      <c r="H3" s="385" t="s">
        <v>780</v>
      </c>
      <c r="I3" s="385" t="s">
        <v>781</v>
      </c>
      <c r="J3" s="385" t="s">
        <v>782</v>
      </c>
      <c r="K3" s="385" t="s">
        <v>783</v>
      </c>
      <c r="L3" s="385"/>
      <c r="M3" s="385" t="s">
        <v>784</v>
      </c>
      <c r="N3" s="385" t="s">
        <v>785</v>
      </c>
      <c r="O3" s="385"/>
      <c r="P3" s="385" t="s">
        <v>786</v>
      </c>
      <c r="Q3" s="385" t="s">
        <v>787</v>
      </c>
      <c r="R3" s="385"/>
      <c r="S3" s="385"/>
    </row>
    <row r="4" spans="1:20" x14ac:dyDescent="0.3">
      <c r="B4" t="s">
        <v>418</v>
      </c>
      <c r="C4" t="s">
        <v>788</v>
      </c>
      <c r="D4" s="386">
        <f>Run!EI17</f>
        <v>4368.5</v>
      </c>
      <c r="E4" s="387">
        <f>1-(D4/(H4*(1-G4)))</f>
        <v>0.52871404857313686</v>
      </c>
      <c r="F4" s="388">
        <f>Run!IA17</f>
        <v>404.3</v>
      </c>
      <c r="G4" s="389">
        <f>Summary!V33</f>
        <v>4.1000000000000002E-2</v>
      </c>
      <c r="H4" s="386">
        <f>Run!HH19</f>
        <v>9665.6093570999292</v>
      </c>
      <c r="I4" s="240">
        <f>Run!IH63/100</f>
        <v>8.8625000000000009E-2</v>
      </c>
    </row>
    <row r="5" spans="1:20" x14ac:dyDescent="0.3">
      <c r="C5" t="s">
        <v>789</v>
      </c>
      <c r="D5" s="74">
        <f>(H5-F5)*(1-E4)</f>
        <v>4368.4999999999991</v>
      </c>
      <c r="E5" s="387"/>
      <c r="F5" s="15">
        <f>H4*G4</f>
        <v>396.28998364109714</v>
      </c>
      <c r="G5" s="390">
        <f>F4/H4</f>
        <v>4.1828713023977025E-2</v>
      </c>
      <c r="H5" s="74">
        <f>K5-J5</f>
        <v>9665.6093570999274</v>
      </c>
      <c r="J5" s="74">
        <f>K5*I4</f>
        <v>939.91455687612802</v>
      </c>
      <c r="K5" s="74">
        <f>H4/(1-I4)</f>
        <v>10605.523913976056</v>
      </c>
      <c r="M5" s="74">
        <f>F5+J5</f>
        <v>1336.2045405172253</v>
      </c>
      <c r="N5" s="390">
        <f>M5/K5</f>
        <v>0.12599137500000002</v>
      </c>
    </row>
    <row r="6" spans="1:20" x14ac:dyDescent="0.3">
      <c r="N6" s="387"/>
    </row>
    <row r="7" spans="1:20" x14ac:dyDescent="0.3">
      <c r="C7" t="s">
        <v>216</v>
      </c>
      <c r="D7" s="386">
        <f>D4*(Summary!W11/Summary!U11)</f>
        <v>29513.013991471151</v>
      </c>
      <c r="E7" s="387">
        <f>$E$4</f>
        <v>0.52871404857313686</v>
      </c>
      <c r="F7" s="74">
        <f>H7*G7</f>
        <v>2677.2832395283444</v>
      </c>
      <c r="G7" s="387">
        <f>$G$4</f>
        <v>4.1000000000000002E-2</v>
      </c>
      <c r="H7" s="74">
        <f>D7/(1-E7)/(1-G7)</f>
        <v>65299.591208008394</v>
      </c>
      <c r="I7" s="387">
        <f>$I$4</f>
        <v>8.8625000000000009E-2</v>
      </c>
      <c r="J7" s="74">
        <f>K7*I7</f>
        <v>6349.939674458642</v>
      </c>
      <c r="K7" s="74">
        <f>H7/(1-I7)</f>
        <v>71649.530882467036</v>
      </c>
      <c r="M7" s="74">
        <f>F7+J7</f>
        <v>9027.2229139869869</v>
      </c>
      <c r="N7" s="390">
        <f>M7/K7</f>
        <v>0.12599137500000002</v>
      </c>
      <c r="P7" s="352">
        <f>Summary!U33</f>
        <v>0.129</v>
      </c>
      <c r="Q7" s="387">
        <f>(P7-I7)/(1-I7)</f>
        <v>4.4301193251954453E-2</v>
      </c>
    </row>
    <row r="8" spans="1:20" x14ac:dyDescent="0.3">
      <c r="C8" t="s">
        <v>790</v>
      </c>
      <c r="D8" s="386">
        <f>D4*(Summary!X11/Summary!U11)</f>
        <v>48864.972992799121</v>
      </c>
      <c r="E8" s="387">
        <f t="shared" ref="E8:E9" si="0">$E$4</f>
        <v>0.52871404857313686</v>
      </c>
      <c r="F8" s="74">
        <f t="shared" ref="F8" si="1">H8*G8</f>
        <v>24531.077232848686</v>
      </c>
      <c r="G8" s="387">
        <f>AVERAGE(G7,G9)</f>
        <v>0.19132704704430117</v>
      </c>
      <c r="H8" s="74">
        <f t="shared" ref="H8" si="2">D8/(1-E8)/(1-G8)</f>
        <v>128215.4175889653</v>
      </c>
      <c r="I8" s="387">
        <f t="shared" ref="I8:I9" si="3">$I$4</f>
        <v>8.8625000000000009E-2</v>
      </c>
      <c r="J8" s="74">
        <f t="shared" ref="J8:J9" si="4">K8*I8</f>
        <v>12468.074485060541</v>
      </c>
      <c r="K8" s="74">
        <f t="shared" ref="K8:K9" si="5">H8/(1-I8)</f>
        <v>140683.49207402582</v>
      </c>
      <c r="M8" s="74">
        <f>F8+J8</f>
        <v>36999.151717909226</v>
      </c>
      <c r="N8" s="390">
        <f>M8/K8</f>
        <v>0.26299568750000002</v>
      </c>
      <c r="P8" s="352">
        <f>(P9+P7)/2</f>
        <v>0.26450000000000001</v>
      </c>
      <c r="Q8" s="387">
        <f>(P8-I8)/(1-I8)</f>
        <v>0.19297764367027842</v>
      </c>
    </row>
    <row r="9" spans="1:20" x14ac:dyDescent="0.3">
      <c r="C9" t="s">
        <v>218</v>
      </c>
      <c r="D9" s="386">
        <f>D4*(Summary!Y11/Summary!U11)</f>
        <v>68216.931994127095</v>
      </c>
      <c r="E9" s="387">
        <f t="shared" si="0"/>
        <v>0.52871404857313686</v>
      </c>
      <c r="F9" s="74">
        <f>H9*G9</f>
        <v>75117.336355143576</v>
      </c>
      <c r="G9" s="391">
        <f>(P9-I9)/(1-I9)</f>
        <v>0.34165409408860237</v>
      </c>
      <c r="H9" s="74">
        <f>D9/(1-E9)/(1-G9)</f>
        <v>219863.70909889677</v>
      </c>
      <c r="I9" s="387">
        <f t="shared" si="3"/>
        <v>8.8625000000000009E-2</v>
      </c>
      <c r="J9" s="74">
        <f t="shared" si="4"/>
        <v>21380.245474025211</v>
      </c>
      <c r="K9" s="74">
        <f t="shared" si="5"/>
        <v>241243.95457292197</v>
      </c>
      <c r="M9" s="74">
        <f>F9+J9</f>
        <v>96497.58182916879</v>
      </c>
      <c r="N9" s="390">
        <f>M9/K9</f>
        <v>0.4</v>
      </c>
      <c r="P9" s="400">
        <v>0.4</v>
      </c>
      <c r="Q9" s="387">
        <f>(P9-I9)/(1-I9)</f>
        <v>0.34165409408860237</v>
      </c>
      <c r="T9" s="401" t="s">
        <v>795</v>
      </c>
    </row>
    <row r="11" spans="1:20" x14ac:dyDescent="0.3">
      <c r="F11" s="74"/>
    </row>
    <row r="12" spans="1:20" ht="97.8" x14ac:dyDescent="0.3">
      <c r="A12" s="392"/>
      <c r="B12" s="392"/>
      <c r="C12" s="392"/>
      <c r="D12" s="392" t="s">
        <v>791</v>
      </c>
      <c r="E12" s="385" t="s">
        <v>783</v>
      </c>
      <c r="F12" s="385" t="s">
        <v>781</v>
      </c>
      <c r="G12" s="385" t="s">
        <v>782</v>
      </c>
      <c r="H12" s="392" t="s">
        <v>792</v>
      </c>
      <c r="I12" s="385" t="s">
        <v>780</v>
      </c>
      <c r="J12" s="385" t="s">
        <v>779</v>
      </c>
      <c r="K12" s="385" t="s">
        <v>778</v>
      </c>
      <c r="L12" s="385" t="s">
        <v>777</v>
      </c>
      <c r="M12" s="385" t="s">
        <v>793</v>
      </c>
      <c r="N12" s="392"/>
      <c r="O12" s="385" t="s">
        <v>784</v>
      </c>
      <c r="P12" s="385" t="s">
        <v>785</v>
      </c>
      <c r="Q12" s="385"/>
      <c r="R12" s="385" t="s">
        <v>786</v>
      </c>
      <c r="S12" s="385" t="s">
        <v>787</v>
      </c>
    </row>
    <row r="13" spans="1:20" x14ac:dyDescent="0.3">
      <c r="B13" t="s">
        <v>6</v>
      </c>
      <c r="C13" t="s">
        <v>788</v>
      </c>
      <c r="D13" s="386">
        <f>Summary!V22</f>
        <v>5241000</v>
      </c>
      <c r="F13">
        <f>I4</f>
        <v>8.8625000000000009E-2</v>
      </c>
      <c r="I13" s="386">
        <f>Run!HG19</f>
        <v>47929.990642900077</v>
      </c>
      <c r="J13" s="393">
        <f>Summary!V41</f>
        <v>0.35399999999999998</v>
      </c>
      <c r="K13" s="394"/>
      <c r="L13" s="393">
        <f>E4</f>
        <v>0.52871404857313686</v>
      </c>
      <c r="M13" s="394"/>
    </row>
    <row r="14" spans="1:20" x14ac:dyDescent="0.3">
      <c r="C14" t="s">
        <v>789</v>
      </c>
      <c r="E14" s="74">
        <f>I13/(1-F13)</f>
        <v>52590.855183541433</v>
      </c>
      <c r="G14" s="74">
        <f>E14*F13</f>
        <v>4660.8645406413598</v>
      </c>
      <c r="H14" s="255">
        <f>I13/(D13+0.0000000001)</f>
        <v>9.1451995120969427E-3</v>
      </c>
      <c r="I14" s="74">
        <f>D13*H14</f>
        <v>47929.990642900077</v>
      </c>
      <c r="K14" s="74">
        <f>I13*J13</f>
        <v>16967.216687586628</v>
      </c>
      <c r="M14" s="74">
        <f>I13*(1-J13)*(1-L13)</f>
        <v>14592.320382344797</v>
      </c>
      <c r="O14" s="74">
        <f>K14+G14</f>
        <v>21628.081228227988</v>
      </c>
      <c r="P14" s="390">
        <f>O14/(E14+0.0000000001)</f>
        <v>0.41125174999999925</v>
      </c>
      <c r="R14" s="391">
        <f>Summary!U41</f>
        <v>0.41299999999999998</v>
      </c>
    </row>
    <row r="15" spans="1:20" x14ac:dyDescent="0.3">
      <c r="P15" s="387"/>
    </row>
    <row r="16" spans="1:20" x14ac:dyDescent="0.3">
      <c r="C16" t="s">
        <v>216</v>
      </c>
      <c r="D16" s="386">
        <f>D13</f>
        <v>5241000</v>
      </c>
      <c r="E16" s="74">
        <f>I16/(1-F16)</f>
        <v>52590.855183541433</v>
      </c>
      <c r="F16">
        <f>F$13</f>
        <v>8.8625000000000009E-2</v>
      </c>
      <c r="G16" s="74">
        <f>E16*F16</f>
        <v>4660.8645406413598</v>
      </c>
      <c r="H16" s="255">
        <f>H$14</f>
        <v>9.1451995120969427E-3</v>
      </c>
      <c r="I16" s="74">
        <f>D16*H16</f>
        <v>47929.990642900077</v>
      </c>
      <c r="J16" s="395">
        <f t="shared" ref="J16:J17" si="6">(R16-F16)/(1-F16)</f>
        <v>0.35591825538334926</v>
      </c>
      <c r="K16" s="74">
        <f>J16*I16</f>
        <v>17059.158650161251</v>
      </c>
      <c r="L16" s="255">
        <f t="shared" ref="L16:L18" si="7">L$13</f>
        <v>0.52871404857313686</v>
      </c>
      <c r="M16" s="74">
        <f>I16*(1-J16)*(1-L16)</f>
        <v>14548.989427036762</v>
      </c>
      <c r="O16" s="74">
        <f t="shared" ref="O16:O18" si="8">K16+G16</f>
        <v>21720.023190802611</v>
      </c>
      <c r="P16" s="390">
        <f t="shared" ref="P16:P18" si="9">O16/(E16+0.0000000001)</f>
        <v>0.4129999999999992</v>
      </c>
      <c r="R16" s="391">
        <f>P7+(R14-P7)</f>
        <v>0.41299999999999998</v>
      </c>
      <c r="S16">
        <f>P7*(R14/P7)</f>
        <v>0.41299999999999998</v>
      </c>
    </row>
    <row r="17" spans="3:19" x14ac:dyDescent="0.3">
      <c r="C17" t="s">
        <v>790</v>
      </c>
      <c r="D17" s="386">
        <f>(D16+D18)/2</f>
        <v>5529000</v>
      </c>
      <c r="E17" s="74">
        <f t="shared" ref="E17:E18" si="10">I17/(1-F17)</f>
        <v>55480.793419156762</v>
      </c>
      <c r="F17">
        <f t="shared" ref="F17:F18" si="11">F$13</f>
        <v>8.8625000000000009E-2</v>
      </c>
      <c r="G17" s="74">
        <f t="shared" ref="G17:G18" si="12">E17*F17</f>
        <v>4916.9853167727688</v>
      </c>
      <c r="H17" s="255">
        <f t="shared" ref="H17:H18" si="13">H$14</f>
        <v>9.1451995120969427E-3</v>
      </c>
      <c r="I17" s="74">
        <f t="shared" ref="I17:I18" si="14">D17*H17</f>
        <v>50563.808102383999</v>
      </c>
      <c r="J17" s="395">
        <f t="shared" si="6"/>
        <v>0.51337265121382525</v>
      </c>
      <c r="K17" s="74">
        <f t="shared" ref="K17:K18" si="15">J17*I17</f>
        <v>25958.076220987972</v>
      </c>
      <c r="L17" s="255">
        <f t="shared" si="7"/>
        <v>0.52871404857313686</v>
      </c>
      <c r="M17" s="74">
        <f t="shared" ref="M17:M18" si="16">I17*(1-J17)*(1-L17)</f>
        <v>11596.335760278025</v>
      </c>
      <c r="O17" s="74">
        <f t="shared" si="8"/>
        <v>30875.061537760739</v>
      </c>
      <c r="P17" s="390">
        <f t="shared" si="9"/>
        <v>0.556499999999999</v>
      </c>
      <c r="R17" s="391">
        <f>(R16+R18)/2</f>
        <v>0.55649999999999999</v>
      </c>
      <c r="S17">
        <f>P8*(R14/P7)</f>
        <v>0.84681007751937987</v>
      </c>
    </row>
    <row r="18" spans="3:19" x14ac:dyDescent="0.3">
      <c r="C18" t="s">
        <v>218</v>
      </c>
      <c r="D18" s="386">
        <f>Summary!X22</f>
        <v>5817000</v>
      </c>
      <c r="E18" s="74">
        <f t="shared" si="10"/>
        <v>58370.731654772084</v>
      </c>
      <c r="F18">
        <f t="shared" si="11"/>
        <v>8.8625000000000009E-2</v>
      </c>
      <c r="G18" s="74">
        <f t="shared" si="12"/>
        <v>5173.1060929041769</v>
      </c>
      <c r="H18" s="255">
        <f t="shared" si="13"/>
        <v>9.1451995120969427E-3</v>
      </c>
      <c r="I18" s="74">
        <f t="shared" si="14"/>
        <v>53197.625561867913</v>
      </c>
      <c r="J18" s="395">
        <f>(R18-F18)/(1-F18)</f>
        <v>0.67082704704430118</v>
      </c>
      <c r="K18" s="74">
        <f t="shared" si="15"/>
        <v>35686.406065436284</v>
      </c>
      <c r="L18" s="255">
        <f t="shared" si="7"/>
        <v>0.52871404857313686</v>
      </c>
      <c r="M18" s="74">
        <f t="shared" si="16"/>
        <v>8252.7917410204136</v>
      </c>
      <c r="O18" s="74">
        <f t="shared" si="8"/>
        <v>40859.512158340462</v>
      </c>
      <c r="P18" s="390">
        <f t="shared" si="9"/>
        <v>0.69999999999999885</v>
      </c>
      <c r="R18" s="391">
        <v>0.7</v>
      </c>
      <c r="S18">
        <f>P9*(R14/P7)</f>
        <v>1.2806201550387597</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4.4"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N91"/>
  <sheetViews>
    <sheetView workbookViewId="0"/>
  </sheetViews>
  <sheetFormatPr defaultRowHeight="14.4" x14ac:dyDescent="0.3"/>
  <cols>
    <col min="1" max="1" width="3.33203125" customWidth="1"/>
    <col min="2" max="3" width="25.44140625" customWidth="1"/>
    <col min="4" max="4" width="28.88671875" customWidth="1"/>
    <col min="5" max="5" width="22.33203125" customWidth="1"/>
    <col min="6" max="6" width="11.6640625" customWidth="1"/>
    <col min="7" max="7" width="19.88671875" customWidth="1"/>
    <col min="8" max="8" width="106.109375" customWidth="1"/>
    <col min="9" max="9" width="32.109375" customWidth="1"/>
    <col min="10" max="10" width="53.88671875" customWidth="1"/>
    <col min="11" max="11" width="56.109375" customWidth="1"/>
    <col min="12" max="12" width="111" customWidth="1"/>
    <col min="13" max="13" width="104.5546875" style="150" customWidth="1"/>
  </cols>
  <sheetData>
    <row r="2" spans="2:14" s="223" customFormat="1" x14ac:dyDescent="0.3">
      <c r="B2" s="223" t="s">
        <v>210</v>
      </c>
      <c r="C2" s="223" t="s">
        <v>211</v>
      </c>
      <c r="D2" s="223" t="s">
        <v>212</v>
      </c>
      <c r="E2" s="223" t="s">
        <v>221</v>
      </c>
      <c r="F2" s="224" t="s">
        <v>223</v>
      </c>
      <c r="G2" s="223" t="s">
        <v>213</v>
      </c>
      <c r="H2" s="223" t="s">
        <v>214</v>
      </c>
      <c r="I2" s="223" t="s">
        <v>219</v>
      </c>
      <c r="J2" s="223" t="s">
        <v>236</v>
      </c>
      <c r="K2" s="223" t="s">
        <v>227</v>
      </c>
      <c r="L2" s="223" t="s">
        <v>228</v>
      </c>
      <c r="M2" s="225" t="s">
        <v>232</v>
      </c>
    </row>
    <row r="3" spans="2:14" ht="28.8" x14ac:dyDescent="0.3">
      <c r="B3" t="s">
        <v>41</v>
      </c>
      <c r="C3" t="s">
        <v>9</v>
      </c>
      <c r="D3" s="54" t="s">
        <v>53</v>
      </c>
      <c r="E3" t="s">
        <v>39</v>
      </c>
      <c r="F3" s="74">
        <f>Summary!U4</f>
        <v>1695.3418016905109</v>
      </c>
      <c r="G3" t="s">
        <v>215</v>
      </c>
      <c r="H3" t="s">
        <v>222</v>
      </c>
      <c r="I3" t="s">
        <v>346</v>
      </c>
      <c r="J3" t="s">
        <v>238</v>
      </c>
      <c r="K3" t="s">
        <v>349</v>
      </c>
      <c r="L3" t="s">
        <v>347</v>
      </c>
      <c r="M3" s="150" t="s">
        <v>352</v>
      </c>
    </row>
    <row r="4" spans="2:14" ht="15.6" x14ac:dyDescent="0.3">
      <c r="B4" t="s">
        <v>41</v>
      </c>
      <c r="C4" t="s">
        <v>9</v>
      </c>
      <c r="D4" s="54" t="s">
        <v>56</v>
      </c>
      <c r="E4" t="s">
        <v>39</v>
      </c>
      <c r="F4" s="74" t="str">
        <f>Summary!U5</f>
        <v>NA</v>
      </c>
      <c r="G4" t="s">
        <v>215</v>
      </c>
      <c r="H4" t="s">
        <v>245</v>
      </c>
      <c r="I4" t="s">
        <v>346</v>
      </c>
      <c r="J4" t="s">
        <v>238</v>
      </c>
      <c r="K4" t="s">
        <v>350</v>
      </c>
      <c r="L4" s="241" t="s">
        <v>348</v>
      </c>
      <c r="M4" s="150" t="s">
        <v>615</v>
      </c>
    </row>
    <row r="5" spans="2:14" ht="28.8" x14ac:dyDescent="0.3">
      <c r="B5" t="s">
        <v>41</v>
      </c>
      <c r="C5" t="s">
        <v>9</v>
      </c>
      <c r="D5" s="54" t="s">
        <v>59</v>
      </c>
      <c r="E5" t="s">
        <v>39</v>
      </c>
      <c r="F5" s="74">
        <f>Summary!U6</f>
        <v>361.13670960527679</v>
      </c>
      <c r="G5" t="s">
        <v>215</v>
      </c>
      <c r="H5" t="s">
        <v>351</v>
      </c>
      <c r="I5" t="s">
        <v>346</v>
      </c>
      <c r="J5" t="s">
        <v>238</v>
      </c>
      <c r="K5" t="s">
        <v>350</v>
      </c>
      <c r="L5" s="241" t="s">
        <v>348</v>
      </c>
      <c r="M5" s="150" t="s">
        <v>616</v>
      </c>
    </row>
    <row r="6" spans="2:14" ht="15.6" x14ac:dyDescent="0.3">
      <c r="B6" t="s">
        <v>41</v>
      </c>
      <c r="C6" t="s">
        <v>9</v>
      </c>
      <c r="D6" s="54" t="s">
        <v>60</v>
      </c>
      <c r="E6" t="s">
        <v>39</v>
      </c>
      <c r="F6" s="74">
        <f>Summary!U7</f>
        <v>536.08816508255256</v>
      </c>
      <c r="G6" t="s">
        <v>215</v>
      </c>
      <c r="H6" t="s">
        <v>351</v>
      </c>
      <c r="I6" t="s">
        <v>346</v>
      </c>
      <c r="J6" t="s">
        <v>238</v>
      </c>
      <c r="K6" t="s">
        <v>350</v>
      </c>
      <c r="L6" s="241" t="s">
        <v>348</v>
      </c>
      <c r="M6" s="150" t="s">
        <v>615</v>
      </c>
    </row>
    <row r="7" spans="2:14" ht="15.6" x14ac:dyDescent="0.3">
      <c r="B7" t="s">
        <v>41</v>
      </c>
      <c r="C7" t="s">
        <v>9</v>
      </c>
      <c r="D7" s="54" t="s">
        <v>61</v>
      </c>
      <c r="E7" t="s">
        <v>39</v>
      </c>
      <c r="F7" s="74">
        <f>Summary!U8</f>
        <v>0</v>
      </c>
      <c r="G7" t="s">
        <v>215</v>
      </c>
      <c r="H7" t="s">
        <v>351</v>
      </c>
      <c r="I7" t="s">
        <v>346</v>
      </c>
      <c r="J7" t="s">
        <v>238</v>
      </c>
      <c r="K7" t="s">
        <v>350</v>
      </c>
      <c r="L7" s="241" t="s">
        <v>348</v>
      </c>
      <c r="M7" s="150" t="s">
        <v>615</v>
      </c>
    </row>
    <row r="8" spans="2:14" ht="28.8" x14ac:dyDescent="0.3">
      <c r="B8" t="s">
        <v>41</v>
      </c>
      <c r="C8" t="s">
        <v>9</v>
      </c>
      <c r="D8" s="54" t="s">
        <v>62</v>
      </c>
      <c r="E8" t="s">
        <v>39</v>
      </c>
      <c r="F8" s="74">
        <f>Summary!U9</f>
        <v>1548.7152024255211</v>
      </c>
      <c r="G8" t="s">
        <v>215</v>
      </c>
      <c r="H8" t="s">
        <v>351</v>
      </c>
      <c r="I8" t="s">
        <v>346</v>
      </c>
      <c r="J8" t="s">
        <v>238</v>
      </c>
      <c r="K8" t="s">
        <v>350</v>
      </c>
      <c r="L8" s="241" t="s">
        <v>348</v>
      </c>
      <c r="M8" s="150" t="s">
        <v>617</v>
      </c>
    </row>
    <row r="9" spans="2:14" ht="30" customHeight="1" x14ac:dyDescent="0.3">
      <c r="B9" t="s">
        <v>41</v>
      </c>
      <c r="C9" t="s">
        <v>9</v>
      </c>
      <c r="D9" s="54" t="s">
        <v>202</v>
      </c>
      <c r="E9" t="s">
        <v>39</v>
      </c>
      <c r="F9" s="74">
        <f>Summary!U10</f>
        <v>136.48012938968895</v>
      </c>
      <c r="G9" t="s">
        <v>215</v>
      </c>
      <c r="H9" t="s">
        <v>351</v>
      </c>
      <c r="I9" t="s">
        <v>346</v>
      </c>
      <c r="J9" t="s">
        <v>238</v>
      </c>
      <c r="K9" t="s">
        <v>350</v>
      </c>
      <c r="L9" s="241" t="s">
        <v>348</v>
      </c>
      <c r="M9" s="150" t="s">
        <v>618</v>
      </c>
    </row>
    <row r="10" spans="2:14" ht="30" customHeight="1" x14ac:dyDescent="0.3">
      <c r="B10" t="s">
        <v>41</v>
      </c>
      <c r="C10" t="s">
        <v>9</v>
      </c>
      <c r="D10" s="54" t="s">
        <v>53</v>
      </c>
      <c r="E10" t="s">
        <v>17</v>
      </c>
      <c r="F10" s="74">
        <f>Summary!V4</f>
        <v>27670</v>
      </c>
      <c r="G10" t="s">
        <v>220</v>
      </c>
      <c r="H10" t="s">
        <v>320</v>
      </c>
      <c r="I10" t="s">
        <v>324</v>
      </c>
      <c r="J10" t="s">
        <v>238</v>
      </c>
      <c r="K10" t="s">
        <v>235</v>
      </c>
      <c r="L10" t="s">
        <v>321</v>
      </c>
      <c r="M10" s="150" t="s">
        <v>322</v>
      </c>
    </row>
    <row r="11" spans="2:14" ht="30" customHeight="1" x14ac:dyDescent="0.3">
      <c r="B11" t="s">
        <v>41</v>
      </c>
      <c r="C11" t="s">
        <v>9</v>
      </c>
      <c r="D11" s="54" t="s">
        <v>56</v>
      </c>
      <c r="E11" t="s">
        <v>17</v>
      </c>
      <c r="F11" s="74">
        <f>Summary!V5</f>
        <v>13750</v>
      </c>
      <c r="G11" t="s">
        <v>220</v>
      </c>
      <c r="H11" t="s">
        <v>320</v>
      </c>
      <c r="I11" t="s">
        <v>324</v>
      </c>
      <c r="J11" t="s">
        <v>238</v>
      </c>
      <c r="K11" t="s">
        <v>235</v>
      </c>
      <c r="L11" t="s">
        <v>321</v>
      </c>
      <c r="M11" s="150" t="s">
        <v>322</v>
      </c>
    </row>
    <row r="12" spans="2:14" ht="30" customHeight="1" x14ac:dyDescent="0.3">
      <c r="B12" t="s">
        <v>41</v>
      </c>
      <c r="C12" t="s">
        <v>9</v>
      </c>
      <c r="D12" s="54" t="s">
        <v>59</v>
      </c>
      <c r="E12" t="s">
        <v>17</v>
      </c>
      <c r="F12" s="74">
        <f>Summary!V6</f>
        <v>56100</v>
      </c>
      <c r="G12" t="s">
        <v>220</v>
      </c>
      <c r="H12" t="s">
        <v>320</v>
      </c>
      <c r="I12" t="s">
        <v>324</v>
      </c>
      <c r="J12" t="s">
        <v>238</v>
      </c>
      <c r="K12" t="s">
        <v>235</v>
      </c>
      <c r="L12" t="s">
        <v>321</v>
      </c>
      <c r="M12" s="150" t="s">
        <v>322</v>
      </c>
      <c r="N12" s="222"/>
    </row>
    <row r="13" spans="2:14" ht="30" customHeight="1" x14ac:dyDescent="0.3">
      <c r="B13" t="s">
        <v>41</v>
      </c>
      <c r="C13" t="s">
        <v>9</v>
      </c>
      <c r="D13" s="54" t="s">
        <v>60</v>
      </c>
      <c r="E13" t="s">
        <v>17</v>
      </c>
      <c r="F13" s="74">
        <f>Summary!V7</f>
        <v>37400</v>
      </c>
      <c r="G13" t="s">
        <v>220</v>
      </c>
      <c r="H13" t="s">
        <v>320</v>
      </c>
      <c r="I13" t="s">
        <v>324</v>
      </c>
      <c r="J13" t="s">
        <v>238</v>
      </c>
      <c r="K13" t="s">
        <v>235</v>
      </c>
      <c r="L13" t="s">
        <v>321</v>
      </c>
      <c r="M13" s="150" t="s">
        <v>322</v>
      </c>
    </row>
    <row r="14" spans="2:14" ht="30" customHeight="1" x14ac:dyDescent="0.3">
      <c r="B14" t="s">
        <v>41</v>
      </c>
      <c r="C14" t="s">
        <v>9</v>
      </c>
      <c r="D14" s="54" t="s">
        <v>61</v>
      </c>
      <c r="E14" t="s">
        <v>17</v>
      </c>
      <c r="F14" s="74">
        <f>Summary!V8</f>
        <v>9500</v>
      </c>
      <c r="G14" t="s">
        <v>220</v>
      </c>
      <c r="H14" t="s">
        <v>320</v>
      </c>
      <c r="I14" t="s">
        <v>324</v>
      </c>
      <c r="J14" t="s">
        <v>238</v>
      </c>
      <c r="K14" t="s">
        <v>235</v>
      </c>
      <c r="L14" t="s">
        <v>321</v>
      </c>
      <c r="M14" s="150" t="s">
        <v>322</v>
      </c>
    </row>
    <row r="15" spans="2:14" ht="30" customHeight="1" x14ac:dyDescent="0.3">
      <c r="B15" t="s">
        <v>41</v>
      </c>
      <c r="C15" t="s">
        <v>9</v>
      </c>
      <c r="D15" s="54" t="s">
        <v>62</v>
      </c>
      <c r="E15" t="s">
        <v>17</v>
      </c>
      <c r="F15" s="74">
        <f>Summary!V9</f>
        <v>110000</v>
      </c>
      <c r="G15" t="s">
        <v>220</v>
      </c>
      <c r="H15" t="s">
        <v>320</v>
      </c>
      <c r="I15" t="s">
        <v>324</v>
      </c>
      <c r="J15" t="s">
        <v>238</v>
      </c>
      <c r="K15" t="s">
        <v>235</v>
      </c>
      <c r="L15" t="s">
        <v>321</v>
      </c>
      <c r="M15" s="150" t="s">
        <v>322</v>
      </c>
    </row>
    <row r="16" spans="2:14" ht="30" customHeight="1" x14ac:dyDescent="0.3">
      <c r="B16" t="s">
        <v>41</v>
      </c>
      <c r="C16" t="s">
        <v>9</v>
      </c>
      <c r="D16" s="54" t="s">
        <v>202</v>
      </c>
      <c r="E16" t="s">
        <v>17</v>
      </c>
      <c r="F16" s="74">
        <f>Summary!V10</f>
        <v>57750</v>
      </c>
      <c r="G16" t="s">
        <v>220</v>
      </c>
      <c r="H16" t="s">
        <v>320</v>
      </c>
      <c r="I16" t="s">
        <v>324</v>
      </c>
      <c r="J16" t="s">
        <v>238</v>
      </c>
      <c r="K16" t="s">
        <v>235</v>
      </c>
      <c r="L16" t="s">
        <v>321</v>
      </c>
      <c r="M16" s="150" t="s">
        <v>322</v>
      </c>
    </row>
    <row r="17" spans="2:12" x14ac:dyDescent="0.3">
      <c r="B17" t="s">
        <v>41</v>
      </c>
      <c r="C17" t="s">
        <v>9</v>
      </c>
      <c r="D17" s="54" t="s">
        <v>53</v>
      </c>
      <c r="E17" t="s">
        <v>216</v>
      </c>
      <c r="F17" s="74">
        <f>Summary!W4</f>
        <v>2310</v>
      </c>
      <c r="G17" t="s">
        <v>220</v>
      </c>
      <c r="H17" t="s">
        <v>696</v>
      </c>
      <c r="I17" t="s">
        <v>324</v>
      </c>
      <c r="J17" t="s">
        <v>613</v>
      </c>
      <c r="K17" t="s">
        <v>606</v>
      </c>
      <c r="L17" t="s">
        <v>321</v>
      </c>
    </row>
    <row r="18" spans="2:12" x14ac:dyDescent="0.3">
      <c r="B18" t="s">
        <v>41</v>
      </c>
      <c r="C18" t="s">
        <v>9</v>
      </c>
      <c r="D18" s="54" t="s">
        <v>56</v>
      </c>
      <c r="E18" t="s">
        <v>216</v>
      </c>
      <c r="F18" s="74">
        <f>Summary!W5</f>
        <v>700</v>
      </c>
      <c r="G18" t="s">
        <v>220</v>
      </c>
      <c r="H18" t="s">
        <v>696</v>
      </c>
      <c r="I18" t="s">
        <v>324</v>
      </c>
      <c r="J18" t="s">
        <v>613</v>
      </c>
      <c r="K18" t="s">
        <v>607</v>
      </c>
      <c r="L18" t="s">
        <v>321</v>
      </c>
    </row>
    <row r="19" spans="2:12" x14ac:dyDescent="0.3">
      <c r="B19" t="s">
        <v>41</v>
      </c>
      <c r="C19" t="s">
        <v>9</v>
      </c>
      <c r="D19" s="54" t="s">
        <v>59</v>
      </c>
      <c r="E19" t="s">
        <v>216</v>
      </c>
      <c r="F19" s="74">
        <f>Summary!W6</f>
        <v>5430</v>
      </c>
      <c r="G19" t="s">
        <v>220</v>
      </c>
      <c r="H19" t="s">
        <v>696</v>
      </c>
      <c r="I19" t="s">
        <v>324</v>
      </c>
      <c r="J19" t="s">
        <v>613</v>
      </c>
      <c r="K19" t="s">
        <v>241</v>
      </c>
      <c r="L19" t="s">
        <v>321</v>
      </c>
    </row>
    <row r="20" spans="2:12" x14ac:dyDescent="0.3">
      <c r="B20" t="s">
        <v>41</v>
      </c>
      <c r="C20" t="s">
        <v>9</v>
      </c>
      <c r="D20" s="54" t="s">
        <v>60</v>
      </c>
      <c r="E20" t="s">
        <v>216</v>
      </c>
      <c r="F20" s="74">
        <f>Summary!W7</f>
        <v>3120</v>
      </c>
      <c r="G20" t="s">
        <v>220</v>
      </c>
      <c r="H20" t="s">
        <v>696</v>
      </c>
      <c r="I20" t="s">
        <v>324</v>
      </c>
      <c r="J20" t="s">
        <v>613</v>
      </c>
      <c r="K20" t="s">
        <v>242</v>
      </c>
      <c r="L20" t="s">
        <v>321</v>
      </c>
    </row>
    <row r="21" spans="2:12" x14ac:dyDescent="0.3">
      <c r="B21" t="s">
        <v>41</v>
      </c>
      <c r="C21" t="s">
        <v>9</v>
      </c>
      <c r="D21" s="54" t="s">
        <v>61</v>
      </c>
      <c r="E21" t="s">
        <v>216</v>
      </c>
      <c r="F21" s="74">
        <f>Summary!W8</f>
        <v>600</v>
      </c>
      <c r="G21" t="s">
        <v>220</v>
      </c>
      <c r="H21" t="s">
        <v>696</v>
      </c>
      <c r="I21" t="s">
        <v>324</v>
      </c>
      <c r="J21" t="s">
        <v>613</v>
      </c>
      <c r="K21" t="s">
        <v>608</v>
      </c>
      <c r="L21" t="s">
        <v>321</v>
      </c>
    </row>
    <row r="22" spans="2:12" x14ac:dyDescent="0.3">
      <c r="B22" t="s">
        <v>41</v>
      </c>
      <c r="C22" t="s">
        <v>9</v>
      </c>
      <c r="D22" s="54" t="s">
        <v>62</v>
      </c>
      <c r="E22" t="s">
        <v>216</v>
      </c>
      <c r="F22" s="74">
        <f>Summary!W9</f>
        <v>10920</v>
      </c>
      <c r="G22" t="s">
        <v>220</v>
      </c>
      <c r="H22" t="s">
        <v>696</v>
      </c>
      <c r="I22" t="s">
        <v>324</v>
      </c>
      <c r="J22" t="s">
        <v>613</v>
      </c>
      <c r="K22" t="s">
        <v>609</v>
      </c>
      <c r="L22" t="s">
        <v>321</v>
      </c>
    </row>
    <row r="23" spans="2:12" x14ac:dyDescent="0.3">
      <c r="B23" t="s">
        <v>41</v>
      </c>
      <c r="C23" t="s">
        <v>9</v>
      </c>
      <c r="D23" s="54" t="s">
        <v>202</v>
      </c>
      <c r="E23" t="s">
        <v>216</v>
      </c>
      <c r="F23" s="74">
        <f>Summary!W10</f>
        <v>5820</v>
      </c>
      <c r="G23" t="s">
        <v>220</v>
      </c>
      <c r="H23" t="s">
        <v>696</v>
      </c>
      <c r="I23" t="s">
        <v>324</v>
      </c>
      <c r="J23" t="s">
        <v>613</v>
      </c>
      <c r="K23" t="s">
        <v>243</v>
      </c>
      <c r="L23" t="s">
        <v>321</v>
      </c>
    </row>
    <row r="24" spans="2:12" x14ac:dyDescent="0.3">
      <c r="B24" t="s">
        <v>41</v>
      </c>
      <c r="C24" t="s">
        <v>9</v>
      </c>
      <c r="D24" s="54" t="s">
        <v>53</v>
      </c>
      <c r="E24" t="s">
        <v>217</v>
      </c>
      <c r="F24" s="74">
        <f>Summary!X4</f>
        <v>3965</v>
      </c>
      <c r="G24" t="s">
        <v>220</v>
      </c>
      <c r="H24" t="s">
        <v>323</v>
      </c>
      <c r="I24" t="s">
        <v>324</v>
      </c>
      <c r="J24" t="s">
        <v>244</v>
      </c>
      <c r="K24" t="s">
        <v>245</v>
      </c>
      <c r="L24" t="s">
        <v>245</v>
      </c>
    </row>
    <row r="25" spans="2:12" x14ac:dyDescent="0.3">
      <c r="B25" t="s">
        <v>41</v>
      </c>
      <c r="C25" t="s">
        <v>9</v>
      </c>
      <c r="D25" s="54" t="s">
        <v>56</v>
      </c>
      <c r="E25" t="s">
        <v>217</v>
      </c>
      <c r="F25" s="74">
        <f>Summary!X5</f>
        <v>1665</v>
      </c>
      <c r="G25" t="s">
        <v>220</v>
      </c>
      <c r="H25" t="s">
        <v>323</v>
      </c>
      <c r="I25" t="s">
        <v>324</v>
      </c>
      <c r="J25" t="s">
        <v>244</v>
      </c>
      <c r="K25" t="s">
        <v>245</v>
      </c>
      <c r="L25" t="s">
        <v>245</v>
      </c>
    </row>
    <row r="26" spans="2:12" x14ac:dyDescent="0.3">
      <c r="B26" t="s">
        <v>41</v>
      </c>
      <c r="C26" t="s">
        <v>9</v>
      </c>
      <c r="D26" s="54" t="s">
        <v>59</v>
      </c>
      <c r="E26" t="s">
        <v>217</v>
      </c>
      <c r="F26" s="74">
        <f>Summary!X6</f>
        <v>10865</v>
      </c>
      <c r="G26" t="s">
        <v>220</v>
      </c>
      <c r="H26" t="s">
        <v>323</v>
      </c>
      <c r="I26" t="s">
        <v>324</v>
      </c>
      <c r="J26" t="s">
        <v>244</v>
      </c>
      <c r="K26" t="s">
        <v>245</v>
      </c>
      <c r="L26" t="s">
        <v>245</v>
      </c>
    </row>
    <row r="27" spans="2:12" x14ac:dyDescent="0.3">
      <c r="B27" t="s">
        <v>41</v>
      </c>
      <c r="C27" t="s">
        <v>9</v>
      </c>
      <c r="D27" s="54" t="s">
        <v>60</v>
      </c>
      <c r="E27" t="s">
        <v>217</v>
      </c>
      <c r="F27" s="74">
        <f>Summary!X7</f>
        <v>6240</v>
      </c>
      <c r="G27" t="s">
        <v>220</v>
      </c>
      <c r="H27" t="s">
        <v>323</v>
      </c>
      <c r="I27" t="s">
        <v>324</v>
      </c>
      <c r="J27" t="s">
        <v>244</v>
      </c>
      <c r="K27" t="s">
        <v>245</v>
      </c>
      <c r="L27" t="s">
        <v>245</v>
      </c>
    </row>
    <row r="28" spans="2:12" x14ac:dyDescent="0.3">
      <c r="B28" t="s">
        <v>41</v>
      </c>
      <c r="C28" t="s">
        <v>9</v>
      </c>
      <c r="D28" s="54" t="s">
        <v>61</v>
      </c>
      <c r="E28" t="s">
        <v>217</v>
      </c>
      <c r="F28" s="74">
        <f>Summary!X8</f>
        <v>1210</v>
      </c>
      <c r="G28" t="s">
        <v>220</v>
      </c>
      <c r="H28" t="s">
        <v>323</v>
      </c>
      <c r="I28" t="s">
        <v>324</v>
      </c>
      <c r="J28" t="s">
        <v>244</v>
      </c>
      <c r="K28" t="s">
        <v>245</v>
      </c>
      <c r="L28" t="s">
        <v>245</v>
      </c>
    </row>
    <row r="29" spans="2:12" x14ac:dyDescent="0.3">
      <c r="B29" t="s">
        <v>41</v>
      </c>
      <c r="C29" t="s">
        <v>9</v>
      </c>
      <c r="D29" s="54" t="s">
        <v>62</v>
      </c>
      <c r="E29" t="s">
        <v>217</v>
      </c>
      <c r="F29" s="74">
        <f>Summary!X9</f>
        <v>12265</v>
      </c>
      <c r="G29" t="s">
        <v>220</v>
      </c>
      <c r="H29" t="s">
        <v>323</v>
      </c>
      <c r="I29" t="s">
        <v>324</v>
      </c>
      <c r="J29" t="s">
        <v>244</v>
      </c>
      <c r="K29" t="s">
        <v>245</v>
      </c>
      <c r="L29" t="s">
        <v>245</v>
      </c>
    </row>
    <row r="30" spans="2:12" x14ac:dyDescent="0.3">
      <c r="B30" t="s">
        <v>41</v>
      </c>
      <c r="C30" t="s">
        <v>9</v>
      </c>
      <c r="D30" s="54" t="s">
        <v>202</v>
      </c>
      <c r="E30" t="s">
        <v>217</v>
      </c>
      <c r="F30" s="74">
        <f>Summary!X10</f>
        <v>11640</v>
      </c>
      <c r="G30" t="s">
        <v>220</v>
      </c>
      <c r="H30" t="s">
        <v>323</v>
      </c>
      <c r="I30" t="s">
        <v>324</v>
      </c>
      <c r="J30" t="s">
        <v>244</v>
      </c>
      <c r="K30" t="s">
        <v>245</v>
      </c>
      <c r="L30" t="s">
        <v>245</v>
      </c>
    </row>
    <row r="31" spans="2:12" x14ac:dyDescent="0.3">
      <c r="B31" t="s">
        <v>41</v>
      </c>
      <c r="C31" t="s">
        <v>9</v>
      </c>
      <c r="D31" s="54" t="s">
        <v>53</v>
      </c>
      <c r="E31" t="s">
        <v>218</v>
      </c>
      <c r="F31" s="74">
        <f>Summary!Y4</f>
        <v>5620</v>
      </c>
      <c r="G31" t="s">
        <v>220</v>
      </c>
      <c r="H31" t="s">
        <v>696</v>
      </c>
      <c r="I31" t="s">
        <v>324</v>
      </c>
      <c r="J31" t="s">
        <v>237</v>
      </c>
      <c r="K31" t="s">
        <v>239</v>
      </c>
      <c r="L31" t="s">
        <v>321</v>
      </c>
    </row>
    <row r="32" spans="2:12" x14ac:dyDescent="0.3">
      <c r="B32" t="s">
        <v>41</v>
      </c>
      <c r="C32" t="s">
        <v>9</v>
      </c>
      <c r="D32" s="54" t="s">
        <v>56</v>
      </c>
      <c r="E32" t="s">
        <v>218</v>
      </c>
      <c r="F32" s="74">
        <f>Summary!Y5</f>
        <v>2630</v>
      </c>
      <c r="G32" t="s">
        <v>220</v>
      </c>
      <c r="H32" t="s">
        <v>696</v>
      </c>
      <c r="I32" t="s">
        <v>324</v>
      </c>
      <c r="J32" t="s">
        <v>237</v>
      </c>
      <c r="K32" t="s">
        <v>239</v>
      </c>
      <c r="L32" t="s">
        <v>321</v>
      </c>
    </row>
    <row r="33" spans="2:13" x14ac:dyDescent="0.3">
      <c r="B33" t="s">
        <v>41</v>
      </c>
      <c r="C33" t="s">
        <v>9</v>
      </c>
      <c r="D33" s="54" t="s">
        <v>59</v>
      </c>
      <c r="E33" t="s">
        <v>218</v>
      </c>
      <c r="F33" s="74">
        <f>Summary!Y6</f>
        <v>16300</v>
      </c>
      <c r="G33" t="s">
        <v>220</v>
      </c>
      <c r="H33" t="s">
        <v>612</v>
      </c>
      <c r="I33" t="s">
        <v>324</v>
      </c>
      <c r="J33" t="s">
        <v>240</v>
      </c>
      <c r="K33" t="s">
        <v>245</v>
      </c>
      <c r="L33" t="s">
        <v>245</v>
      </c>
    </row>
    <row r="34" spans="2:13" x14ac:dyDescent="0.3">
      <c r="B34" t="s">
        <v>41</v>
      </c>
      <c r="C34" t="s">
        <v>9</v>
      </c>
      <c r="D34" s="54" t="s">
        <v>60</v>
      </c>
      <c r="E34" t="s">
        <v>218</v>
      </c>
      <c r="F34" s="74">
        <f>Summary!Y7</f>
        <v>9360</v>
      </c>
      <c r="G34" t="s">
        <v>220</v>
      </c>
      <c r="H34" t="s">
        <v>612</v>
      </c>
      <c r="I34" t="s">
        <v>324</v>
      </c>
      <c r="J34" t="s">
        <v>240</v>
      </c>
      <c r="K34" t="s">
        <v>245</v>
      </c>
      <c r="L34" t="s">
        <v>245</v>
      </c>
    </row>
    <row r="35" spans="2:13" x14ac:dyDescent="0.3">
      <c r="B35" t="s">
        <v>41</v>
      </c>
      <c r="C35" t="s">
        <v>9</v>
      </c>
      <c r="D35" s="54" t="s">
        <v>61</v>
      </c>
      <c r="E35" t="s">
        <v>218</v>
      </c>
      <c r="F35" s="74">
        <f>Summary!Y8</f>
        <v>1820</v>
      </c>
      <c r="G35" t="s">
        <v>220</v>
      </c>
      <c r="H35" t="s">
        <v>696</v>
      </c>
      <c r="I35" t="s">
        <v>324</v>
      </c>
      <c r="J35" t="s">
        <v>698</v>
      </c>
      <c r="K35" t="s">
        <v>239</v>
      </c>
      <c r="L35" t="s">
        <v>321</v>
      </c>
    </row>
    <row r="36" spans="2:13" x14ac:dyDescent="0.3">
      <c r="B36" t="s">
        <v>41</v>
      </c>
      <c r="C36" t="s">
        <v>9</v>
      </c>
      <c r="D36" s="54" t="s">
        <v>62</v>
      </c>
      <c r="E36" t="s">
        <v>218</v>
      </c>
      <c r="F36" s="74">
        <f>Summary!Y9</f>
        <v>13610</v>
      </c>
      <c r="G36" t="s">
        <v>220</v>
      </c>
      <c r="H36" t="s">
        <v>696</v>
      </c>
      <c r="I36" t="s">
        <v>324</v>
      </c>
      <c r="J36" t="s">
        <v>698</v>
      </c>
      <c r="K36" t="s">
        <v>239</v>
      </c>
      <c r="L36" t="s">
        <v>321</v>
      </c>
    </row>
    <row r="37" spans="2:13" x14ac:dyDescent="0.3">
      <c r="B37" t="s">
        <v>41</v>
      </c>
      <c r="C37" t="s">
        <v>9</v>
      </c>
      <c r="D37" s="54" t="s">
        <v>202</v>
      </c>
      <c r="E37" t="s">
        <v>218</v>
      </c>
      <c r="F37" s="74">
        <f>Summary!Y10</f>
        <v>17460</v>
      </c>
      <c r="G37" t="s">
        <v>220</v>
      </c>
      <c r="H37" t="s">
        <v>612</v>
      </c>
      <c r="I37" t="s">
        <v>324</v>
      </c>
      <c r="J37" t="s">
        <v>240</v>
      </c>
      <c r="K37" t="s">
        <v>245</v>
      </c>
      <c r="L37" t="s">
        <v>245</v>
      </c>
    </row>
    <row r="38" spans="2:13" x14ac:dyDescent="0.3">
      <c r="B38" t="s">
        <v>41</v>
      </c>
      <c r="C38" t="s">
        <v>6</v>
      </c>
      <c r="D38" t="s">
        <v>204</v>
      </c>
      <c r="E38" t="s">
        <v>224</v>
      </c>
      <c r="F38" s="74">
        <f>Summary!V15</f>
        <v>873000</v>
      </c>
      <c r="G38" t="s">
        <v>225</v>
      </c>
      <c r="H38" t="s">
        <v>325</v>
      </c>
      <c r="I38" t="s">
        <v>637</v>
      </c>
      <c r="J38" t="s">
        <v>318</v>
      </c>
      <c r="K38" t="s">
        <v>639</v>
      </c>
      <c r="L38" t="s">
        <v>640</v>
      </c>
      <c r="M38" s="150" t="s">
        <v>641</v>
      </c>
    </row>
    <row r="39" spans="2:13" ht="15.6" x14ac:dyDescent="0.3">
      <c r="B39" t="s">
        <v>41</v>
      </c>
      <c r="C39" t="s">
        <v>6</v>
      </c>
      <c r="D39" t="s">
        <v>207</v>
      </c>
      <c r="E39" t="s">
        <v>224</v>
      </c>
      <c r="F39" s="74">
        <f>Summary!V16</f>
        <v>704000</v>
      </c>
      <c r="G39" t="s">
        <v>225</v>
      </c>
      <c r="H39" t="s">
        <v>325</v>
      </c>
      <c r="I39" t="s">
        <v>306</v>
      </c>
      <c r="J39" t="s">
        <v>318</v>
      </c>
      <c r="K39" t="s">
        <v>619</v>
      </c>
      <c r="L39" s="241" t="s">
        <v>614</v>
      </c>
    </row>
    <row r="40" spans="2:13" ht="15.6" x14ac:dyDescent="0.3">
      <c r="B40" t="s">
        <v>41</v>
      </c>
      <c r="C40" t="s">
        <v>6</v>
      </c>
      <c r="D40" t="s">
        <v>208</v>
      </c>
      <c r="E40" t="s">
        <v>224</v>
      </c>
      <c r="F40" s="74">
        <f>Summary!V17</f>
        <v>1021000</v>
      </c>
      <c r="G40" t="s">
        <v>225</v>
      </c>
      <c r="H40" t="s">
        <v>325</v>
      </c>
      <c r="I40" t="s">
        <v>306</v>
      </c>
      <c r="J40" t="s">
        <v>318</v>
      </c>
      <c r="K40" t="s">
        <v>621</v>
      </c>
      <c r="L40" s="241" t="s">
        <v>614</v>
      </c>
    </row>
    <row r="41" spans="2:13" ht="15.6" x14ac:dyDescent="0.3">
      <c r="B41" t="s">
        <v>41</v>
      </c>
      <c r="C41" t="s">
        <v>6</v>
      </c>
      <c r="D41" t="s">
        <v>206</v>
      </c>
      <c r="E41" t="s">
        <v>224</v>
      </c>
      <c r="F41" s="74">
        <f>Summary!V18</f>
        <v>1672000</v>
      </c>
      <c r="G41" t="s">
        <v>225</v>
      </c>
      <c r="H41" t="s">
        <v>325</v>
      </c>
      <c r="I41" t="s">
        <v>306</v>
      </c>
      <c r="J41" t="s">
        <v>318</v>
      </c>
      <c r="K41" t="s">
        <v>622</v>
      </c>
      <c r="L41" s="241" t="s">
        <v>614</v>
      </c>
    </row>
    <row r="42" spans="2:13" ht="15.6" x14ac:dyDescent="0.3">
      <c r="B42" t="s">
        <v>41</v>
      </c>
      <c r="C42" t="s">
        <v>6</v>
      </c>
      <c r="D42" t="s">
        <v>205</v>
      </c>
      <c r="E42" t="s">
        <v>224</v>
      </c>
      <c r="F42" s="74">
        <f>Summary!V19</f>
        <v>604750</v>
      </c>
      <c r="G42" t="s">
        <v>225</v>
      </c>
      <c r="H42" t="s">
        <v>325</v>
      </c>
      <c r="I42" t="s">
        <v>307</v>
      </c>
      <c r="J42" t="s">
        <v>318</v>
      </c>
      <c r="K42" t="s">
        <v>626</v>
      </c>
      <c r="L42" s="241" t="s">
        <v>614</v>
      </c>
    </row>
    <row r="43" spans="2:13" ht="15.6" x14ac:dyDescent="0.3">
      <c r="B43" t="s">
        <v>41</v>
      </c>
      <c r="C43" t="s">
        <v>6</v>
      </c>
      <c r="D43" t="s">
        <v>624</v>
      </c>
      <c r="E43" t="s">
        <v>224</v>
      </c>
      <c r="F43" s="74">
        <f>Summary!V20</f>
        <v>267000</v>
      </c>
      <c r="G43" t="s">
        <v>225</v>
      </c>
      <c r="H43" t="s">
        <v>325</v>
      </c>
      <c r="I43" t="s">
        <v>307</v>
      </c>
      <c r="J43" t="s">
        <v>318</v>
      </c>
      <c r="K43" t="s">
        <v>629</v>
      </c>
      <c r="L43" s="241" t="s">
        <v>614</v>
      </c>
      <c r="M43" s="150" t="s">
        <v>630</v>
      </c>
    </row>
    <row r="44" spans="2:13" x14ac:dyDescent="0.3">
      <c r="B44" t="s">
        <v>41</v>
      </c>
      <c r="C44" t="s">
        <v>6</v>
      </c>
      <c r="D44" t="s">
        <v>56</v>
      </c>
      <c r="E44" t="s">
        <v>224</v>
      </c>
      <c r="F44" s="74">
        <f>Summary!V21</f>
        <v>99700</v>
      </c>
      <c r="G44" t="s">
        <v>225</v>
      </c>
      <c r="H44" t="s">
        <v>325</v>
      </c>
      <c r="I44" t="s">
        <v>306</v>
      </c>
      <c r="J44" t="s">
        <v>318</v>
      </c>
      <c r="K44" t="s">
        <v>639</v>
      </c>
      <c r="L44" t="s">
        <v>640</v>
      </c>
      <c r="M44" s="150" t="s">
        <v>643</v>
      </c>
    </row>
    <row r="45" spans="2:13" x14ac:dyDescent="0.3">
      <c r="B45" t="s">
        <v>41</v>
      </c>
      <c r="C45" t="s">
        <v>6</v>
      </c>
      <c r="D45" t="s">
        <v>204</v>
      </c>
      <c r="E45" t="s">
        <v>697</v>
      </c>
      <c r="F45">
        <f>Summary!X15</f>
        <v>1005000</v>
      </c>
      <c r="G45" t="s">
        <v>225</v>
      </c>
      <c r="H45" t="s">
        <v>226</v>
      </c>
      <c r="I45" t="s">
        <v>705</v>
      </c>
      <c r="J45" t="s">
        <v>627</v>
      </c>
      <c r="K45" t="s">
        <v>642</v>
      </c>
      <c r="L45" t="s">
        <v>321</v>
      </c>
    </row>
    <row r="46" spans="2:13" x14ac:dyDescent="0.3">
      <c r="B46" t="s">
        <v>41</v>
      </c>
      <c r="C46" t="s">
        <v>6</v>
      </c>
      <c r="D46" t="s">
        <v>207</v>
      </c>
      <c r="E46" t="s">
        <v>697</v>
      </c>
      <c r="F46" s="74">
        <f>Summary!X16</f>
        <v>704000</v>
      </c>
      <c r="G46" t="s">
        <v>225</v>
      </c>
      <c r="H46" t="s">
        <v>226</v>
      </c>
      <c r="I46" t="s">
        <v>702</v>
      </c>
      <c r="J46" t="s">
        <v>319</v>
      </c>
      <c r="K46" t="s">
        <v>620</v>
      </c>
      <c r="L46" t="s">
        <v>321</v>
      </c>
    </row>
    <row r="47" spans="2:13" x14ac:dyDescent="0.3">
      <c r="B47" t="s">
        <v>41</v>
      </c>
      <c r="C47" t="s">
        <v>6</v>
      </c>
      <c r="D47" t="s">
        <v>208</v>
      </c>
      <c r="E47" t="s">
        <v>697</v>
      </c>
      <c r="F47" s="74">
        <f>Summary!X17</f>
        <v>1021000</v>
      </c>
      <c r="G47" t="s">
        <v>225</v>
      </c>
      <c r="H47" t="s">
        <v>226</v>
      </c>
      <c r="I47" t="s">
        <v>702</v>
      </c>
      <c r="J47" t="s">
        <v>319</v>
      </c>
      <c r="K47" t="s">
        <v>620</v>
      </c>
      <c r="L47" t="s">
        <v>321</v>
      </c>
    </row>
    <row r="48" spans="2:13" x14ac:dyDescent="0.3">
      <c r="B48" t="s">
        <v>41</v>
      </c>
      <c r="C48" t="s">
        <v>6</v>
      </c>
      <c r="D48" t="s">
        <v>206</v>
      </c>
      <c r="E48" t="s">
        <v>697</v>
      </c>
      <c r="F48" s="74">
        <f>Summary!X18</f>
        <v>1672000</v>
      </c>
      <c r="G48" t="s">
        <v>225</v>
      </c>
      <c r="H48" t="s">
        <v>226</v>
      </c>
      <c r="I48" t="s">
        <v>702</v>
      </c>
      <c r="J48" t="s">
        <v>319</v>
      </c>
      <c r="K48" t="s">
        <v>620</v>
      </c>
      <c r="L48" t="s">
        <v>321</v>
      </c>
    </row>
    <row r="49" spans="2:13" x14ac:dyDescent="0.3">
      <c r="B49" t="s">
        <v>41</v>
      </c>
      <c r="C49" t="s">
        <v>6</v>
      </c>
      <c r="D49" t="s">
        <v>205</v>
      </c>
      <c r="E49" t="s">
        <v>697</v>
      </c>
      <c r="F49" s="74">
        <f>Summary!X19</f>
        <v>787000</v>
      </c>
      <c r="G49" t="s">
        <v>225</v>
      </c>
      <c r="H49" t="s">
        <v>226</v>
      </c>
      <c r="I49" t="s">
        <v>706</v>
      </c>
      <c r="J49" t="s">
        <v>627</v>
      </c>
      <c r="K49" t="s">
        <v>631</v>
      </c>
      <c r="L49" t="s">
        <v>321</v>
      </c>
      <c r="M49" s="150" t="s">
        <v>628</v>
      </c>
    </row>
    <row r="50" spans="2:13" ht="43.2" x14ac:dyDescent="0.3">
      <c r="B50" t="s">
        <v>41</v>
      </c>
      <c r="C50" t="s">
        <v>6</v>
      </c>
      <c r="D50" t="s">
        <v>624</v>
      </c>
      <c r="E50" t="s">
        <v>697</v>
      </c>
      <c r="F50" s="74">
        <f>Summary!X20</f>
        <v>528000</v>
      </c>
      <c r="G50" t="s">
        <v>225</v>
      </c>
      <c r="H50" t="s">
        <v>226</v>
      </c>
      <c r="I50" t="s">
        <v>703</v>
      </c>
      <c r="J50" s="150" t="s">
        <v>638</v>
      </c>
      <c r="K50" s="150" t="s">
        <v>632</v>
      </c>
      <c r="L50" t="s">
        <v>321</v>
      </c>
      <c r="M50" s="150" t="s">
        <v>704</v>
      </c>
    </row>
    <row r="51" spans="2:13" ht="15" customHeight="1" x14ac:dyDescent="0.3">
      <c r="B51" t="s">
        <v>41</v>
      </c>
      <c r="C51" t="s">
        <v>6</v>
      </c>
      <c r="D51" t="s">
        <v>56</v>
      </c>
      <c r="E51" t="s">
        <v>697</v>
      </c>
      <c r="F51" s="74">
        <f>Summary!X21</f>
        <v>100000</v>
      </c>
      <c r="G51" t="s">
        <v>225</v>
      </c>
      <c r="H51" t="s">
        <v>226</v>
      </c>
      <c r="I51" t="s">
        <v>702</v>
      </c>
      <c r="J51" t="s">
        <v>319</v>
      </c>
      <c r="K51" s="150" t="s">
        <v>634</v>
      </c>
      <c r="L51" t="s">
        <v>321</v>
      </c>
      <c r="M51" s="150" t="s">
        <v>635</v>
      </c>
    </row>
    <row r="52" spans="2:13" ht="15.6" x14ac:dyDescent="0.3">
      <c r="B52" t="s">
        <v>41</v>
      </c>
      <c r="C52" t="s">
        <v>455</v>
      </c>
      <c r="D52" s="190" t="s">
        <v>23</v>
      </c>
      <c r="E52" t="s">
        <v>13</v>
      </c>
      <c r="F52" s="256" t="str">
        <f>Summary!V26</f>
        <v>--</v>
      </c>
      <c r="G52" t="s">
        <v>230</v>
      </c>
      <c r="H52" t="s">
        <v>552</v>
      </c>
      <c r="I52" t="s">
        <v>553</v>
      </c>
      <c r="J52" t="s">
        <v>238</v>
      </c>
      <c r="K52" t="s">
        <v>554</v>
      </c>
      <c r="L52" s="241" t="s">
        <v>508</v>
      </c>
      <c r="M52" s="150" t="s">
        <v>571</v>
      </c>
    </row>
    <row r="53" spans="2:13" ht="15.6" x14ac:dyDescent="0.3">
      <c r="B53" t="s">
        <v>41</v>
      </c>
      <c r="C53" t="s">
        <v>455</v>
      </c>
      <c r="D53" s="190" t="s">
        <v>24</v>
      </c>
      <c r="E53" t="s">
        <v>13</v>
      </c>
      <c r="F53" s="256" t="str">
        <f>Summary!V27</f>
        <v>--</v>
      </c>
      <c r="G53" t="s">
        <v>230</v>
      </c>
      <c r="H53" t="s">
        <v>552</v>
      </c>
      <c r="I53" t="s">
        <v>553</v>
      </c>
      <c r="J53" t="s">
        <v>238</v>
      </c>
      <c r="K53" t="s">
        <v>554</v>
      </c>
      <c r="L53" s="241" t="s">
        <v>508</v>
      </c>
      <c r="M53" s="150" t="s">
        <v>571</v>
      </c>
    </row>
    <row r="54" spans="2:13" ht="15.6" x14ac:dyDescent="0.3">
      <c r="B54" t="s">
        <v>41</v>
      </c>
      <c r="C54" t="s">
        <v>455</v>
      </c>
      <c r="D54" s="190" t="s">
        <v>25</v>
      </c>
      <c r="E54" t="s">
        <v>13</v>
      </c>
      <c r="F54" s="256" t="str">
        <f>Summary!V28</f>
        <v>--</v>
      </c>
      <c r="G54" t="s">
        <v>230</v>
      </c>
      <c r="H54" t="s">
        <v>552</v>
      </c>
      <c r="I54" t="s">
        <v>553</v>
      </c>
      <c r="J54" t="s">
        <v>238</v>
      </c>
      <c r="K54" t="s">
        <v>554</v>
      </c>
      <c r="L54" s="241" t="s">
        <v>508</v>
      </c>
      <c r="M54" s="150" t="s">
        <v>571</v>
      </c>
    </row>
    <row r="55" spans="2:13" x14ac:dyDescent="0.3">
      <c r="B55" t="s">
        <v>41</v>
      </c>
      <c r="C55" t="s">
        <v>455</v>
      </c>
      <c r="D55" t="s">
        <v>26</v>
      </c>
      <c r="E55" t="s">
        <v>13</v>
      </c>
      <c r="F55" s="256">
        <f>Summary!V29</f>
        <v>4.0000000000000001E-3</v>
      </c>
      <c r="G55" t="s">
        <v>231</v>
      </c>
      <c r="H55" t="s">
        <v>480</v>
      </c>
      <c r="I55" t="s">
        <v>346</v>
      </c>
      <c r="J55" t="s">
        <v>238</v>
      </c>
      <c r="K55" t="s">
        <v>438</v>
      </c>
      <c r="L55" t="s">
        <v>439</v>
      </c>
      <c r="M55" s="150" t="s">
        <v>584</v>
      </c>
    </row>
    <row r="56" spans="2:13" ht="15" customHeight="1" x14ac:dyDescent="0.3">
      <c r="B56" t="s">
        <v>41</v>
      </c>
      <c r="C56" t="s">
        <v>455</v>
      </c>
      <c r="D56" t="s">
        <v>27</v>
      </c>
      <c r="E56" t="s">
        <v>13</v>
      </c>
      <c r="F56" s="256">
        <f>Summary!V30</f>
        <v>4.0000000000000001E-3</v>
      </c>
      <c r="G56" t="s">
        <v>231</v>
      </c>
      <c r="H56" t="s">
        <v>479</v>
      </c>
      <c r="I56" t="s">
        <v>346</v>
      </c>
      <c r="J56" t="s">
        <v>238</v>
      </c>
      <c r="K56" t="s">
        <v>707</v>
      </c>
      <c r="L56" t="s">
        <v>461</v>
      </c>
      <c r="M56" s="150" t="s">
        <v>583</v>
      </c>
    </row>
    <row r="57" spans="2:13" ht="15" customHeight="1" x14ac:dyDescent="0.3">
      <c r="B57" t="s">
        <v>41</v>
      </c>
      <c r="C57" t="s">
        <v>455</v>
      </c>
      <c r="D57" s="190" t="s">
        <v>198</v>
      </c>
      <c r="E57" t="s">
        <v>13</v>
      </c>
      <c r="F57" s="256">
        <f>Summary!V31</f>
        <v>2.5999999999999999E-2</v>
      </c>
      <c r="G57" t="s">
        <v>231</v>
      </c>
      <c r="H57" t="s">
        <v>481</v>
      </c>
      <c r="I57" t="s">
        <v>346</v>
      </c>
      <c r="J57" t="s">
        <v>238</v>
      </c>
      <c r="K57" t="s">
        <v>707</v>
      </c>
      <c r="L57" t="s">
        <v>461</v>
      </c>
      <c r="M57" s="150" t="s">
        <v>584</v>
      </c>
    </row>
    <row r="58" spans="2:13" ht="15" customHeight="1" x14ac:dyDescent="0.3">
      <c r="B58" t="s">
        <v>41</v>
      </c>
      <c r="C58" t="s">
        <v>455</v>
      </c>
      <c r="D58" s="190" t="s">
        <v>199</v>
      </c>
      <c r="E58" t="s">
        <v>13</v>
      </c>
      <c r="F58" s="256">
        <f>Summary!V32</f>
        <v>7.0000000000000001E-3</v>
      </c>
      <c r="G58" t="s">
        <v>231</v>
      </c>
      <c r="H58" t="s">
        <v>441</v>
      </c>
      <c r="I58" t="s">
        <v>346</v>
      </c>
      <c r="J58" t="s">
        <v>238</v>
      </c>
      <c r="K58" t="s">
        <v>438</v>
      </c>
      <c r="L58" t="s">
        <v>439</v>
      </c>
      <c r="M58" s="150" t="s">
        <v>575</v>
      </c>
    </row>
    <row r="59" spans="2:13" ht="15.6" x14ac:dyDescent="0.3">
      <c r="B59" t="s">
        <v>41</v>
      </c>
      <c r="C59" t="s">
        <v>455</v>
      </c>
      <c r="D59" s="190" t="s">
        <v>442</v>
      </c>
      <c r="E59" t="s">
        <v>233</v>
      </c>
      <c r="F59" s="263">
        <f>Summary!W26</f>
        <v>0.12</v>
      </c>
      <c r="G59" t="s">
        <v>444</v>
      </c>
      <c r="H59" t="s">
        <v>445</v>
      </c>
      <c r="I59" t="s">
        <v>324</v>
      </c>
      <c r="J59" t="s">
        <v>699</v>
      </c>
      <c r="K59" t="s">
        <v>446</v>
      </c>
      <c r="L59" s="241" t="s">
        <v>447</v>
      </c>
      <c r="M59" s="150" t="s">
        <v>448</v>
      </c>
    </row>
    <row r="60" spans="2:13" ht="15.6" x14ac:dyDescent="0.3">
      <c r="B60" t="s">
        <v>41</v>
      </c>
      <c r="C60" t="s">
        <v>455</v>
      </c>
      <c r="D60" t="s">
        <v>443</v>
      </c>
      <c r="E60" t="s">
        <v>233</v>
      </c>
      <c r="F60" s="263">
        <f>Summary!W29</f>
        <v>0.15</v>
      </c>
      <c r="G60" t="s">
        <v>444</v>
      </c>
      <c r="H60" t="s">
        <v>445</v>
      </c>
      <c r="I60" t="s">
        <v>324</v>
      </c>
      <c r="J60" t="s">
        <v>699</v>
      </c>
      <c r="K60" t="s">
        <v>446</v>
      </c>
      <c r="L60" s="241" t="s">
        <v>447</v>
      </c>
      <c r="M60" s="150" t="s">
        <v>449</v>
      </c>
    </row>
    <row r="61" spans="2:13" ht="28.8" x14ac:dyDescent="0.3">
      <c r="B61" t="s">
        <v>41</v>
      </c>
      <c r="C61" t="s">
        <v>455</v>
      </c>
      <c r="D61" t="s">
        <v>450</v>
      </c>
      <c r="E61" t="s">
        <v>695</v>
      </c>
      <c r="F61" s="322" t="str">
        <f>Summary!X26</f>
        <v>20-60%</v>
      </c>
      <c r="G61" t="s">
        <v>444</v>
      </c>
      <c r="H61" s="150" t="s">
        <v>708</v>
      </c>
      <c r="I61" t="s">
        <v>324</v>
      </c>
      <c r="J61" t="s">
        <v>451</v>
      </c>
      <c r="K61" t="s">
        <v>700</v>
      </c>
      <c r="L61" s="231" t="s">
        <v>701</v>
      </c>
      <c r="M61" s="150" t="s">
        <v>709</v>
      </c>
    </row>
    <row r="62" spans="2:13" ht="30" customHeight="1" x14ac:dyDescent="0.3">
      <c r="B62" t="s">
        <v>41</v>
      </c>
      <c r="C62" t="s">
        <v>455</v>
      </c>
      <c r="D62" s="190" t="s">
        <v>23</v>
      </c>
      <c r="E62" t="s">
        <v>14</v>
      </c>
      <c r="F62" s="74">
        <f>Summary!Y26</f>
        <v>470</v>
      </c>
      <c r="G62" t="s">
        <v>471</v>
      </c>
      <c r="H62" t="s">
        <v>552</v>
      </c>
      <c r="I62" t="s">
        <v>553</v>
      </c>
      <c r="J62" t="s">
        <v>238</v>
      </c>
      <c r="K62" t="s">
        <v>554</v>
      </c>
      <c r="L62" s="241" t="s">
        <v>508</v>
      </c>
      <c r="M62" s="150" t="s">
        <v>574</v>
      </c>
    </row>
    <row r="63" spans="2:13" ht="28.8" x14ac:dyDescent="0.3">
      <c r="B63" t="s">
        <v>41</v>
      </c>
      <c r="C63" t="s">
        <v>455</v>
      </c>
      <c r="D63" s="190" t="s">
        <v>24</v>
      </c>
      <c r="E63" t="s">
        <v>14</v>
      </c>
      <c r="F63" s="74">
        <f>Summary!Y27</f>
        <v>260</v>
      </c>
      <c r="G63" t="s">
        <v>471</v>
      </c>
      <c r="H63" t="s">
        <v>552</v>
      </c>
      <c r="I63" t="s">
        <v>553</v>
      </c>
      <c r="J63" t="s">
        <v>238</v>
      </c>
      <c r="K63" t="s">
        <v>554</v>
      </c>
      <c r="L63" s="241" t="s">
        <v>508</v>
      </c>
      <c r="M63" s="150" t="s">
        <v>574</v>
      </c>
    </row>
    <row r="64" spans="2:13" ht="28.8" x14ac:dyDescent="0.3">
      <c r="B64" t="s">
        <v>41</v>
      </c>
      <c r="C64" t="s">
        <v>455</v>
      </c>
      <c r="D64" s="190" t="s">
        <v>25</v>
      </c>
      <c r="E64" t="s">
        <v>14</v>
      </c>
      <c r="F64" s="74">
        <f>Summary!Y28</f>
        <v>280</v>
      </c>
      <c r="G64" t="s">
        <v>471</v>
      </c>
      <c r="H64" t="s">
        <v>552</v>
      </c>
      <c r="I64" t="s">
        <v>553</v>
      </c>
      <c r="J64" t="s">
        <v>238</v>
      </c>
      <c r="K64" t="s">
        <v>554</v>
      </c>
      <c r="L64" s="241" t="s">
        <v>508</v>
      </c>
      <c r="M64" s="150" t="s">
        <v>574</v>
      </c>
    </row>
    <row r="65" spans="2:13" x14ac:dyDescent="0.3">
      <c r="B65" t="s">
        <v>41</v>
      </c>
      <c r="C65" t="s">
        <v>455</v>
      </c>
      <c r="D65" t="s">
        <v>26</v>
      </c>
      <c r="E65" t="s">
        <v>14</v>
      </c>
      <c r="F65" s="74">
        <f>Summary!Y29</f>
        <v>40</v>
      </c>
      <c r="G65" t="s">
        <v>471</v>
      </c>
      <c r="H65" t="s">
        <v>710</v>
      </c>
      <c r="I65" t="s">
        <v>346</v>
      </c>
      <c r="J65" t="s">
        <v>238</v>
      </c>
      <c r="K65" t="s">
        <v>460</v>
      </c>
      <c r="L65" t="s">
        <v>461</v>
      </c>
      <c r="M65" s="150" t="s">
        <v>585</v>
      </c>
    </row>
    <row r="66" spans="2:13" x14ac:dyDescent="0.3">
      <c r="B66" t="s">
        <v>41</v>
      </c>
      <c r="C66" t="s">
        <v>455</v>
      </c>
      <c r="D66" t="s">
        <v>27</v>
      </c>
      <c r="E66" t="s">
        <v>14</v>
      </c>
      <c r="F66" s="74">
        <f>Summary!Y30</f>
        <v>40</v>
      </c>
      <c r="G66" t="s">
        <v>471</v>
      </c>
      <c r="H66" t="s">
        <v>479</v>
      </c>
      <c r="I66" t="s">
        <v>346</v>
      </c>
      <c r="J66" t="s">
        <v>238</v>
      </c>
      <c r="K66" t="s">
        <v>460</v>
      </c>
      <c r="L66" t="s">
        <v>461</v>
      </c>
      <c r="M66" s="150" t="s">
        <v>585</v>
      </c>
    </row>
    <row r="67" spans="2:13" x14ac:dyDescent="0.3">
      <c r="B67" t="s">
        <v>41</v>
      </c>
      <c r="C67" t="s">
        <v>455</v>
      </c>
      <c r="D67" s="190" t="s">
        <v>198</v>
      </c>
      <c r="E67" t="s">
        <v>14</v>
      </c>
      <c r="F67" s="74">
        <f>Summary!Y31</f>
        <v>240</v>
      </c>
      <c r="G67" t="s">
        <v>471</v>
      </c>
      <c r="H67" t="s">
        <v>711</v>
      </c>
      <c r="I67" t="s">
        <v>346</v>
      </c>
      <c r="J67" t="s">
        <v>238</v>
      </c>
      <c r="K67" t="s">
        <v>460</v>
      </c>
      <c r="L67" t="s">
        <v>461</v>
      </c>
      <c r="M67" s="150" t="s">
        <v>585</v>
      </c>
    </row>
    <row r="68" spans="2:13" x14ac:dyDescent="0.3">
      <c r="B68" t="s">
        <v>41</v>
      </c>
      <c r="C68" t="s">
        <v>455</v>
      </c>
      <c r="D68" s="190" t="s">
        <v>199</v>
      </c>
      <c r="E68" t="s">
        <v>14</v>
      </c>
      <c r="F68" s="74">
        <f>Summary!Y32</f>
        <v>70</v>
      </c>
      <c r="G68" t="s">
        <v>471</v>
      </c>
      <c r="H68" t="s">
        <v>441</v>
      </c>
      <c r="I68" t="s">
        <v>346</v>
      </c>
      <c r="J68" t="s">
        <v>238</v>
      </c>
      <c r="K68" t="s">
        <v>482</v>
      </c>
      <c r="L68" t="s">
        <v>439</v>
      </c>
      <c r="M68" s="150" t="s">
        <v>463</v>
      </c>
    </row>
    <row r="69" spans="2:13" ht="15.6" x14ac:dyDescent="0.3">
      <c r="B69" t="s">
        <v>41</v>
      </c>
      <c r="C69" t="s">
        <v>456</v>
      </c>
      <c r="D69" s="190" t="s">
        <v>23</v>
      </c>
      <c r="E69" t="s">
        <v>13</v>
      </c>
      <c r="F69" s="256" t="str">
        <f>Summary!V34</f>
        <v>--</v>
      </c>
      <c r="G69" t="s">
        <v>444</v>
      </c>
      <c r="H69" t="s">
        <v>555</v>
      </c>
      <c r="I69" t="s">
        <v>553</v>
      </c>
      <c r="J69" t="s">
        <v>238</v>
      </c>
      <c r="K69" t="s">
        <v>554</v>
      </c>
      <c r="L69" s="241" t="s">
        <v>508</v>
      </c>
      <c r="M69" s="150" t="s">
        <v>571</v>
      </c>
    </row>
    <row r="70" spans="2:13" ht="15.6" x14ac:dyDescent="0.3">
      <c r="B70" t="s">
        <v>41</v>
      </c>
      <c r="C70" t="s">
        <v>456</v>
      </c>
      <c r="D70" s="190" t="s">
        <v>24</v>
      </c>
      <c r="E70" t="s">
        <v>13</v>
      </c>
      <c r="F70" s="256" t="str">
        <f>Summary!V35</f>
        <v>--</v>
      </c>
      <c r="G70" t="s">
        <v>444</v>
      </c>
      <c r="H70" t="s">
        <v>555</v>
      </c>
      <c r="I70" t="s">
        <v>553</v>
      </c>
      <c r="J70" t="s">
        <v>238</v>
      </c>
      <c r="K70" t="s">
        <v>554</v>
      </c>
      <c r="L70" s="241" t="s">
        <v>508</v>
      </c>
      <c r="M70" s="150" t="s">
        <v>571</v>
      </c>
    </row>
    <row r="71" spans="2:13" ht="15.6" x14ac:dyDescent="0.3">
      <c r="B71" t="s">
        <v>41</v>
      </c>
      <c r="C71" t="s">
        <v>456</v>
      </c>
      <c r="D71" s="190" t="s">
        <v>25</v>
      </c>
      <c r="E71" t="s">
        <v>13</v>
      </c>
      <c r="F71" s="256" t="str">
        <f>Summary!V36</f>
        <v>--</v>
      </c>
      <c r="G71" t="s">
        <v>444</v>
      </c>
      <c r="H71" t="s">
        <v>555</v>
      </c>
      <c r="I71" t="s">
        <v>553</v>
      </c>
      <c r="J71" t="s">
        <v>238</v>
      </c>
      <c r="K71" t="s">
        <v>554</v>
      </c>
      <c r="L71" s="241" t="s">
        <v>508</v>
      </c>
      <c r="M71" s="150" t="s">
        <v>571</v>
      </c>
    </row>
    <row r="72" spans="2:13" x14ac:dyDescent="0.3">
      <c r="B72" t="s">
        <v>41</v>
      </c>
      <c r="C72" t="s">
        <v>456</v>
      </c>
      <c r="D72" t="s">
        <v>26</v>
      </c>
      <c r="E72" t="s">
        <v>13</v>
      </c>
      <c r="F72" s="256">
        <f>Summary!V37</f>
        <v>4.2999999999999997E-2</v>
      </c>
      <c r="G72" t="s">
        <v>444</v>
      </c>
      <c r="H72" t="s">
        <v>556</v>
      </c>
      <c r="I72" t="s">
        <v>346</v>
      </c>
      <c r="J72" t="s">
        <v>238</v>
      </c>
      <c r="K72" t="s">
        <v>707</v>
      </c>
      <c r="L72" t="s">
        <v>461</v>
      </c>
    </row>
    <row r="73" spans="2:13" x14ac:dyDescent="0.3">
      <c r="B73" t="s">
        <v>41</v>
      </c>
      <c r="C73" t="s">
        <v>456</v>
      </c>
      <c r="D73" t="s">
        <v>27</v>
      </c>
      <c r="E73" t="s">
        <v>13</v>
      </c>
      <c r="F73" s="256">
        <f>Summary!V38</f>
        <v>0.03</v>
      </c>
      <c r="G73" t="s">
        <v>444</v>
      </c>
      <c r="H73" t="s">
        <v>556</v>
      </c>
      <c r="I73" t="s">
        <v>346</v>
      </c>
      <c r="J73" t="s">
        <v>238</v>
      </c>
      <c r="K73" t="s">
        <v>707</v>
      </c>
      <c r="L73" t="s">
        <v>461</v>
      </c>
    </row>
    <row r="74" spans="2:13" x14ac:dyDescent="0.3">
      <c r="B74" t="s">
        <v>41</v>
      </c>
      <c r="C74" t="s">
        <v>456</v>
      </c>
      <c r="D74" s="190" t="s">
        <v>198</v>
      </c>
      <c r="E74" t="s">
        <v>13</v>
      </c>
      <c r="F74" s="256">
        <f>Summary!V39</f>
        <v>0.20599999999999999</v>
      </c>
      <c r="G74" t="s">
        <v>444</v>
      </c>
      <c r="H74" t="s">
        <v>556</v>
      </c>
      <c r="I74" t="s">
        <v>346</v>
      </c>
      <c r="J74" t="s">
        <v>238</v>
      </c>
      <c r="K74" t="s">
        <v>707</v>
      </c>
      <c r="L74" t="s">
        <v>461</v>
      </c>
    </row>
    <row r="75" spans="2:13" x14ac:dyDescent="0.3">
      <c r="B75" t="s">
        <v>41</v>
      </c>
      <c r="C75" t="s">
        <v>456</v>
      </c>
      <c r="D75" s="190" t="s">
        <v>199</v>
      </c>
      <c r="E75" t="s">
        <v>13</v>
      </c>
      <c r="F75" s="256">
        <f>Summary!V40</f>
        <v>7.4999999999999997E-2</v>
      </c>
      <c r="G75" t="s">
        <v>444</v>
      </c>
      <c r="H75" t="s">
        <v>556</v>
      </c>
      <c r="I75" t="s">
        <v>346</v>
      </c>
      <c r="J75" t="s">
        <v>238</v>
      </c>
      <c r="K75" t="s">
        <v>707</v>
      </c>
      <c r="L75" t="s">
        <v>461</v>
      </c>
    </row>
    <row r="76" spans="2:13" ht="30" customHeight="1" x14ac:dyDescent="0.3">
      <c r="B76" t="s">
        <v>41</v>
      </c>
      <c r="C76" t="s">
        <v>456</v>
      </c>
      <c r="D76" s="190" t="s">
        <v>23</v>
      </c>
      <c r="E76" t="s">
        <v>14</v>
      </c>
      <c r="F76" s="74">
        <f>Summary!Y34</f>
        <v>2400</v>
      </c>
      <c r="H76" t="s">
        <v>555</v>
      </c>
      <c r="I76" t="s">
        <v>553</v>
      </c>
      <c r="J76" t="s">
        <v>238</v>
      </c>
      <c r="K76" t="s">
        <v>554</v>
      </c>
      <c r="L76" s="241" t="s">
        <v>508</v>
      </c>
      <c r="M76" s="150" t="s">
        <v>573</v>
      </c>
    </row>
    <row r="77" spans="2:13" ht="28.8" x14ac:dyDescent="0.3">
      <c r="B77" t="s">
        <v>41</v>
      </c>
      <c r="C77" t="s">
        <v>456</v>
      </c>
      <c r="D77" s="190" t="s">
        <v>24</v>
      </c>
      <c r="E77" t="s">
        <v>14</v>
      </c>
      <c r="F77" s="74">
        <f>Summary!Y35</f>
        <v>1300</v>
      </c>
      <c r="H77" t="s">
        <v>555</v>
      </c>
      <c r="I77" t="s">
        <v>553</v>
      </c>
      <c r="J77" t="s">
        <v>238</v>
      </c>
      <c r="K77" t="s">
        <v>554</v>
      </c>
      <c r="L77" s="241" t="s">
        <v>508</v>
      </c>
      <c r="M77" s="150" t="s">
        <v>573</v>
      </c>
    </row>
    <row r="78" spans="2:13" ht="28.8" x14ac:dyDescent="0.3">
      <c r="B78" t="s">
        <v>41</v>
      </c>
      <c r="C78" t="s">
        <v>456</v>
      </c>
      <c r="D78" s="190" t="s">
        <v>25</v>
      </c>
      <c r="E78" t="s">
        <v>14</v>
      </c>
      <c r="F78" s="74">
        <f>Summary!Y36</f>
        <v>1500</v>
      </c>
      <c r="H78" t="s">
        <v>555</v>
      </c>
      <c r="I78" t="s">
        <v>553</v>
      </c>
      <c r="J78" t="s">
        <v>238</v>
      </c>
      <c r="K78" t="s">
        <v>554</v>
      </c>
      <c r="L78" s="241" t="s">
        <v>508</v>
      </c>
      <c r="M78" s="150" t="s">
        <v>573</v>
      </c>
    </row>
    <row r="79" spans="2:13" x14ac:dyDescent="0.3">
      <c r="B79" t="s">
        <v>41</v>
      </c>
      <c r="C79" t="s">
        <v>456</v>
      </c>
      <c r="D79" t="s">
        <v>26</v>
      </c>
      <c r="E79" t="s">
        <v>14</v>
      </c>
      <c r="F79" s="74">
        <f>Summary!Y37</f>
        <v>2200</v>
      </c>
      <c r="G79" t="s">
        <v>457</v>
      </c>
      <c r="H79" t="s">
        <v>458</v>
      </c>
      <c r="I79" t="s">
        <v>346</v>
      </c>
      <c r="J79" t="s">
        <v>238</v>
      </c>
      <c r="K79" t="s">
        <v>707</v>
      </c>
      <c r="L79" t="s">
        <v>461</v>
      </c>
      <c r="M79" s="150" t="s">
        <v>462</v>
      </c>
    </row>
    <row r="80" spans="2:13" x14ac:dyDescent="0.3">
      <c r="B80" t="s">
        <v>41</v>
      </c>
      <c r="C80" t="s">
        <v>456</v>
      </c>
      <c r="D80" t="s">
        <v>27</v>
      </c>
      <c r="E80" t="s">
        <v>14</v>
      </c>
      <c r="F80" s="74">
        <f>Summary!Y38</f>
        <v>1600</v>
      </c>
      <c r="G80" t="s">
        <v>457</v>
      </c>
      <c r="H80" t="s">
        <v>459</v>
      </c>
      <c r="I80" t="s">
        <v>346</v>
      </c>
      <c r="J80" t="s">
        <v>238</v>
      </c>
      <c r="K80" t="s">
        <v>707</v>
      </c>
      <c r="L80" t="s">
        <v>461</v>
      </c>
      <c r="M80" s="150" t="s">
        <v>462</v>
      </c>
    </row>
    <row r="81" spans="2:13" x14ac:dyDescent="0.3">
      <c r="B81" t="s">
        <v>41</v>
      </c>
      <c r="C81" t="s">
        <v>456</v>
      </c>
      <c r="D81" s="190" t="s">
        <v>198</v>
      </c>
      <c r="E81" t="s">
        <v>14</v>
      </c>
      <c r="F81" s="74">
        <f>Summary!Y39</f>
        <v>10500</v>
      </c>
      <c r="G81" t="s">
        <v>457</v>
      </c>
      <c r="H81" t="s">
        <v>440</v>
      </c>
      <c r="I81" t="s">
        <v>346</v>
      </c>
      <c r="J81" t="s">
        <v>238</v>
      </c>
      <c r="K81" t="s">
        <v>707</v>
      </c>
      <c r="L81" t="s">
        <v>461</v>
      </c>
      <c r="M81" s="150" t="s">
        <v>462</v>
      </c>
    </row>
    <row r="82" spans="2:13" ht="15.6" x14ac:dyDescent="0.3">
      <c r="B82" t="s">
        <v>41</v>
      </c>
      <c r="C82" t="s">
        <v>456</v>
      </c>
      <c r="D82" s="190" t="s">
        <v>199</v>
      </c>
      <c r="E82" t="s">
        <v>14</v>
      </c>
      <c r="F82" s="74">
        <f>Summary!Y40</f>
        <v>3800</v>
      </c>
      <c r="G82" t="s">
        <v>457</v>
      </c>
      <c r="H82" t="s">
        <v>483</v>
      </c>
      <c r="I82" t="s">
        <v>346</v>
      </c>
      <c r="J82" t="s">
        <v>238</v>
      </c>
      <c r="K82" t="s">
        <v>485</v>
      </c>
      <c r="L82" s="241" t="s">
        <v>484</v>
      </c>
      <c r="M82" s="150" t="s">
        <v>486</v>
      </c>
    </row>
    <row r="83" spans="2:13" x14ac:dyDescent="0.3">
      <c r="B83" t="s">
        <v>41</v>
      </c>
      <c r="C83" t="s">
        <v>678</v>
      </c>
      <c r="D83" s="190" t="s">
        <v>679</v>
      </c>
      <c r="E83" t="s">
        <v>10</v>
      </c>
      <c r="F83" s="74">
        <f>Summary!U46</f>
        <v>10000</v>
      </c>
      <c r="G83" t="s">
        <v>674</v>
      </c>
      <c r="H83" t="s">
        <v>675</v>
      </c>
      <c r="I83" t="s">
        <v>346</v>
      </c>
      <c r="J83" t="s">
        <v>238</v>
      </c>
      <c r="K83" t="s">
        <v>707</v>
      </c>
      <c r="L83" t="s">
        <v>461</v>
      </c>
    </row>
    <row r="84" spans="2:13" x14ac:dyDescent="0.3">
      <c r="B84" t="s">
        <v>41</v>
      </c>
      <c r="C84" t="s">
        <v>676</v>
      </c>
      <c r="D84" s="190" t="s">
        <v>679</v>
      </c>
      <c r="E84" t="s">
        <v>10</v>
      </c>
      <c r="F84" s="74">
        <f>Summary!U47</f>
        <v>48000</v>
      </c>
      <c r="G84" t="s">
        <v>674</v>
      </c>
      <c r="H84" t="s">
        <v>675</v>
      </c>
      <c r="I84" t="s">
        <v>346</v>
      </c>
      <c r="J84" t="s">
        <v>238</v>
      </c>
      <c r="K84" t="s">
        <v>707</v>
      </c>
      <c r="L84" t="s">
        <v>461</v>
      </c>
    </row>
    <row r="85" spans="2:13" x14ac:dyDescent="0.3">
      <c r="B85" t="s">
        <v>41</v>
      </c>
      <c r="C85" t="s">
        <v>688</v>
      </c>
      <c r="D85" s="190" t="s">
        <v>679</v>
      </c>
      <c r="E85" t="s">
        <v>10</v>
      </c>
      <c r="F85" s="263">
        <f>Summary!U48</f>
        <v>0.82758620689655171</v>
      </c>
      <c r="G85" t="s">
        <v>674</v>
      </c>
      <c r="H85" t="s">
        <v>675</v>
      </c>
      <c r="I85" t="s">
        <v>346</v>
      </c>
      <c r="J85" t="s">
        <v>238</v>
      </c>
      <c r="K85" t="s">
        <v>707</v>
      </c>
      <c r="L85" t="s">
        <v>461</v>
      </c>
    </row>
    <row r="86" spans="2:13" ht="15.6" x14ac:dyDescent="0.3">
      <c r="B86" t="s">
        <v>41</v>
      </c>
      <c r="C86" t="s">
        <v>677</v>
      </c>
      <c r="D86" s="190" t="s">
        <v>511</v>
      </c>
      <c r="E86" t="s">
        <v>10</v>
      </c>
      <c r="F86" s="74">
        <f>Summary!U50</f>
        <v>4000</v>
      </c>
      <c r="G86" t="s">
        <v>674</v>
      </c>
      <c r="H86" t="s">
        <v>680</v>
      </c>
      <c r="I86" t="s">
        <v>346</v>
      </c>
      <c r="J86" t="s">
        <v>238</v>
      </c>
      <c r="K86" t="s">
        <v>681</v>
      </c>
      <c r="L86" s="241" t="s">
        <v>514</v>
      </c>
    </row>
    <row r="87" spans="2:13" ht="15.6" x14ac:dyDescent="0.3">
      <c r="B87" t="s">
        <v>41</v>
      </c>
      <c r="C87" t="s">
        <v>682</v>
      </c>
      <c r="D87" s="190" t="s">
        <v>511</v>
      </c>
      <c r="E87" t="s">
        <v>10</v>
      </c>
      <c r="F87" s="74">
        <f>Summary!U51</f>
        <v>26000</v>
      </c>
      <c r="G87" t="s">
        <v>674</v>
      </c>
      <c r="H87" t="s">
        <v>680</v>
      </c>
      <c r="I87" t="s">
        <v>346</v>
      </c>
      <c r="J87" t="s">
        <v>238</v>
      </c>
      <c r="K87" t="s">
        <v>681</v>
      </c>
      <c r="L87" s="241" t="s">
        <v>514</v>
      </c>
    </row>
    <row r="88" spans="2:13" ht="15.6" x14ac:dyDescent="0.3">
      <c r="B88" t="s">
        <v>41</v>
      </c>
      <c r="C88" t="s">
        <v>689</v>
      </c>
      <c r="D88" s="190" t="s">
        <v>511</v>
      </c>
      <c r="E88" t="s">
        <v>10</v>
      </c>
      <c r="F88" s="263">
        <f>Summary!U52</f>
        <v>0.8666666666666667</v>
      </c>
      <c r="G88" t="s">
        <v>674</v>
      </c>
      <c r="H88" t="s">
        <v>680</v>
      </c>
      <c r="I88" t="s">
        <v>346</v>
      </c>
      <c r="J88" t="s">
        <v>238</v>
      </c>
      <c r="K88" t="s">
        <v>681</v>
      </c>
      <c r="L88" s="241" t="s">
        <v>514</v>
      </c>
    </row>
    <row r="89" spans="2:13" ht="28.8" x14ac:dyDescent="0.3">
      <c r="B89" t="s">
        <v>41</v>
      </c>
      <c r="C89" t="s">
        <v>683</v>
      </c>
      <c r="D89" s="190" t="s">
        <v>684</v>
      </c>
      <c r="E89" t="s">
        <v>14</v>
      </c>
      <c r="F89" s="74">
        <f>Summary!U62</f>
        <v>1000</v>
      </c>
      <c r="G89" t="s">
        <v>471</v>
      </c>
      <c r="H89" s="150" t="s">
        <v>685</v>
      </c>
      <c r="I89" t="s">
        <v>346</v>
      </c>
      <c r="J89" t="s">
        <v>238</v>
      </c>
      <c r="K89" t="s">
        <v>707</v>
      </c>
      <c r="L89" t="s">
        <v>461</v>
      </c>
    </row>
    <row r="90" spans="2:13" x14ac:dyDescent="0.3">
      <c r="B90" t="s">
        <v>41</v>
      </c>
      <c r="C90" t="s">
        <v>686</v>
      </c>
      <c r="D90" s="190" t="s">
        <v>684</v>
      </c>
      <c r="E90" t="s">
        <v>14</v>
      </c>
      <c r="F90" s="74">
        <f>Summary!U63</f>
        <v>24000</v>
      </c>
      <c r="G90" t="s">
        <v>457</v>
      </c>
      <c r="H90" t="s">
        <v>687</v>
      </c>
      <c r="I90" t="s">
        <v>346</v>
      </c>
      <c r="J90" t="s">
        <v>238</v>
      </c>
      <c r="K90" t="s">
        <v>707</v>
      </c>
      <c r="L90" t="s">
        <v>461</v>
      </c>
    </row>
    <row r="91" spans="2:13" x14ac:dyDescent="0.3">
      <c r="B91" t="s">
        <v>41</v>
      </c>
      <c r="C91" t="s">
        <v>690</v>
      </c>
      <c r="D91" s="190" t="s">
        <v>684</v>
      </c>
      <c r="E91" t="s">
        <v>14</v>
      </c>
      <c r="F91" s="263">
        <f>Summary!U64</f>
        <v>0.96</v>
      </c>
      <c r="G91" t="s">
        <v>691</v>
      </c>
      <c r="H91" t="s">
        <v>687</v>
      </c>
      <c r="I91" t="s">
        <v>346</v>
      </c>
      <c r="J91" t="s">
        <v>238</v>
      </c>
      <c r="K91" t="s">
        <v>707</v>
      </c>
      <c r="L91" t="s">
        <v>461</v>
      </c>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Summary</vt:lpstr>
      <vt:lpstr>Spawners</vt:lpstr>
      <vt:lpstr>Hatchery</vt:lpstr>
      <vt:lpstr>Fishery</vt:lpstr>
      <vt:lpstr>Run</vt:lpstr>
      <vt:lpstr>Conv</vt:lpstr>
      <vt:lpstr>Background</vt:lpstr>
      <vt:lpstr>Documentation</vt:lpstr>
      <vt:lpstr>Run!_Toc485835426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 Beamesderfer</dc:creator>
  <cp:lastModifiedBy>xxx</cp:lastModifiedBy>
  <cp:lastPrinted>2018-09-20T00:12:21Z</cp:lastPrinted>
  <dcterms:created xsi:type="dcterms:W3CDTF">2018-03-20T01:08:30Z</dcterms:created>
  <dcterms:modified xsi:type="dcterms:W3CDTF">2020-08-13T16:56:28Z</dcterms:modified>
</cp:coreProperties>
</file>