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29"/>
  <workbookPr/>
  <mc:AlternateContent xmlns:mc="http://schemas.openxmlformats.org/markup-compatibility/2006">
    <mc:Choice Requires="x15">
      <x15ac:absPath xmlns:x15ac="http://schemas.microsoft.com/office/spreadsheetml/2010/11/ac" url="C:\Users\beame\Documents\NMFS Columbia Basin\10. Quantitative goals\Willamette Steelhead\"/>
    </mc:Choice>
  </mc:AlternateContent>
  <xr:revisionPtr revIDLastSave="0" documentId="8_{C6A61E00-C07F-4B9E-B3A1-1522173F8557}" xr6:coauthVersionLast="45" xr6:coauthVersionMax="45" xr10:uidLastSave="{00000000-0000-0000-0000-000000000000}"/>
  <bookViews>
    <workbookView xWindow="28680" yWindow="-120" windowWidth="29040" windowHeight="15840" xr2:uid="{00000000-000D-0000-FFFF-FFFF00000000}"/>
  </bookViews>
  <sheets>
    <sheet name="Summary" sheetId="2" r:id="rId1"/>
    <sheet name="Spawners" sheetId="3" r:id="rId2"/>
    <sheet name="Hatchery" sheetId="4" r:id="rId3"/>
    <sheet name="Fishery" sheetId="5" r:id="rId4"/>
    <sheet name="Run" sheetId="1" r:id="rId5"/>
    <sheet name="Conv" sheetId="8" r:id="rId6"/>
    <sheet name="Background" sheetId="6" r:id="rId7"/>
    <sheet name="Documentation" sheetId="7" r:id="rId8"/>
  </sheet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Y8" i="2" l="1"/>
  <c r="Y7" i="2"/>
  <c r="Y6" i="2"/>
  <c r="W8" i="2"/>
  <c r="W7" i="2"/>
  <c r="W6" i="2"/>
  <c r="W5" i="2"/>
  <c r="R82" i="1" l="1"/>
  <c r="S82" i="1"/>
  <c r="S79" i="1"/>
  <c r="R79" i="1"/>
  <c r="Q79" i="1"/>
  <c r="P79" i="1"/>
  <c r="R27" i="1"/>
  <c r="R26" i="1"/>
  <c r="R25" i="1"/>
  <c r="R24" i="1"/>
  <c r="R23" i="1"/>
  <c r="R22" i="1"/>
  <c r="R21" i="1"/>
  <c r="R20" i="1"/>
  <c r="R19" i="1"/>
  <c r="R18" i="1"/>
  <c r="R17" i="1"/>
  <c r="R16" i="1"/>
  <c r="R15" i="1"/>
  <c r="R14" i="1"/>
  <c r="R13" i="1"/>
  <c r="R12" i="1"/>
  <c r="R11" i="1"/>
  <c r="R10" i="1"/>
  <c r="R9" i="1"/>
  <c r="R8" i="1"/>
  <c r="R28" i="1"/>
  <c r="I4" i="8" l="1"/>
  <c r="I7" i="8" s="1"/>
  <c r="Q7" i="8" s="1"/>
  <c r="H14" i="8"/>
  <c r="H17" i="8" s="1"/>
  <c r="I17" i="8" s="1"/>
  <c r="I14" i="8" l="1"/>
  <c r="H18" i="8"/>
  <c r="I18" i="8" s="1"/>
  <c r="I8" i="8"/>
  <c r="Q8" i="8" s="1"/>
  <c r="H16" i="8"/>
  <c r="I16" i="8" s="1"/>
  <c r="F13" i="8"/>
  <c r="I9" i="8"/>
  <c r="F18" i="8" l="1"/>
  <c r="J18" i="8" s="1"/>
  <c r="K18" i="8" s="1"/>
  <c r="E14" i="8"/>
  <c r="G14" i="8" s="1"/>
  <c r="F16" i="8"/>
  <c r="J16" i="8" s="1"/>
  <c r="K16" i="8" s="1"/>
  <c r="F17" i="8"/>
  <c r="Q9" i="8"/>
  <c r="E18" i="8" l="1"/>
  <c r="G18" i="8" s="1"/>
  <c r="O18" i="8" s="1"/>
  <c r="P18" i="8" s="1"/>
  <c r="E16" i="8"/>
  <c r="G16" i="8" s="1"/>
  <c r="O16" i="8" s="1"/>
  <c r="P16" i="8" s="1"/>
  <c r="J17" i="8"/>
  <c r="E17" i="8"/>
  <c r="G17" i="8" s="1"/>
  <c r="K17" i="8" l="1"/>
  <c r="O17" i="8" s="1"/>
  <c r="P17" i="8" s="1"/>
  <c r="CQ22" i="1" l="1"/>
  <c r="Y20" i="2" s="1"/>
  <c r="CP22" i="1"/>
  <c r="Y21" i="2" s="1"/>
  <c r="BH107" i="1"/>
  <c r="BG107" i="1"/>
  <c r="BL105" i="1"/>
  <c r="BK105" i="1"/>
  <c r="BI105" i="1"/>
  <c r="BM105" i="1" s="1"/>
  <c r="BL104" i="1"/>
  <c r="BK104" i="1"/>
  <c r="BI104" i="1"/>
  <c r="BM104" i="1" s="1"/>
  <c r="BL103" i="1"/>
  <c r="BK103" i="1"/>
  <c r="BI103" i="1"/>
  <c r="BM103" i="1" s="1"/>
  <c r="BL102" i="1"/>
  <c r="BK102" i="1"/>
  <c r="BI102" i="1"/>
  <c r="BM102" i="1" s="1"/>
  <c r="BL101" i="1"/>
  <c r="BK101" i="1"/>
  <c r="BI101" i="1"/>
  <c r="BM101" i="1" s="1"/>
  <c r="BL100" i="1"/>
  <c r="BK100" i="1"/>
  <c r="BI100" i="1"/>
  <c r="BM100" i="1" s="1"/>
  <c r="BL99" i="1"/>
  <c r="BK99" i="1"/>
  <c r="BI99" i="1"/>
  <c r="BM99" i="1" s="1"/>
  <c r="BL98" i="1"/>
  <c r="BK98" i="1"/>
  <c r="BI98" i="1"/>
  <c r="BM98" i="1" s="1"/>
  <c r="BL97" i="1"/>
  <c r="BK97" i="1"/>
  <c r="BI97" i="1"/>
  <c r="BM97" i="1" s="1"/>
  <c r="BL96" i="1"/>
  <c r="BK96" i="1"/>
  <c r="BI96" i="1"/>
  <c r="BM96" i="1" s="1"/>
  <c r="BL95" i="1"/>
  <c r="BK95" i="1"/>
  <c r="BI95" i="1"/>
  <c r="BB20" i="1"/>
  <c r="CO20" i="1" s="1"/>
  <c r="BB19" i="1"/>
  <c r="CO19" i="1" s="1"/>
  <c r="BB18" i="1"/>
  <c r="CO18" i="1" s="1"/>
  <c r="BB17" i="1"/>
  <c r="CO17" i="1" s="1"/>
  <c r="BB16" i="1"/>
  <c r="CO16" i="1" s="1"/>
  <c r="BB15" i="1"/>
  <c r="CO15" i="1" s="1"/>
  <c r="BB14" i="1"/>
  <c r="CO14" i="1" s="1"/>
  <c r="BB13" i="1"/>
  <c r="CO13" i="1" s="1"/>
  <c r="BB12" i="1"/>
  <c r="CO12" i="1" s="1"/>
  <c r="BB11" i="1"/>
  <c r="CO11" i="1" s="1"/>
  <c r="AC87" i="1"/>
  <c r="BV22" i="1" s="1"/>
  <c r="AB87" i="1"/>
  <c r="BU22" i="1" s="1"/>
  <c r="AD86" i="1"/>
  <c r="AD85" i="1"/>
  <c r="AD84" i="1"/>
  <c r="AD83" i="1"/>
  <c r="AD82" i="1"/>
  <c r="AD81" i="1"/>
  <c r="AD80" i="1"/>
  <c r="AE80" i="1" s="1"/>
  <c r="AC75" i="1"/>
  <c r="BV21" i="1" s="1"/>
  <c r="AB75" i="1"/>
  <c r="BU21" i="1" s="1"/>
  <c r="AD74" i="1"/>
  <c r="AD73" i="1"/>
  <c r="AD72" i="1"/>
  <c r="AD71" i="1"/>
  <c r="AD70" i="1"/>
  <c r="AD69" i="1"/>
  <c r="AD68" i="1"/>
  <c r="AC63" i="1"/>
  <c r="BV20" i="1" s="1"/>
  <c r="CI20" i="1" s="1"/>
  <c r="CK20" i="1" s="1"/>
  <c r="CN20" i="1" s="1"/>
  <c r="CR20" i="1" s="1"/>
  <c r="AB63" i="1"/>
  <c r="BU20" i="1" s="1"/>
  <c r="W63" i="1"/>
  <c r="BV15" i="1" s="1"/>
  <c r="CI15" i="1" s="1"/>
  <c r="CK15" i="1" s="1"/>
  <c r="CN15" i="1" s="1"/>
  <c r="CR15" i="1" s="1"/>
  <c r="V63" i="1"/>
  <c r="BU15" i="1" s="1"/>
  <c r="AD62" i="1"/>
  <c r="X62" i="1"/>
  <c r="AD61" i="1"/>
  <c r="X61" i="1"/>
  <c r="AD60" i="1"/>
  <c r="X60" i="1"/>
  <c r="AD59" i="1"/>
  <c r="X59" i="1"/>
  <c r="AD58" i="1"/>
  <c r="X58" i="1"/>
  <c r="AD57" i="1"/>
  <c r="X57" i="1"/>
  <c r="AD56" i="1"/>
  <c r="X56" i="1"/>
  <c r="Y56" i="1" s="1"/>
  <c r="AC51" i="1"/>
  <c r="BV19" i="1" s="1"/>
  <c r="CI19" i="1" s="1"/>
  <c r="CK19" i="1" s="1"/>
  <c r="CN19" i="1" s="1"/>
  <c r="CR19" i="1" s="1"/>
  <c r="AB51" i="1"/>
  <c r="BU19" i="1" s="1"/>
  <c r="W51" i="1"/>
  <c r="BV14" i="1" s="1"/>
  <c r="CI14" i="1" s="1"/>
  <c r="CK14" i="1" s="1"/>
  <c r="CN14" i="1" s="1"/>
  <c r="V51" i="1"/>
  <c r="BU14" i="1" s="1"/>
  <c r="AD50" i="1"/>
  <c r="X50" i="1"/>
  <c r="AD49" i="1"/>
  <c r="X49" i="1"/>
  <c r="AD48" i="1"/>
  <c r="X48" i="1"/>
  <c r="AD47" i="1"/>
  <c r="X47" i="1"/>
  <c r="AD46" i="1"/>
  <c r="X46" i="1"/>
  <c r="AD45" i="1"/>
  <c r="X45" i="1"/>
  <c r="AD44" i="1"/>
  <c r="AE44" i="1" s="1"/>
  <c r="X44" i="1"/>
  <c r="AC39" i="1"/>
  <c r="BV18" i="1" s="1"/>
  <c r="CI18" i="1" s="1"/>
  <c r="CK18" i="1" s="1"/>
  <c r="CN18" i="1" s="1"/>
  <c r="AB39" i="1"/>
  <c r="BU18" i="1" s="1"/>
  <c r="W39" i="1"/>
  <c r="BV13" i="1" s="1"/>
  <c r="CI13" i="1" s="1"/>
  <c r="CK13" i="1" s="1"/>
  <c r="CN13" i="1" s="1"/>
  <c r="CR13" i="1" s="1"/>
  <c r="V39" i="1"/>
  <c r="BU13" i="1" s="1"/>
  <c r="AD38" i="1"/>
  <c r="X38" i="1"/>
  <c r="AD37" i="1"/>
  <c r="X37" i="1"/>
  <c r="AD36" i="1"/>
  <c r="X36" i="1"/>
  <c r="AD35" i="1"/>
  <c r="X35" i="1"/>
  <c r="AD34" i="1"/>
  <c r="X34" i="1"/>
  <c r="AD33" i="1"/>
  <c r="X33" i="1"/>
  <c r="AD32" i="1"/>
  <c r="AE32" i="1" s="1"/>
  <c r="X32" i="1"/>
  <c r="Y32" i="1" s="1"/>
  <c r="AC27" i="1"/>
  <c r="BV17" i="1" s="1"/>
  <c r="CI17" i="1" s="1"/>
  <c r="CK17" i="1" s="1"/>
  <c r="CN17" i="1" s="1"/>
  <c r="CR17" i="1" s="1"/>
  <c r="AB27" i="1"/>
  <c r="BU17" i="1" s="1"/>
  <c r="W27" i="1"/>
  <c r="BV12" i="1" s="1"/>
  <c r="CI12" i="1" s="1"/>
  <c r="CK12" i="1" s="1"/>
  <c r="CN12" i="1" s="1"/>
  <c r="V27" i="1"/>
  <c r="BU12" i="1" s="1"/>
  <c r="AD26" i="1"/>
  <c r="X26" i="1"/>
  <c r="AD25" i="1"/>
  <c r="X25" i="1"/>
  <c r="AD24" i="1"/>
  <c r="X24" i="1"/>
  <c r="AD23" i="1"/>
  <c r="X23" i="1"/>
  <c r="AD22" i="1"/>
  <c r="X22" i="1"/>
  <c r="AD21" i="1"/>
  <c r="X21" i="1"/>
  <c r="AD20" i="1"/>
  <c r="AE20" i="1" s="1"/>
  <c r="X20" i="1"/>
  <c r="AC15" i="1"/>
  <c r="BV16" i="1" s="1"/>
  <c r="CI16" i="1" s="1"/>
  <c r="CK16" i="1" s="1"/>
  <c r="CN16" i="1" s="1"/>
  <c r="CR16" i="1" s="1"/>
  <c r="AB15" i="1"/>
  <c r="BU16" i="1" s="1"/>
  <c r="AD14" i="1"/>
  <c r="X14" i="1"/>
  <c r="AD13" i="1"/>
  <c r="X13" i="1"/>
  <c r="AD12" i="1"/>
  <c r="X12" i="1"/>
  <c r="AD11" i="1"/>
  <c r="W11" i="1"/>
  <c r="W15" i="1" s="1"/>
  <c r="BV11" i="1" s="1"/>
  <c r="CI11" i="1" s="1"/>
  <c r="V11" i="1"/>
  <c r="V15" i="1" s="1"/>
  <c r="BU11" i="1" s="1"/>
  <c r="AD10" i="1"/>
  <c r="X10" i="1"/>
  <c r="AD9" i="1"/>
  <c r="X9" i="1"/>
  <c r="AD8" i="1"/>
  <c r="AE8" i="1" s="1"/>
  <c r="X8" i="1"/>
  <c r="Y8" i="1" s="1"/>
  <c r="CX8" i="3"/>
  <c r="CY8" i="3" s="1"/>
  <c r="DD8" i="3"/>
  <c r="DE8" i="3" s="1"/>
  <c r="DE9" i="3" s="1"/>
  <c r="DE10" i="3" s="1"/>
  <c r="DE11" i="3" s="1"/>
  <c r="DE12" i="3" s="1"/>
  <c r="DE13" i="3" s="1"/>
  <c r="DE14" i="3" s="1"/>
  <c r="CX9" i="3"/>
  <c r="DD9" i="3"/>
  <c r="CX10" i="3"/>
  <c r="DD10" i="3"/>
  <c r="CV11" i="3"/>
  <c r="CW11" i="3"/>
  <c r="CX11" i="3" s="1"/>
  <c r="DD11" i="3"/>
  <c r="CX12" i="3"/>
  <c r="DD12" i="3"/>
  <c r="CX13" i="3"/>
  <c r="DD13" i="3"/>
  <c r="CX14" i="3"/>
  <c r="DD14" i="3"/>
  <c r="CV15" i="3"/>
  <c r="DI8" i="3" s="1"/>
  <c r="CW15" i="3"/>
  <c r="DJ8" i="3" s="1"/>
  <c r="DB15" i="3"/>
  <c r="DI13" i="3" s="1"/>
  <c r="DC15" i="3"/>
  <c r="DJ13" i="3" s="1"/>
  <c r="CX20" i="3"/>
  <c r="CY20" i="3" s="1"/>
  <c r="DD20" i="3"/>
  <c r="DE20" i="3" s="1"/>
  <c r="CX21" i="3"/>
  <c r="DD21" i="3"/>
  <c r="CX22" i="3"/>
  <c r="DD22" i="3"/>
  <c r="CX23" i="3"/>
  <c r="DD23" i="3"/>
  <c r="CX24" i="3"/>
  <c r="DD24" i="3"/>
  <c r="CX25" i="3"/>
  <c r="DD25" i="3"/>
  <c r="CX26" i="3"/>
  <c r="DD26" i="3"/>
  <c r="CV27" i="3"/>
  <c r="DI9" i="3" s="1"/>
  <c r="DK9" i="3" s="1"/>
  <c r="CW27" i="3"/>
  <c r="DJ9" i="3" s="1"/>
  <c r="DB27" i="3"/>
  <c r="DI14" i="3" s="1"/>
  <c r="DC27" i="3"/>
  <c r="DJ14" i="3" s="1"/>
  <c r="CX32" i="3"/>
  <c r="CY32" i="3" s="1"/>
  <c r="DD32" i="3"/>
  <c r="DE32" i="3" s="1"/>
  <c r="DE33" i="3" s="1"/>
  <c r="CX33" i="3"/>
  <c r="DD33" i="3"/>
  <c r="CX34" i="3"/>
  <c r="DD34" i="3"/>
  <c r="CX35" i="3"/>
  <c r="DD35" i="3"/>
  <c r="CX36" i="3"/>
  <c r="DD36" i="3"/>
  <c r="CX37" i="3"/>
  <c r="DD37" i="3"/>
  <c r="CX38" i="3"/>
  <c r="DD38" i="3"/>
  <c r="CV39" i="3"/>
  <c r="DI10" i="3" s="1"/>
  <c r="CW39" i="3"/>
  <c r="DJ10" i="3" s="1"/>
  <c r="DB39" i="3"/>
  <c r="DI15" i="3" s="1"/>
  <c r="DC39" i="3"/>
  <c r="DJ15" i="3" s="1"/>
  <c r="CX44" i="3"/>
  <c r="CY44" i="3" s="1"/>
  <c r="CY45" i="3" s="1"/>
  <c r="CY46" i="3" s="1"/>
  <c r="CY47" i="3" s="1"/>
  <c r="CY48" i="3" s="1"/>
  <c r="CY49" i="3" s="1"/>
  <c r="CY50" i="3" s="1"/>
  <c r="DD44" i="3"/>
  <c r="DE44" i="3" s="1"/>
  <c r="CX45" i="3"/>
  <c r="DD45" i="3"/>
  <c r="CX46" i="3"/>
  <c r="DD46" i="3"/>
  <c r="CX47" i="3"/>
  <c r="DD47" i="3"/>
  <c r="CX48" i="3"/>
  <c r="DD48" i="3"/>
  <c r="CX49" i="3"/>
  <c r="DD49" i="3"/>
  <c r="CX50" i="3"/>
  <c r="DD50" i="3"/>
  <c r="CV51" i="3"/>
  <c r="DI11" i="3" s="1"/>
  <c r="CW51" i="3"/>
  <c r="DJ11" i="3" s="1"/>
  <c r="DB51" i="3"/>
  <c r="DI16" i="3" s="1"/>
  <c r="DC51" i="3"/>
  <c r="DJ16" i="3" s="1"/>
  <c r="CX56" i="3"/>
  <c r="CY56" i="3" s="1"/>
  <c r="DD56" i="3"/>
  <c r="CX57" i="3"/>
  <c r="DD57" i="3"/>
  <c r="CX58" i="3"/>
  <c r="DD58" i="3"/>
  <c r="CX59" i="3"/>
  <c r="DD59" i="3"/>
  <c r="CX60" i="3"/>
  <c r="DD60" i="3"/>
  <c r="CX61" i="3"/>
  <c r="DD61" i="3"/>
  <c r="CX62" i="3"/>
  <c r="DD62" i="3"/>
  <c r="CV63" i="3"/>
  <c r="DI12" i="3" s="1"/>
  <c r="DK12" i="3" s="1"/>
  <c r="CW63" i="3"/>
  <c r="DJ12" i="3" s="1"/>
  <c r="DB63" i="3"/>
  <c r="DI17" i="3" s="1"/>
  <c r="DC63" i="3"/>
  <c r="DJ17" i="3" s="1"/>
  <c r="DD68" i="3"/>
  <c r="DD69" i="3"/>
  <c r="DD70" i="3"/>
  <c r="DD71" i="3"/>
  <c r="DD72" i="3"/>
  <c r="DD73" i="3"/>
  <c r="DD74" i="3"/>
  <c r="DB75" i="3"/>
  <c r="DI18" i="3" s="1"/>
  <c r="DC75" i="3"/>
  <c r="DJ18" i="3" s="1"/>
  <c r="DD80" i="3"/>
  <c r="DE80" i="3" s="1"/>
  <c r="DD81" i="3"/>
  <c r="DD82" i="3"/>
  <c r="DD83" i="3"/>
  <c r="DD84" i="3"/>
  <c r="DD85" i="3"/>
  <c r="DD86" i="3"/>
  <c r="DB87" i="3"/>
  <c r="DI19" i="3" s="1"/>
  <c r="DC87" i="3"/>
  <c r="DJ19" i="3" s="1"/>
  <c r="DD51" i="3" l="1"/>
  <c r="DE34" i="3"/>
  <c r="DE35" i="3" s="1"/>
  <c r="DE36" i="3" s="1"/>
  <c r="DE37" i="3" s="1"/>
  <c r="DE38" i="3" s="1"/>
  <c r="CX63" i="3"/>
  <c r="CY57" i="3"/>
  <c r="CY58" i="3" s="1"/>
  <c r="CY59" i="3" s="1"/>
  <c r="CY60" i="3" s="1"/>
  <c r="CY61" i="3" s="1"/>
  <c r="CY62" i="3" s="1"/>
  <c r="DD87" i="3"/>
  <c r="DE81" i="3"/>
  <c r="DE82" i="3" s="1"/>
  <c r="DE83" i="3" s="1"/>
  <c r="DE84" i="3" s="1"/>
  <c r="DE85" i="3" s="1"/>
  <c r="DE86" i="3" s="1"/>
  <c r="DE45" i="3"/>
  <c r="DE46" i="3" s="1"/>
  <c r="DE47" i="3" s="1"/>
  <c r="DE48" i="3" s="1"/>
  <c r="DE49" i="3" s="1"/>
  <c r="DE50" i="3" s="1"/>
  <c r="DE21" i="3"/>
  <c r="DE22" i="3" s="1"/>
  <c r="DE23" i="3" s="1"/>
  <c r="DE24" i="3" s="1"/>
  <c r="DE25" i="3" s="1"/>
  <c r="DE26" i="3" s="1"/>
  <c r="CX39" i="3"/>
  <c r="DD63" i="3"/>
  <c r="DK16" i="3"/>
  <c r="DK14" i="3"/>
  <c r="CY9" i="3"/>
  <c r="CY10" i="3" s="1"/>
  <c r="CY11" i="3" s="1"/>
  <c r="CY12" i="3" s="1"/>
  <c r="CY13" i="3" s="1"/>
  <c r="CY14" i="3" s="1"/>
  <c r="CX51" i="3"/>
  <c r="DD39" i="3"/>
  <c r="DD75" i="3"/>
  <c r="CY33" i="3"/>
  <c r="CY34" i="3" s="1"/>
  <c r="CY35" i="3" s="1"/>
  <c r="CY36" i="3" s="1"/>
  <c r="CY37" i="3" s="1"/>
  <c r="CY38" i="3" s="1"/>
  <c r="DD27" i="3"/>
  <c r="CY21" i="3"/>
  <c r="CY22" i="3" s="1"/>
  <c r="CY23" i="3" s="1"/>
  <c r="CY24" i="3" s="1"/>
  <c r="CY25" i="3" s="1"/>
  <c r="CY26" i="3" s="1"/>
  <c r="DD15" i="3"/>
  <c r="CK11" i="1"/>
  <c r="CN11" i="1" s="1"/>
  <c r="CR11" i="1" s="1"/>
  <c r="CI22" i="1"/>
  <c r="CR12" i="1"/>
  <c r="CN22" i="1"/>
  <c r="Y23" i="2" s="1"/>
  <c r="CR18" i="1"/>
  <c r="CR14" i="1"/>
  <c r="CO22" i="1"/>
  <c r="Y22" i="2" s="1"/>
  <c r="BL107" i="1"/>
  <c r="BI107" i="1"/>
  <c r="Y9" i="1"/>
  <c r="Y10" i="1" s="1"/>
  <c r="BK107" i="1"/>
  <c r="BM95" i="1"/>
  <c r="BM107" i="1" s="1"/>
  <c r="BB22" i="1"/>
  <c r="Y57" i="1"/>
  <c r="Y58" i="1" s="1"/>
  <c r="Y59" i="1" s="1"/>
  <c r="Y60" i="1" s="1"/>
  <c r="Y61" i="1" s="1"/>
  <c r="Y62" i="1" s="1"/>
  <c r="X51" i="1"/>
  <c r="AD51" i="1"/>
  <c r="AE21" i="1"/>
  <c r="AE22" i="1" s="1"/>
  <c r="AE23" i="1" s="1"/>
  <c r="AE24" i="1" s="1"/>
  <c r="AE25" i="1" s="1"/>
  <c r="AE26" i="1" s="1"/>
  <c r="Y33" i="1"/>
  <c r="Y34" i="1" s="1"/>
  <c r="Y35" i="1" s="1"/>
  <c r="Y36" i="1" s="1"/>
  <c r="Y37" i="1" s="1"/>
  <c r="Y38" i="1" s="1"/>
  <c r="AE33" i="1"/>
  <c r="AE34" i="1" s="1"/>
  <c r="AE35" i="1" s="1"/>
  <c r="AE36" i="1" s="1"/>
  <c r="AE37" i="1" s="1"/>
  <c r="AE38" i="1" s="1"/>
  <c r="AD27" i="1"/>
  <c r="AD63" i="1"/>
  <c r="AE56" i="1"/>
  <c r="AE57" i="1" s="1"/>
  <c r="AE58" i="1" s="1"/>
  <c r="AE59" i="1" s="1"/>
  <c r="AE60" i="1" s="1"/>
  <c r="AE61" i="1" s="1"/>
  <c r="AE62" i="1" s="1"/>
  <c r="X63" i="1"/>
  <c r="AD75" i="1"/>
  <c r="AE68" i="1"/>
  <c r="AE69" i="1" s="1"/>
  <c r="AE70" i="1" s="1"/>
  <c r="AE71" i="1" s="1"/>
  <c r="AE72" i="1" s="1"/>
  <c r="AE73" i="1" s="1"/>
  <c r="AE74" i="1" s="1"/>
  <c r="AE9" i="1"/>
  <c r="AE10" i="1" s="1"/>
  <c r="AE11" i="1" s="1"/>
  <c r="AE12" i="1" s="1"/>
  <c r="AE13" i="1" s="1"/>
  <c r="AE14" i="1" s="1"/>
  <c r="X27" i="1"/>
  <c r="Y44" i="1"/>
  <c r="Y45" i="1" s="1"/>
  <c r="Y46" i="1" s="1"/>
  <c r="Y47" i="1" s="1"/>
  <c r="Y48" i="1" s="1"/>
  <c r="Y49" i="1" s="1"/>
  <c r="Y50" i="1" s="1"/>
  <c r="AD87" i="1"/>
  <c r="Y20" i="1"/>
  <c r="Y21" i="1" s="1"/>
  <c r="Y22" i="1" s="1"/>
  <c r="Y23" i="1" s="1"/>
  <c r="Y24" i="1" s="1"/>
  <c r="Y25" i="1" s="1"/>
  <c r="Y26" i="1" s="1"/>
  <c r="X39" i="1"/>
  <c r="AE45" i="1"/>
  <c r="AE46" i="1" s="1"/>
  <c r="AE47" i="1" s="1"/>
  <c r="AE48" i="1" s="1"/>
  <c r="AE49" i="1" s="1"/>
  <c r="AE50" i="1" s="1"/>
  <c r="AE81" i="1"/>
  <c r="AE82" i="1" s="1"/>
  <c r="AE83" i="1" s="1"/>
  <c r="AE84" i="1" s="1"/>
  <c r="AE85" i="1" s="1"/>
  <c r="AE86" i="1" s="1"/>
  <c r="AD39" i="1"/>
  <c r="X11" i="1"/>
  <c r="DK19" i="3"/>
  <c r="DK18" i="3"/>
  <c r="DK11" i="3"/>
  <c r="DK17" i="3"/>
  <c r="DK15" i="3"/>
  <c r="DK13" i="3"/>
  <c r="DJ21" i="3"/>
  <c r="DJ22" i="3"/>
  <c r="DI21" i="3"/>
  <c r="DK10" i="3"/>
  <c r="DI22" i="3"/>
  <c r="DK8" i="3"/>
  <c r="DE68" i="3"/>
  <c r="DE69" i="3" s="1"/>
  <c r="DE70" i="3" s="1"/>
  <c r="DE71" i="3" s="1"/>
  <c r="DE72" i="3" s="1"/>
  <c r="DE73" i="3" s="1"/>
  <c r="DE74" i="3" s="1"/>
  <c r="DE56" i="3"/>
  <c r="DE57" i="3" s="1"/>
  <c r="DE58" i="3" s="1"/>
  <c r="DE59" i="3" s="1"/>
  <c r="DE60" i="3" s="1"/>
  <c r="DE61" i="3" s="1"/>
  <c r="DE62" i="3" s="1"/>
  <c r="CX15" i="3"/>
  <c r="CX27" i="3"/>
  <c r="D4" i="8" l="1"/>
  <c r="U33" i="2"/>
  <c r="CR22" i="1"/>
  <c r="Y11" i="1"/>
  <c r="Y12" i="1" s="1"/>
  <c r="Y13" i="1" s="1"/>
  <c r="Y14" i="1" s="1"/>
  <c r="X15" i="1"/>
  <c r="DK22" i="3"/>
  <c r="DK21" i="3"/>
  <c r="F4" i="8" l="1"/>
  <c r="U37" i="2"/>
  <c r="U36" i="2" s="1"/>
  <c r="U39" i="2" s="1"/>
  <c r="U41" i="2"/>
  <c r="F33" i="7"/>
  <c r="F25" i="7" l="1"/>
  <c r="Y14" i="2" l="1"/>
  <c r="F26" i="7" l="1"/>
  <c r="Y15" i="2"/>
  <c r="X24" i="2"/>
  <c r="F34" i="7" s="1"/>
  <c r="F46" i="7" l="1"/>
  <c r="F43" i="7"/>
  <c r="F40" i="7"/>
  <c r="DO20" i="5" l="1"/>
  <c r="BW57" i="1" s="1"/>
  <c r="DO19" i="5"/>
  <c r="BW56" i="1" s="1"/>
  <c r="DO18" i="5"/>
  <c r="DO17" i="5"/>
  <c r="DO16" i="5"/>
  <c r="BW53" i="1" s="1"/>
  <c r="DO15" i="5"/>
  <c r="BW52" i="1" s="1"/>
  <c r="DO14" i="5"/>
  <c r="DO13" i="5"/>
  <c r="DO12" i="5"/>
  <c r="BW49" i="1" s="1"/>
  <c r="DO11" i="5"/>
  <c r="BW48" i="1" s="1"/>
  <c r="AJ107" i="5"/>
  <c r="AK107" i="5"/>
  <c r="BW50" i="1" l="1"/>
  <c r="BW54" i="1"/>
  <c r="DO22" i="5"/>
  <c r="F37" i="7" s="1"/>
  <c r="BW51" i="1"/>
  <c r="BW55" i="1"/>
  <c r="AO95" i="5"/>
  <c r="AN95" i="5"/>
  <c r="AL95" i="5"/>
  <c r="BY48" i="1" l="1"/>
  <c r="AP95" i="5"/>
  <c r="BU52" i="1"/>
  <c r="BU50" i="1" l="1"/>
  <c r="BU49" i="1"/>
  <c r="BW13" i="1"/>
  <c r="BY13" i="1" s="1"/>
  <c r="BU51" i="1"/>
  <c r="BW15" i="1"/>
  <c r="BY15" i="1" s="1"/>
  <c r="BW14" i="1"/>
  <c r="BY14" i="1" s="1"/>
  <c r="BW12" i="1"/>
  <c r="BX12" i="1" s="1"/>
  <c r="CD7" i="1"/>
  <c r="CD8" i="1" s="1"/>
  <c r="CD9" i="1" s="1"/>
  <c r="CD10" i="1" s="1"/>
  <c r="CD11" i="1" s="1"/>
  <c r="BX13" i="1" l="1"/>
  <c r="BZ13" i="1" s="1"/>
  <c r="BY12" i="1"/>
  <c r="BZ12" i="1" s="1"/>
  <c r="BX14" i="1"/>
  <c r="BZ14" i="1" s="1"/>
  <c r="BX15" i="1"/>
  <c r="BZ15" i="1" s="1"/>
  <c r="BU48" i="1"/>
  <c r="CD12" i="1"/>
  <c r="F32" i="7"/>
  <c r="F35" i="7" l="1"/>
  <c r="BW11" i="1"/>
  <c r="BY11" i="1" s="1"/>
  <c r="CF11" i="1" s="1"/>
  <c r="F36" i="7"/>
  <c r="CD13" i="1"/>
  <c r="CF12" i="1"/>
  <c r="CE12" i="1"/>
  <c r="F27" i="7"/>
  <c r="BV49" i="1" l="1"/>
  <c r="BX49" i="1" s="1"/>
  <c r="DP12" i="5" s="1"/>
  <c r="DQ12" i="5" s="1"/>
  <c r="CU12" i="1"/>
  <c r="CX12" i="1" s="1"/>
  <c r="BV48" i="1"/>
  <c r="BX48" i="1" s="1"/>
  <c r="BZ48" i="1" s="1"/>
  <c r="BX11" i="1"/>
  <c r="CE11" i="1" s="1"/>
  <c r="CD14" i="1"/>
  <c r="CE13" i="1"/>
  <c r="CF13" i="1"/>
  <c r="AL105" i="5"/>
  <c r="AP105" i="5" s="1"/>
  <c r="AL104" i="5"/>
  <c r="AL103" i="5"/>
  <c r="AL102" i="5"/>
  <c r="AL101" i="5"/>
  <c r="AL100" i="5"/>
  <c r="AL99" i="5"/>
  <c r="AL98" i="5"/>
  <c r="AL97" i="5"/>
  <c r="AL96" i="5"/>
  <c r="DP11" i="5" l="1"/>
  <c r="DQ11" i="5" s="1"/>
  <c r="DA12" i="1"/>
  <c r="CZ12" i="1"/>
  <c r="CY12" i="1"/>
  <c r="DB12" i="1"/>
  <c r="BV50" i="1"/>
  <c r="BX50" i="1" s="1"/>
  <c r="DP13" i="5" s="1"/>
  <c r="DQ13" i="5" s="1"/>
  <c r="CU13" i="1"/>
  <c r="CX13" i="1" s="1"/>
  <c r="BZ11" i="1"/>
  <c r="AL107" i="5"/>
  <c r="U40" i="2" s="1"/>
  <c r="U43" i="2" s="1"/>
  <c r="AP102" i="5"/>
  <c r="BY55" i="1"/>
  <c r="AP99" i="5"/>
  <c r="BY52" i="1"/>
  <c r="AP103" i="5"/>
  <c r="BY56" i="1"/>
  <c r="AP97" i="5"/>
  <c r="BY50" i="1"/>
  <c r="AP101" i="5"/>
  <c r="BY54" i="1"/>
  <c r="AP98" i="5"/>
  <c r="BY51" i="1"/>
  <c r="AP96" i="5"/>
  <c r="BY49" i="1"/>
  <c r="BZ49" i="1" s="1"/>
  <c r="AP100" i="5"/>
  <c r="BY53" i="1"/>
  <c r="AP104" i="5"/>
  <c r="BY57" i="1"/>
  <c r="CD15" i="1"/>
  <c r="CF14" i="1"/>
  <c r="CE14" i="1"/>
  <c r="AO105" i="5"/>
  <c r="AO104" i="5"/>
  <c r="AO103" i="5"/>
  <c r="AO102" i="5"/>
  <c r="AO101" i="5"/>
  <c r="AO100" i="5"/>
  <c r="AO99" i="5"/>
  <c r="AO98" i="5"/>
  <c r="AO97" i="5"/>
  <c r="AN105" i="5"/>
  <c r="AN104" i="5"/>
  <c r="AN103" i="5"/>
  <c r="AN102" i="5"/>
  <c r="AN101" i="5"/>
  <c r="AN100" i="5"/>
  <c r="AN99" i="5"/>
  <c r="AN98" i="5"/>
  <c r="AN97" i="5"/>
  <c r="AO96" i="5"/>
  <c r="AN96" i="5"/>
  <c r="BZ50" i="1" l="1"/>
  <c r="CY13" i="1"/>
  <c r="DB13" i="1"/>
  <c r="DA13" i="1"/>
  <c r="CZ13" i="1"/>
  <c r="BV51" i="1"/>
  <c r="BX51" i="1" s="1"/>
  <c r="DP14" i="5" s="1"/>
  <c r="DQ14" i="5" s="1"/>
  <c r="CU14" i="1"/>
  <c r="CX14" i="1" s="1"/>
  <c r="F45" i="7"/>
  <c r="F47" i="7"/>
  <c r="AN107" i="5"/>
  <c r="AO107" i="5"/>
  <c r="AP107" i="5"/>
  <c r="CD16" i="1"/>
  <c r="CE15" i="1"/>
  <c r="CF15" i="1"/>
  <c r="DA14" i="1" l="1"/>
  <c r="CZ14" i="1"/>
  <c r="CY14" i="1"/>
  <c r="DB14" i="1"/>
  <c r="BZ51" i="1"/>
  <c r="BV52" i="1"/>
  <c r="BX52" i="1" s="1"/>
  <c r="DP15" i="5" s="1"/>
  <c r="DQ15" i="5" s="1"/>
  <c r="CU15" i="1"/>
  <c r="CX15" i="1" s="1"/>
  <c r="CD17" i="1"/>
  <c r="CD22" i="1" s="1"/>
  <c r="DY42" i="3"/>
  <c r="U8" i="2" s="1"/>
  <c r="F6" i="7" s="1"/>
  <c r="DX42" i="3"/>
  <c r="U7" i="2" s="1"/>
  <c r="F5" i="7" s="1"/>
  <c r="DW42" i="3"/>
  <c r="U6" i="2" s="1"/>
  <c r="F4" i="7" s="1"/>
  <c r="DV42" i="3"/>
  <c r="U5" i="2" s="1"/>
  <c r="F3" i="7" s="1"/>
  <c r="DZ41" i="3"/>
  <c r="DZ40" i="3"/>
  <c r="DZ39" i="3"/>
  <c r="DZ38" i="3"/>
  <c r="DZ37" i="3"/>
  <c r="DZ36" i="3"/>
  <c r="DZ35" i="3"/>
  <c r="DZ34" i="3"/>
  <c r="DZ33" i="3"/>
  <c r="DZ32" i="3"/>
  <c r="BZ52" i="1" l="1"/>
  <c r="CY15" i="1"/>
  <c r="DB15" i="1"/>
  <c r="DA15" i="1"/>
  <c r="CZ15" i="1"/>
  <c r="DZ42" i="3"/>
  <c r="CK48" i="3"/>
  <c r="CH48" i="3"/>
  <c r="CE48" i="3"/>
  <c r="CC48" i="3"/>
  <c r="CM48" i="3" l="1"/>
  <c r="CC49" i="3" s="1"/>
  <c r="DI26" i="3" s="1"/>
  <c r="DI28" i="3" l="1"/>
  <c r="DI32" i="3"/>
  <c r="DI33" i="3"/>
  <c r="DI31" i="3"/>
  <c r="DI30" i="3"/>
  <c r="DI34" i="3"/>
  <c r="DI35" i="3"/>
  <c r="DI37" i="3"/>
  <c r="DI36" i="3"/>
  <c r="DI29" i="3"/>
  <c r="BU56" i="1"/>
  <c r="BU55" i="1"/>
  <c r="BU57" i="1"/>
  <c r="CK49" i="3"/>
  <c r="DL24" i="3" s="1"/>
  <c r="CH49" i="3"/>
  <c r="DK26" i="3" s="1"/>
  <c r="CE49" i="3"/>
  <c r="DJ26" i="3" s="1"/>
  <c r="DL29" i="3" l="1"/>
  <c r="DL31" i="3"/>
  <c r="DL28" i="3"/>
  <c r="DL32" i="3"/>
  <c r="DL33" i="3"/>
  <c r="DL30" i="3"/>
  <c r="DL34" i="3"/>
  <c r="DL26" i="3"/>
  <c r="DM26" i="3" s="1"/>
  <c r="DL27" i="3"/>
  <c r="DM27" i="3" s="1"/>
  <c r="DL35" i="3"/>
  <c r="DJ31" i="3"/>
  <c r="DM31" i="3" s="1"/>
  <c r="DJ28" i="3"/>
  <c r="DJ32" i="3"/>
  <c r="DJ33" i="3"/>
  <c r="DJ30" i="3"/>
  <c r="DM30" i="3" s="1"/>
  <c r="DJ34" i="3"/>
  <c r="DJ35" i="3"/>
  <c r="DJ37" i="3"/>
  <c r="DJ36" i="3"/>
  <c r="DJ29" i="3"/>
  <c r="DK31" i="3"/>
  <c r="DK28" i="3"/>
  <c r="DM28" i="3" s="1"/>
  <c r="DK32" i="3"/>
  <c r="DK33" i="3"/>
  <c r="DK30" i="3"/>
  <c r="DK34" i="3"/>
  <c r="DK35" i="3"/>
  <c r="DM35" i="3" s="1"/>
  <c r="DK37" i="3"/>
  <c r="DK36" i="3"/>
  <c r="DK29" i="3"/>
  <c r="DM29" i="3" s="1"/>
  <c r="DI39" i="3"/>
  <c r="DI40" i="3"/>
  <c r="BW21" i="1"/>
  <c r="BW22" i="1"/>
  <c r="BW17" i="1"/>
  <c r="BW20" i="1"/>
  <c r="BW18" i="1"/>
  <c r="BW19" i="1"/>
  <c r="CM49" i="3"/>
  <c r="Y5" i="2"/>
  <c r="DM34" i="3" l="1"/>
  <c r="DM33" i="3"/>
  <c r="DM32" i="3"/>
  <c r="DK40" i="3"/>
  <c r="DK39" i="3"/>
  <c r="DJ39" i="3"/>
  <c r="DJ40" i="3"/>
  <c r="DL38" i="3"/>
  <c r="DL37" i="3"/>
  <c r="BY19" i="1"/>
  <c r="CF19" i="1" s="1"/>
  <c r="BX19" i="1"/>
  <c r="BY22" i="1"/>
  <c r="BX22" i="1"/>
  <c r="BX18" i="1"/>
  <c r="BY18" i="1"/>
  <c r="CF18" i="1" s="1"/>
  <c r="BX17" i="1"/>
  <c r="BX21" i="1"/>
  <c r="BY21" i="1"/>
  <c r="BY20" i="1"/>
  <c r="CF20" i="1" s="1"/>
  <c r="BX20" i="1"/>
  <c r="U15" i="2"/>
  <c r="BV57" i="1" l="1"/>
  <c r="BX57" i="1" s="1"/>
  <c r="BZ57" i="1" s="1"/>
  <c r="CU20" i="1"/>
  <c r="CX20" i="1" s="1"/>
  <c r="BV56" i="1"/>
  <c r="BX56" i="1" s="1"/>
  <c r="DP19" i="5" s="1"/>
  <c r="DQ19" i="5" s="1"/>
  <c r="CU19" i="1"/>
  <c r="CX19" i="1" s="1"/>
  <c r="BV55" i="1"/>
  <c r="BX55" i="1" s="1"/>
  <c r="DP18" i="5" s="1"/>
  <c r="DQ18" i="5" s="1"/>
  <c r="CU18" i="1"/>
  <c r="CX18" i="1" s="1"/>
  <c r="BZ22" i="1"/>
  <c r="CE17" i="1"/>
  <c r="CE20" i="1"/>
  <c r="BZ20" i="1"/>
  <c r="BZ19" i="1"/>
  <c r="CE19" i="1"/>
  <c r="BZ21" i="1"/>
  <c r="BZ18" i="1"/>
  <c r="CE18" i="1"/>
  <c r="EA40" i="3"/>
  <c r="EB40" i="3" s="1"/>
  <c r="EA36" i="3"/>
  <c r="EA35" i="3"/>
  <c r="EB35" i="3" s="1"/>
  <c r="EA41" i="3"/>
  <c r="EB41" i="3" s="1"/>
  <c r="EA34" i="3"/>
  <c r="EB34" i="3" s="1"/>
  <c r="F23" i="7"/>
  <c r="DP20" i="5" l="1"/>
  <c r="DQ20" i="5" s="1"/>
  <c r="BZ56" i="1"/>
  <c r="BZ55" i="1"/>
  <c r="DB19" i="1"/>
  <c r="DA19" i="1"/>
  <c r="CY19" i="1"/>
  <c r="CZ19" i="1"/>
  <c r="DA18" i="1"/>
  <c r="CZ18" i="1"/>
  <c r="CY18" i="1"/>
  <c r="DB18" i="1"/>
  <c r="DA20" i="1"/>
  <c r="DB20" i="1"/>
  <c r="CZ20" i="1"/>
  <c r="CY20" i="1"/>
  <c r="S166" i="4"/>
  <c r="S160" i="4"/>
  <c r="S153" i="4"/>
  <c r="S148" i="4"/>
  <c r="S142" i="4"/>
  <c r="S138" i="4"/>
  <c r="S134" i="4"/>
  <c r="S104" i="4"/>
  <c r="S90" i="4"/>
  <c r="S84" i="4"/>
  <c r="S78" i="4"/>
  <c r="S69" i="4"/>
  <c r="S60" i="4"/>
  <c r="S54" i="4"/>
  <c r="S48" i="4"/>
  <c r="S34" i="4"/>
  <c r="S24" i="4"/>
  <c r="S18" i="4"/>
  <c r="S13" i="4"/>
  <c r="O4" i="4" l="1"/>
  <c r="S4" i="4"/>
  <c r="V14" i="2" s="1"/>
  <c r="V15" i="2" l="1"/>
  <c r="F24" i="7" s="1"/>
  <c r="F38" i="7" l="1"/>
  <c r="Y24" i="2"/>
  <c r="BW16" i="1"/>
  <c r="BX16" i="1" s="1"/>
  <c r="BU53" i="1"/>
  <c r="V8" i="2"/>
  <c r="F10" i="7" s="1"/>
  <c r="V7" i="2"/>
  <c r="F9" i="7" s="1"/>
  <c r="V6" i="2"/>
  <c r="F8" i="7" s="1"/>
  <c r="V5" i="2"/>
  <c r="F7" i="7" s="1"/>
  <c r="F22" i="7"/>
  <c r="F21" i="7"/>
  <c r="F20" i="7"/>
  <c r="F19" i="7"/>
  <c r="X8" i="2"/>
  <c r="X7" i="2"/>
  <c r="X6" i="2"/>
  <c r="X5" i="2"/>
  <c r="CE16" i="1" l="1"/>
  <c r="BY16" i="1"/>
  <c r="CF16" i="1" s="1"/>
  <c r="EA39" i="3"/>
  <c r="EB39" i="3" s="1"/>
  <c r="EA38" i="3"/>
  <c r="EB38" i="3" s="1"/>
  <c r="U9" i="2"/>
  <c r="E21" i="2" s="1"/>
  <c r="F12" i="7"/>
  <c r="F16" i="7"/>
  <c r="F13" i="7"/>
  <c r="F17" i="7"/>
  <c r="F14" i="7"/>
  <c r="F18" i="7"/>
  <c r="F11" i="7"/>
  <c r="F15" i="7"/>
  <c r="V9" i="2"/>
  <c r="E25" i="2" s="1"/>
  <c r="W9" i="2"/>
  <c r="Y9" i="2"/>
  <c r="E22" i="2" l="1"/>
  <c r="D7" i="8"/>
  <c r="V33" i="2" s="1"/>
  <c r="V32" i="2" s="1"/>
  <c r="V35" i="2" s="1"/>
  <c r="E24" i="2"/>
  <c r="D9" i="8"/>
  <c r="X33" i="2" s="1"/>
  <c r="X32" i="2" s="1"/>
  <c r="X35" i="2" s="1"/>
  <c r="BV53" i="1"/>
  <c r="BX53" i="1" s="1"/>
  <c r="DP16" i="5" s="1"/>
  <c r="DQ16" i="5" s="1"/>
  <c r="CU16" i="1"/>
  <c r="CX16" i="1" s="1"/>
  <c r="BZ16" i="1"/>
  <c r="EB36" i="3"/>
  <c r="EA37" i="3"/>
  <c r="EB37" i="3" s="1"/>
  <c r="X9" i="2"/>
  <c r="BY17" i="1"/>
  <c r="CF17" i="1" s="1"/>
  <c r="CU17" i="1" s="1"/>
  <c r="CX17" i="1" s="1"/>
  <c r="BU54" i="1"/>
  <c r="BU59" i="1" s="1"/>
  <c r="E23" i="2" l="1"/>
  <c r="D8" i="8"/>
  <c r="W33" i="2" s="1"/>
  <c r="W32" i="2" s="1"/>
  <c r="W35" i="2" s="1"/>
  <c r="BZ53" i="1"/>
  <c r="DA16" i="1"/>
  <c r="CZ16" i="1"/>
  <c r="DB16" i="1"/>
  <c r="CY16" i="1"/>
  <c r="DB17" i="1"/>
  <c r="CY17" i="1"/>
  <c r="DA17" i="1"/>
  <c r="CZ17" i="1"/>
  <c r="BV54" i="1"/>
  <c r="BX54" i="1" s="1"/>
  <c r="U32" i="2"/>
  <c r="U35" i="2" s="1"/>
  <c r="F44" i="7" s="1"/>
  <c r="F42" i="7"/>
  <c r="BZ17" i="1"/>
  <c r="DP17" i="5" l="1"/>
  <c r="DQ17" i="5" s="1"/>
  <c r="DQ22" i="5" s="1"/>
  <c r="BZ54" i="1"/>
  <c r="BZ59" i="1" s="1"/>
  <c r="BX59" i="1"/>
  <c r="CU11" i="1" l="1"/>
  <c r="CX11" i="1" s="1"/>
  <c r="CX22" i="1" s="1"/>
  <c r="V23" i="2" s="1"/>
  <c r="U23" i="2" s="1"/>
  <c r="F31" i="7" s="1"/>
  <c r="CU22" i="1" l="1"/>
  <c r="DB11" i="1"/>
  <c r="DB22" i="1" s="1"/>
  <c r="G4" i="8" s="1"/>
  <c r="DA11" i="1"/>
  <c r="DA22" i="1" s="1"/>
  <c r="V20" i="2" s="1"/>
  <c r="U20" i="2" s="1"/>
  <c r="CZ11" i="1"/>
  <c r="CZ22" i="1" s="1"/>
  <c r="V21" i="2" s="1"/>
  <c r="U21" i="2" s="1"/>
  <c r="F29" i="7" s="1"/>
  <c r="CY11" i="1"/>
  <c r="CY22" i="1" s="1"/>
  <c r="V22" i="2" s="1"/>
  <c r="U22" i="2" s="1"/>
  <c r="F30" i="7" s="1"/>
  <c r="G7" i="8" l="1"/>
  <c r="G8" i="8" s="1"/>
  <c r="J13" i="8"/>
  <c r="H4" i="8"/>
  <c r="U29" i="2"/>
  <c r="F28" i="7"/>
  <c r="U24" i="2"/>
  <c r="F68" i="2" s="1"/>
  <c r="V24" i="2"/>
  <c r="U28" i="2" l="1"/>
  <c r="U31" i="2" s="1"/>
  <c r="F41" i="7" s="1"/>
  <c r="F39" i="7"/>
  <c r="K5" i="8"/>
  <c r="J5" i="8" s="1"/>
  <c r="H5" i="8" s="1"/>
  <c r="F5" i="8"/>
  <c r="M5" i="8" s="1"/>
  <c r="N5" i="8" s="1"/>
  <c r="R14" i="8" s="1"/>
  <c r="E4" i="8"/>
  <c r="G5" i="8"/>
  <c r="K14" i="8"/>
  <c r="O14" i="8" s="1"/>
  <c r="P14" i="8" s="1"/>
  <c r="E7" i="8" l="1"/>
  <c r="H7" i="8" s="1"/>
  <c r="E8" i="8"/>
  <c r="H8" i="8" s="1"/>
  <c r="E9" i="8"/>
  <c r="H9" i="8" s="1"/>
  <c r="L13" i="8"/>
  <c r="D5" i="8"/>
  <c r="L18" i="8" l="1"/>
  <c r="M18" i="8" s="1"/>
  <c r="L17" i="8"/>
  <c r="M17" i="8" s="1"/>
  <c r="L16" i="8"/>
  <c r="M16" i="8" s="1"/>
  <c r="M14" i="8"/>
  <c r="K9" i="8"/>
  <c r="J9" i="8" s="1"/>
  <c r="X29" i="2"/>
  <c r="X28" i="2" s="1"/>
  <c r="X31" i="2" s="1"/>
  <c r="F9" i="8"/>
  <c r="W29" i="2"/>
  <c r="W28" i="2" s="1"/>
  <c r="W31" i="2" s="1"/>
  <c r="F8" i="8"/>
  <c r="K8" i="8"/>
  <c r="J8" i="8" s="1"/>
  <c r="V29" i="2"/>
  <c r="V28" i="2" s="1"/>
  <c r="V31" i="2" s="1"/>
  <c r="K7" i="8"/>
  <c r="J7" i="8" s="1"/>
  <c r="F7" i="8"/>
  <c r="M9" i="8" l="1"/>
  <c r="X37" i="2"/>
  <c r="X36" i="2" s="1"/>
  <c r="X39" i="2" s="1"/>
  <c r="V37" i="2"/>
  <c r="V36" i="2" s="1"/>
  <c r="V39" i="2" s="1"/>
  <c r="M7" i="8"/>
  <c r="W37" i="2"/>
  <c r="W36" i="2" s="1"/>
  <c r="W39" i="2" s="1"/>
  <c r="M8" i="8"/>
  <c r="N7" i="8" l="1"/>
  <c r="V41" i="2"/>
  <c r="V40" i="2" s="1"/>
  <c r="V43" i="2" s="1"/>
  <c r="N8" i="8"/>
  <c r="W41" i="2"/>
  <c r="W40" i="2" s="1"/>
  <c r="W43" i="2" s="1"/>
  <c r="N9" i="8"/>
  <c r="X41" i="2"/>
  <c r="X40" i="2" s="1"/>
  <c r="X43" i="2" l="1"/>
  <c r="Z20" i="2"/>
  <c r="Z24"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 Takata</author>
  </authors>
  <commentList>
    <comment ref="CX8" authorId="0" shapeId="0" xr:uid="{00000000-0006-0000-0300-000001000000}">
      <text>
        <r>
          <rPr>
            <b/>
            <sz val="8"/>
            <color indexed="81"/>
            <rFont val="Tahoma"/>
            <family val="2"/>
          </rPr>
          <t>H Takata:</t>
        </r>
        <r>
          <rPr>
            <sz val="8"/>
            <color indexed="81"/>
            <rFont val="Tahoma"/>
            <family val="2"/>
          </rPr>
          <t xml:space="preserve">
Most of these anglers are targeting salmon.</t>
        </r>
      </text>
    </comment>
    <comment ref="DD8" authorId="0" shapeId="0" xr:uid="{00000000-0006-0000-0300-000002000000}">
      <text>
        <r>
          <rPr>
            <b/>
            <sz val="8"/>
            <color indexed="81"/>
            <rFont val="Tahoma"/>
            <family val="2"/>
          </rPr>
          <t>H Takata:</t>
        </r>
        <r>
          <rPr>
            <sz val="8"/>
            <color indexed="81"/>
            <rFont val="Tahoma"/>
            <family val="2"/>
          </rPr>
          <t xml:space="preserve">
Many of these anglers probably targeting salmon.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 Takata</author>
  </authors>
  <commentList>
    <comment ref="AK8" authorId="0" shapeId="0" xr:uid="{7ED1410F-F0F1-4EBA-8701-F76F3A0BEBDA}">
      <text>
        <r>
          <rPr>
            <b/>
            <sz val="8"/>
            <color indexed="81"/>
            <rFont val="Tahoma"/>
            <family val="2"/>
          </rPr>
          <t>H Takata:</t>
        </r>
        <r>
          <rPr>
            <sz val="8"/>
            <color indexed="81"/>
            <rFont val="Tahoma"/>
            <family val="2"/>
          </rPr>
          <t xml:space="preserve">
Most of these anglers are targeting salmon.</t>
        </r>
      </text>
    </comment>
    <comment ref="AQ8" authorId="0" shapeId="0" xr:uid="{6C818F96-57E1-41EA-8080-326E32BD700C}">
      <text>
        <r>
          <rPr>
            <b/>
            <sz val="8"/>
            <color indexed="81"/>
            <rFont val="Tahoma"/>
            <family val="2"/>
          </rPr>
          <t>H Takata:</t>
        </r>
        <r>
          <rPr>
            <sz val="8"/>
            <color indexed="81"/>
            <rFont val="Tahoma"/>
            <family val="2"/>
          </rPr>
          <t xml:space="preserve">
Many of these anglers probably targeting salmon.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xxx</author>
  </authors>
  <commentList>
    <comment ref="P3" authorId="0" shapeId="0" xr:uid="{226680B1-43B4-4CC1-B6B2-A45E82A7840F}">
      <text>
        <r>
          <rPr>
            <b/>
            <sz val="9"/>
            <color indexed="81"/>
            <rFont val="Tahoma"/>
            <family val="2"/>
          </rPr>
          <t>from goal summary table</t>
        </r>
      </text>
    </comment>
    <comment ref="E4" authorId="0" shapeId="0" xr:uid="{13E94CDC-7732-4914-8E1B-808BF2F385FD}">
      <text>
        <r>
          <rPr>
            <b/>
            <sz val="9"/>
            <color indexed="81"/>
            <rFont val="Tahoma"/>
            <family val="2"/>
          </rPr>
          <t>For this example solved to force match to number of spawners (because averages don't always align perfectly)</t>
        </r>
      </text>
    </comment>
    <comment ref="Q7" authorId="0" shapeId="0" xr:uid="{7C1B80ED-DA2B-41D9-B4DD-627501154871}">
      <text>
        <r>
          <rPr>
            <b/>
            <sz val="9"/>
            <color indexed="81"/>
            <rFont val="Tahoma"/>
            <family val="2"/>
          </rPr>
          <t>need to select this so that total matches target (col M = col O)</t>
        </r>
      </text>
    </comment>
    <comment ref="Q8" authorId="0" shapeId="0" xr:uid="{8A60A07D-5C06-4D9B-90AA-19C192E14AA9}">
      <text>
        <r>
          <rPr>
            <b/>
            <sz val="9"/>
            <color indexed="81"/>
            <rFont val="Tahoma"/>
            <family val="2"/>
          </rPr>
          <t>need to select this so that total matches target (col M = col O)</t>
        </r>
      </text>
    </comment>
    <comment ref="G9" authorId="0" shapeId="0" xr:uid="{77D40F04-0019-40F2-8D0A-408536A97575}">
      <text>
        <r>
          <rPr>
            <b/>
            <sz val="9"/>
            <color indexed="81"/>
            <rFont val="Tahoma"/>
            <family val="2"/>
          </rPr>
          <t>need to select this so that total matches target (col M = col O)</t>
        </r>
      </text>
    </comment>
    <comment ref="Q9" authorId="0" shapeId="0" xr:uid="{F9A038B9-3B5D-417B-8842-E23A9E169358}">
      <text>
        <r>
          <rPr>
            <b/>
            <sz val="9"/>
            <color indexed="81"/>
            <rFont val="Tahoma"/>
            <family val="2"/>
          </rPr>
          <t>need to select this so that total matches target (col M = col O)</t>
        </r>
      </text>
    </comment>
    <comment ref="M12" authorId="0" shapeId="0" xr:uid="{DEB4ECB0-087D-4546-9F9B-0D163171EB27}">
      <text>
        <r>
          <rPr>
            <b/>
            <sz val="9"/>
            <color indexed="81"/>
            <rFont val="Tahoma"/>
            <family val="2"/>
          </rPr>
          <t>this ideally should include hatchery rack returns &amp; strays into natural spawning grounds</t>
        </r>
      </text>
    </comment>
    <comment ref="R12" authorId="0" shapeId="0" xr:uid="{7F6324F0-1A80-4A5D-A876-EEB6F0C76199}">
      <text>
        <r>
          <rPr>
            <b/>
            <sz val="9"/>
            <color indexed="81"/>
            <rFont val="Tahoma"/>
            <family val="2"/>
          </rPr>
          <t>from goal summary table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xxx</author>
  </authors>
  <commentList>
    <comment ref="H2" authorId="0" shapeId="0" xr:uid="{00000000-0006-0000-0600-000003000000}">
      <text>
        <r>
          <rPr>
            <b/>
            <u/>
            <sz val="9"/>
            <color indexed="81"/>
            <rFont val="Tahoma"/>
            <family val="2"/>
          </rPr>
          <t>Natural Production (eg)</t>
        </r>
        <r>
          <rPr>
            <b/>
            <sz val="9"/>
            <color indexed="81"/>
            <rFont val="Tahoma"/>
            <family val="2"/>
          </rPr>
          <t xml:space="preserve">
(current)
spawning ground survey 
dam count
weir count
EDT model (patient)
expert judgement
(historical)
Reference period estimate
EDT model (template)
Other model
Harvest expansion
???
(goals)
</t>
        </r>
        <r>
          <rPr>
            <b/>
            <u/>
            <sz val="9"/>
            <color indexed="81"/>
            <rFont val="Tahoma"/>
            <family val="2"/>
          </rPr>
          <t>Hatchery</t>
        </r>
        <r>
          <rPr>
            <b/>
            <sz val="9"/>
            <color indexed="81"/>
            <rFont val="Tahoma"/>
            <family val="2"/>
          </rPr>
          <t xml:space="preserve">
release
adult return</t>
        </r>
      </text>
    </comment>
    <comment ref="I2" authorId="0" shapeId="0" xr:uid="{00000000-0006-0000-0600-000004000000}">
      <text>
        <r>
          <rPr>
            <b/>
            <sz val="9"/>
            <color indexed="81"/>
            <rFont val="Tahoma"/>
            <family val="2"/>
          </rPr>
          <t>if applicable</t>
        </r>
      </text>
    </comment>
    <comment ref="K2" authorId="0" shapeId="0" xr:uid="{00000000-0006-0000-0600-000005000000}">
      <text>
        <r>
          <rPr>
            <b/>
            <u/>
            <sz val="9"/>
            <color indexed="81"/>
            <rFont val="Tahoma"/>
            <family val="2"/>
          </rPr>
          <t>Reference (short form)</t>
        </r>
        <r>
          <rPr>
            <b/>
            <sz val="9"/>
            <color indexed="81"/>
            <rFont val="Tahoma"/>
            <family val="2"/>
          </rPr>
          <t xml:space="preserve">
Recovery plan
Subbasin plan
Technical report
Website
Agency unpublished
etc.</t>
        </r>
      </text>
    </comment>
  </commentList>
</comments>
</file>

<file path=xl/sharedStrings.xml><?xml version="1.0" encoding="utf-8"?>
<sst xmlns="http://schemas.openxmlformats.org/spreadsheetml/2006/main" count="2581" uniqueCount="426">
  <si>
    <t>ESA: Threatened</t>
  </si>
  <si>
    <t>Total</t>
  </si>
  <si>
    <t>Hatchery</t>
  </si>
  <si>
    <t>@ Columbia R Mouth</t>
  </si>
  <si>
    <t>Totals</t>
  </si>
  <si>
    <t>Abundance</t>
  </si>
  <si>
    <t>Potential Goal Range</t>
  </si>
  <si>
    <t>Fisheries / Harvest</t>
  </si>
  <si>
    <t>Harvest</t>
  </si>
  <si>
    <t>MPG</t>
  </si>
  <si>
    <t>Population</t>
  </si>
  <si>
    <t>Historical</t>
  </si>
  <si>
    <t>Low</t>
  </si>
  <si>
    <t>Med</t>
  </si>
  <si>
    <t>High</t>
  </si>
  <si>
    <t>Location</t>
  </si>
  <si>
    <t>Goal</t>
  </si>
  <si>
    <t>Col sport</t>
  </si>
  <si>
    <t>Col commercial</t>
  </si>
  <si>
    <t>@ Goals</t>
  </si>
  <si>
    <t>% hatchery</t>
  </si>
  <si>
    <t>Artificial Production</t>
  </si>
  <si>
    <t>Current Production</t>
  </si>
  <si>
    <t>Return</t>
  </si>
  <si>
    <t>Location (Program)</t>
  </si>
  <si>
    <t>Brood</t>
  </si>
  <si>
    <t>Smolts</t>
  </si>
  <si>
    <t>Fry</t>
  </si>
  <si>
    <t>production</t>
  </si>
  <si>
    <t>Molalla</t>
  </si>
  <si>
    <t>North Santiam</t>
  </si>
  <si>
    <t>South Santiam</t>
  </si>
  <si>
    <t>Calapooia</t>
  </si>
  <si>
    <t>current</t>
  </si>
  <si>
    <t>risk</t>
  </si>
  <si>
    <t>L</t>
  </si>
  <si>
    <t>M</t>
  </si>
  <si>
    <t>desired</t>
  </si>
  <si>
    <t>historical</t>
  </si>
  <si>
    <t>VL</t>
  </si>
  <si>
    <t>Willamette Steelhead</t>
  </si>
  <si>
    <t>Upper Willamette</t>
  </si>
  <si>
    <t>Ocean</t>
  </si>
  <si>
    <t>--</t>
  </si>
  <si>
    <t>&lt;2.0%</t>
  </si>
  <si>
    <t>Local return (Willamette Falls)</t>
  </si>
  <si>
    <t>Total Return (Winter run)</t>
  </si>
  <si>
    <t>Natural Production (Winter run)</t>
  </si>
  <si>
    <t>Exploitation rates</t>
  </si>
  <si>
    <t>Limits</t>
  </si>
  <si>
    <t>High goal</t>
  </si>
  <si>
    <t>Stock</t>
  </si>
  <si>
    <t>Record type</t>
  </si>
  <si>
    <t>Subject</t>
  </si>
  <si>
    <t>Variable</t>
  </si>
  <si>
    <t>Value</t>
  </si>
  <si>
    <t>Metric</t>
  </si>
  <si>
    <t>Method</t>
  </si>
  <si>
    <t>Years</t>
  </si>
  <si>
    <t>Reference</t>
  </si>
  <si>
    <t>Reference Link</t>
  </si>
  <si>
    <t>Notes</t>
  </si>
  <si>
    <t>PF Additions -----&gt;</t>
  </si>
  <si>
    <t>Willamette Winter Steelhead</t>
  </si>
  <si>
    <t>Natural Production</t>
  </si>
  <si>
    <t>Mollalla</t>
  </si>
  <si>
    <t>Current</t>
  </si>
  <si>
    <t>geomean abundance</t>
  </si>
  <si>
    <t>adult abundance</t>
  </si>
  <si>
    <t>pre-1960</t>
  </si>
  <si>
    <t>Low Goal</t>
  </si>
  <si>
    <t>High Goal</t>
  </si>
  <si>
    <t>Med Goal</t>
  </si>
  <si>
    <t>future</t>
  </si>
  <si>
    <t>Quantitative Goal Rules</t>
  </si>
  <si>
    <t>Recovery Plan - Table 6.4</t>
  </si>
  <si>
    <t>no rules apply</t>
  </si>
  <si>
    <t>https://www.dfw.state.or.us/fish/crp/conservation_recovery_plans.asp</t>
  </si>
  <si>
    <t>2 - mid-way between high and low ranges</t>
  </si>
  <si>
    <t>Recovery Plan - Table 10-1</t>
  </si>
  <si>
    <t>none</t>
  </si>
  <si>
    <t>Current production</t>
  </si>
  <si>
    <t>hatchery releases</t>
  </si>
  <si>
    <t>1 - juvenile production levels of existing programs</t>
  </si>
  <si>
    <t>Recovery Plan - Appendix J</t>
  </si>
  <si>
    <t>http://www.fpc.org/hatchery/Hatchery_Queries_v2.php</t>
  </si>
  <si>
    <t> Species </t>
  </si>
  <si>
    <t> Hatchery </t>
  </si>
  <si>
    <t>Summer Steelhead</t>
  </si>
  <si>
    <t>Leaburg Hatchery</t>
  </si>
  <si>
    <t>McKenzie River</t>
  </si>
  <si>
    <t>ODFW</t>
  </si>
  <si>
    <t>Roaring River Hatchery</t>
  </si>
  <si>
    <t>Willamette River</t>
  </si>
  <si>
    <t>South Santiam Hatchery</t>
  </si>
  <si>
    <t>Minto Pond</t>
  </si>
  <si>
    <t>Willamette Hatchery</t>
  </si>
  <si>
    <t>Dexter Pond</t>
  </si>
  <si>
    <t>Santiam River &amp; N Fk</t>
  </si>
  <si>
    <t>M Fk Willamette River</t>
  </si>
  <si>
    <t>Clackamas Hatchery</t>
  </si>
  <si>
    <t>Clackamas River</t>
  </si>
  <si>
    <t>S Fk Santiam River</t>
  </si>
  <si>
    <t>Marion Forks Hatchery</t>
  </si>
  <si>
    <t>Fall Creek</t>
  </si>
  <si>
    <t>Mollala River</t>
  </si>
  <si>
    <t>Fall Creek Reservoir</t>
  </si>
  <si>
    <t>McKenzie Hatchery</t>
  </si>
  <si>
    <t>Green Peter Reservoir</t>
  </si>
  <si>
    <t>Santiam River</t>
  </si>
  <si>
    <t>Summer Steelhead Hatchery Releases - All Upper Willamette Hatcheries - from Fish Passage Center Web Page</t>
  </si>
  <si>
    <t>Migration Year </t>
  </si>
  <si>
    <t> Release Site </t>
  </si>
  <si>
    <t> Agency Code </t>
  </si>
  <si>
    <t> Number Released</t>
  </si>
  <si>
    <t>Annual Release Numbers</t>
  </si>
  <si>
    <t>2009-2018 average =</t>
  </si>
  <si>
    <t>2009-2018</t>
  </si>
  <si>
    <t>2017-2018 average =</t>
  </si>
  <si>
    <t>Winter Steelhead</t>
  </si>
  <si>
    <t>recent average hatchery releases</t>
  </si>
  <si>
    <t>Fish Passage Center Database</t>
  </si>
  <si>
    <t>habitat population viability analysis (HPVA)</t>
  </si>
  <si>
    <t>calculated mid-point between high and low ranges</t>
  </si>
  <si>
    <t>Additional details in Willamette-Lower Columbia Interim Viability Criteria Report, 2003 (pages 38-40), link is https://www.nwfsc.noaa.gov/research/divisions/cb/genetics/trt/salmon_technical_recovery_team_reports.cfm</t>
  </si>
  <si>
    <t># smolts</t>
  </si>
  <si>
    <t>Return Year</t>
  </si>
  <si>
    <t>-</t>
  </si>
  <si>
    <t xml:space="preserve">Molalla/Pudding River  </t>
  </si>
  <si>
    <t xml:space="preserve">North Santiam River </t>
  </si>
  <si>
    <t xml:space="preserve">South Santiam River </t>
  </si>
  <si>
    <t xml:space="preserve">Calapooia River  </t>
  </si>
  <si>
    <t>Data from ODFW Salmon and Steelhead Recovery Tracker Website</t>
  </si>
  <si>
    <t>Link:</t>
  </si>
  <si>
    <t>http://www.odfwrecoverytracker.org/summary/</t>
  </si>
  <si>
    <t>Natural Origin Proportion Hatchery Estimates</t>
  </si>
  <si>
    <t>Natural Origin Abundance Estimates</t>
  </si>
  <si>
    <t>StreamNet</t>
  </si>
  <si>
    <t>NOAA</t>
  </si>
  <si>
    <t>Tables from Recovery Plan used to determine Low Goals for Natural Production</t>
  </si>
  <si>
    <t>Molalla Population</t>
  </si>
  <si>
    <t>North Santiam Population</t>
  </si>
  <si>
    <t>South Santiam Population</t>
  </si>
  <si>
    <t>Tables from Upper Willamette Conservation and Recovery Plan for Chinook Salmon and Steelhead - FINAL - August 5, 2011</t>
  </si>
  <si>
    <t>Calapooia Population</t>
  </si>
  <si>
    <t>Delisting</t>
  </si>
  <si>
    <t>(Low Goal)</t>
  </si>
  <si>
    <t>Broad Sense</t>
  </si>
  <si>
    <t>(High Goal)</t>
  </si>
  <si>
    <t xml:space="preserve">Recovery </t>
  </si>
  <si>
    <t>Plan</t>
  </si>
  <si>
    <t>Table 6-18</t>
  </si>
  <si>
    <t>Recovery</t>
  </si>
  <si>
    <t>Table 6-19</t>
  </si>
  <si>
    <t>Table 6-20</t>
  </si>
  <si>
    <t>Table 6-21</t>
  </si>
  <si>
    <t>Table from Upper Willamette Conservation and Recovery Plan for Chinook Salmon and Steelhead - FINAL - August 5, 2011</t>
  </si>
  <si>
    <t>Table from Recovery Plan used to determine High Goals for Natural Production</t>
  </si>
  <si>
    <t>Table 10-1</t>
  </si>
  <si>
    <t>Recovery Plan - Table 6-18</t>
  </si>
  <si>
    <t>Recovery Plan - Table 6-19</t>
  </si>
  <si>
    <t>Recovery Plan - Table 6-20</t>
  </si>
  <si>
    <t>Recovery Plan - Table 6-21</t>
  </si>
  <si>
    <t>1 - delisting abundance goal (desired status)</t>
  </si>
  <si>
    <t>Winter Steelhead Counts at Willamette Falls</t>
  </si>
  <si>
    <t>2011-2012</t>
  </si>
  <si>
    <t>Month</t>
  </si>
  <si>
    <t>Clipped</t>
  </si>
  <si>
    <t>Unclip</t>
  </si>
  <si>
    <t>Cum</t>
  </si>
  <si>
    <t>Nov</t>
  </si>
  <si>
    <t>Dec</t>
  </si>
  <si>
    <t>Jan</t>
  </si>
  <si>
    <t>Feb</t>
  </si>
  <si>
    <t>Mar</t>
  </si>
  <si>
    <t>Apr</t>
  </si>
  <si>
    <t>May</t>
  </si>
  <si>
    <t>2012-2013</t>
  </si>
  <si>
    <t>2013-2014</t>
  </si>
  <si>
    <t>2014-2015</t>
  </si>
  <si>
    <t>2015-2016</t>
  </si>
  <si>
    <t>2016-2017</t>
  </si>
  <si>
    <t>2017-2018</t>
  </si>
  <si>
    <t> ReleaseSite </t>
  </si>
  <si>
    <t> AgencyCode </t>
  </si>
  <si>
    <t> Migration Year </t>
  </si>
  <si>
    <t>Winter Steelhead Hatchery Releases - All Upper Willamette Hatcheries - from Fish Passage Center Web Page</t>
  </si>
  <si>
    <t>Average</t>
  </si>
  <si>
    <t>Year</t>
  </si>
  <si>
    <t>Clip</t>
  </si>
  <si>
    <t>2011-12</t>
  </si>
  <si>
    <t>2012-13</t>
  </si>
  <si>
    <t>2013-14</t>
  </si>
  <si>
    <t>2014-15</t>
  </si>
  <si>
    <t>2015-16</t>
  </si>
  <si>
    <t>2016-17</t>
  </si>
  <si>
    <t>2017-18</t>
  </si>
  <si>
    <t>2010-11</t>
  </si>
  <si>
    <t>2009-10</t>
  </si>
  <si>
    <t>2008-09</t>
  </si>
  <si>
    <t>1992-2008 Average</t>
  </si>
  <si>
    <t>1992-2008 Percent</t>
  </si>
  <si>
    <t>Molalla/</t>
  </si>
  <si>
    <t>Pudding</t>
  </si>
  <si>
    <t>North</t>
  </si>
  <si>
    <t>Santiam</t>
  </si>
  <si>
    <t>South</t>
  </si>
  <si>
    <t>1992-2008</t>
  </si>
  <si>
    <t>geomean</t>
  </si>
  <si>
    <t>2008-2018</t>
  </si>
  <si>
    <t>Table10-1</t>
  </si>
  <si>
    <t>Table 6-4</t>
  </si>
  <si>
    <t>Recovery Plan</t>
  </si>
  <si>
    <t>2000-2018</t>
  </si>
  <si>
    <t>Desired Status</t>
  </si>
  <si>
    <t>S. Santiam</t>
  </si>
  <si>
    <t>N. Santiam</t>
  </si>
  <si>
    <t>Will. Falls</t>
  </si>
  <si>
    <t>Tot/WF</t>
  </si>
  <si>
    <t>2008-2016</t>
  </si>
  <si>
    <t>Combination of: 1)Willamette Falls counts, 2) radiotelemetry 3) tributary dam counts &amp; 4) spawning surveys</t>
  </si>
  <si>
    <t>2007-2016</t>
  </si>
  <si>
    <t>Fish passing Willamette Falls were apportioned to the 4 focal spawning populations, radiotelemetry identified survival rates from falls to tributaries, dam counts used to estimate spawners in portion of South and North Santiam Rivers, redd densities applied to miles of available habitat used to estimate spawners in remaining areas</t>
  </si>
  <si>
    <r>
      <t>Report: Population Viability of Willamette River Winter Steelhead</t>
    </r>
    <r>
      <rPr>
        <sz val="9"/>
        <color theme="1"/>
        <rFont val="Calibri"/>
        <family val="2"/>
        <scheme val="minor"/>
      </rPr>
      <t xml:space="preserve"> An Assessment of the Effect of Sea Lions at Willamette Falls</t>
    </r>
  </si>
  <si>
    <t>Run Year</t>
  </si>
  <si>
    <t>2007-08</t>
  </si>
  <si>
    <t>Release Mortality Rates</t>
  </si>
  <si>
    <t>Col Comm</t>
  </si>
  <si>
    <t>Col Sport</t>
  </si>
  <si>
    <t>Run Size</t>
  </si>
  <si>
    <t>Release Mortalities</t>
  </si>
  <si>
    <t>average</t>
  </si>
  <si>
    <t>Exploitation Rate</t>
  </si>
  <si>
    <t>v ocean abundance</t>
  </si>
  <si>
    <t>sport creel and commercial fishery sampling programs</t>
  </si>
  <si>
    <t>not available</t>
  </si>
  <si>
    <t>Recovery Plan - Section 5.2 Harvest Management</t>
  </si>
  <si>
    <t>no data available, comments in Recovery Plan identify no to deminimus harvest of steelhead in ocean fisheries</t>
  </si>
  <si>
    <t>v Col R run</t>
  </si>
  <si>
    <t>statistical creel estimates of wild winter steelhead encounters</t>
  </si>
  <si>
    <t>https://www.dfw.state.or.us/fish/OSCRP/CRM/reports.asp</t>
  </si>
  <si>
    <t>Col Commercial</t>
  </si>
  <si>
    <t>L Willamette Sport</t>
  </si>
  <si>
    <t>U Willamette Sport</t>
  </si>
  <si>
    <t>v Will Falls Passage</t>
  </si>
  <si>
    <t>Willamette falls counts and catch record card prior to and following mark-selective regulations</t>
  </si>
  <si>
    <t>1994-1997</t>
  </si>
  <si>
    <t>Report not available online</t>
  </si>
  <si>
    <t>FMEP not available on line</t>
  </si>
  <si>
    <t>Fishery (wild/natural)</t>
  </si>
  <si>
    <t>Columbia River</t>
  </si>
  <si>
    <t>population viability analysis</t>
  </si>
  <si>
    <t>not applicable</t>
  </si>
  <si>
    <t>v Will R run</t>
  </si>
  <si>
    <t>Recovery Plan - Section 3.1.2 Subsection B1 harvest related threats</t>
  </si>
  <si>
    <t>release mortalities</t>
  </si>
  <si>
    <t>statistical creel estimates of wild winter steelhead encounters, applied assumed mortality rate</t>
  </si>
  <si>
    <t>on board monitoring to estimate encounters fo wild winter steelhead, applied assumed mortality rate</t>
  </si>
  <si>
    <t>Will Falls</t>
  </si>
  <si>
    <t>Count</t>
  </si>
  <si>
    <t>Number</t>
  </si>
  <si>
    <t>Sea Lion</t>
  </si>
  <si>
    <t>2006-07</t>
  </si>
  <si>
    <t>2006-2007</t>
  </si>
  <si>
    <t>2007-2008</t>
  </si>
  <si>
    <t>2008-2009</t>
  </si>
  <si>
    <t>2009-2010</t>
  </si>
  <si>
    <t>2006-2016</t>
  </si>
  <si>
    <t>2010-2011</t>
  </si>
  <si>
    <t>applied exploitation rate to Willamette Falls count of unclipped winter steelhead</t>
  </si>
  <si>
    <t>Willamette Falls Fish Count Database</t>
  </si>
  <si>
    <t>https://www.dfw.state.or.us/fish/fish_counts/willamette%20falls.asp</t>
  </si>
  <si>
    <t>Willamette Falls counts</t>
  </si>
  <si>
    <t>Number of Fish</t>
  </si>
  <si>
    <t>Percent of Total</t>
  </si>
  <si>
    <t>Run Reconstruction for unclipped Willamette winter steelhead</t>
  </si>
  <si>
    <t>Mortality</t>
  </si>
  <si>
    <t>Run</t>
  </si>
  <si>
    <t>L. Will.</t>
  </si>
  <si>
    <t>Will. R.</t>
  </si>
  <si>
    <t>Col. R.</t>
  </si>
  <si>
    <t>Fishery</t>
  </si>
  <si>
    <t>Rate</t>
  </si>
  <si>
    <t>Estimated Salmonid Angler Trips, Kept and Released Steelhead and Catch/Trip on the Lower</t>
  </si>
  <si>
    <t>Willamette River, from March through June 1980-2018.</t>
  </si>
  <si>
    <t>Boat</t>
  </si>
  <si>
    <t>Bank</t>
  </si>
  <si>
    <t>Angler</t>
  </si>
  <si>
    <t>Kept</t>
  </si>
  <si>
    <t>Released</t>
  </si>
  <si>
    <t>Trips</t>
  </si>
  <si>
    <t>Kept/Trip</t>
  </si>
  <si>
    <t>Catch/Trip</t>
  </si>
  <si>
    <t>Trips (100s)</t>
  </si>
  <si>
    <t>Data from Kevleen Melcher with ODFW</t>
  </si>
  <si>
    <t>ODFW database</t>
  </si>
  <si>
    <t>Database not available on line</t>
  </si>
  <si>
    <t>06-07 thru 15-16</t>
  </si>
  <si>
    <t>Release</t>
  </si>
  <si>
    <t>Mortalities</t>
  </si>
  <si>
    <t>Exploitation</t>
  </si>
  <si>
    <t>Total Return (wild/natural)</t>
  </si>
  <si>
    <t>Columbia R Mouth</t>
  </si>
  <si>
    <t>10-year average</t>
  </si>
  <si>
    <t>run reconstruction, dam counts, harvest estimates, sea lion mortalities</t>
  </si>
  <si>
    <t>FMEP Upper Willamette River Winter Steelhead in  Sport Fisheries of the Upper Willamette Basin - Section 1.4.1</t>
  </si>
  <si>
    <t>Various Sources</t>
  </si>
  <si>
    <t>Identified in individual categories above</t>
  </si>
  <si>
    <t>Total Return (hatchery)</t>
  </si>
  <si>
    <t>Total Return (% hatchery)</t>
  </si>
  <si>
    <t>Local Return (Wild/Natural)</t>
  </si>
  <si>
    <t>Willamette Falls</t>
  </si>
  <si>
    <t>Willamette falls counts</t>
  </si>
  <si>
    <t>Local Return (hatchery)</t>
  </si>
  <si>
    <t>Local Return (% hatchery)</t>
  </si>
  <si>
    <t>2000-2008</t>
  </si>
  <si>
    <t>Harvest (wild/natural)</t>
  </si>
  <si>
    <t>Columbia Mainstem</t>
  </si>
  <si>
    <t>none neccesary, no hatchery production occurs for this stock</t>
  </si>
  <si>
    <t>statistical creel for sport fishery and on board monitoring for commercial fishery</t>
  </si>
  <si>
    <t>Harvest (Hatchery)</t>
  </si>
  <si>
    <t>comments in Recovery Plan identify no to deminimus harvest of steelhead in ocean fisheries</t>
  </si>
  <si>
    <t>Harvest (% Hatchery)</t>
  </si>
  <si>
    <t>Low goal</t>
  </si>
  <si>
    <t>Med goal</t>
  </si>
  <si>
    <t>Recent</t>
  </si>
  <si>
    <t>Anticipated</t>
  </si>
  <si>
    <t>10-40%</t>
  </si>
  <si>
    <t>Potential</t>
  </si>
  <si>
    <t>Conservation Assessment Tool for Anadromous Salmonids (CATAS) population viability model</t>
  </si>
  <si>
    <t>1 - broad sense goal identified in existing plan</t>
  </si>
  <si>
    <t>program goal</t>
  </si>
  <si>
    <t>3 - juvenile production identified in existing plan</t>
  </si>
  <si>
    <t>Hatchery Genetic Management Plan - Upper Will. Summer Steelhead</t>
  </si>
  <si>
    <t>www.dfw.state.or.us/fish/HGMP/final.asp</t>
  </si>
  <si>
    <t>1 - juvenile production continues at current levels</t>
  </si>
  <si>
    <t>Anticipated Production</t>
  </si>
  <si>
    <t>harvest rate</t>
  </si>
  <si>
    <t>2 - current harvest rate limits</t>
  </si>
  <si>
    <t>ocean and freshwater</t>
  </si>
  <si>
    <t>2 - harvest rates sustainable by healthy wild/natural stocks</t>
  </si>
  <si>
    <t>https://www.westcoast.fisheries.noaa.gov/columbia_river/index.html</t>
  </si>
  <si>
    <t>CBP Recommendations Report -Chapter 8, Table 3 &amp; Box 10-2</t>
  </si>
  <si>
    <t>total</t>
  </si>
  <si>
    <t>new goal included in 2018 HGMP</t>
  </si>
  <si>
    <t>released discontinued by 1998</t>
  </si>
  <si>
    <t>on board monitoring to estimate encounters of wild winter steelhead</t>
  </si>
  <si>
    <t>2017 Joint Staff Winter/Spring Report - Management Guidelines Winter Steelhead Section</t>
  </si>
  <si>
    <t>2018 Joint ODFW/WDFW Staff Winter/Spring Report - Management Guidelines Winter Steelhead Section</t>
  </si>
  <si>
    <t>professional judgement and knowledge of CBP Project Team in consultation with regional team members</t>
  </si>
  <si>
    <t>Harvest rates based on harvest rates typically sustained by healthy stock, depending on life history type.  High-range potential rates calibrated downward slightly for stocks harvested in mixed stock fisheries.</t>
  </si>
  <si>
    <t>Natural</t>
  </si>
  <si>
    <t>Avg (v ocn)</t>
  </si>
  <si>
    <t>Avg. (v CR)</t>
  </si>
  <si>
    <t>Data from ODFW Willamette Falls Fish Count database</t>
  </si>
  <si>
    <t>Sea Lion Mortality below Willamette Falls</t>
  </si>
  <si>
    <t>Data from ODFW assessement of Winter Steelhead mortality at Willamette Falls (excerpts from document to the left in this tab)</t>
  </si>
  <si>
    <t xml:space="preserve"> 1/ 2014-2016 based on direct monitoring/observation results</t>
  </si>
  <si>
    <t>2/ 2003 based on assumption of constant mortality rate during 1990s-2003</t>
  </si>
  <si>
    <t>3/ 2004-2013 based on assumed steady increase in predation rates between 2003 and 2014</t>
  </si>
  <si>
    <t>1/</t>
  </si>
  <si>
    <t>2/</t>
  </si>
  <si>
    <t>3/</t>
  </si>
  <si>
    <t>Sport</t>
  </si>
  <si>
    <t>L. Col.</t>
  </si>
  <si>
    <t>Comm.</t>
  </si>
  <si>
    <t>`</t>
  </si>
  <si>
    <t>Data from 2019 Joint Staff Report</t>
  </si>
  <si>
    <t>Return to</t>
  </si>
  <si>
    <t>River Mouth</t>
  </si>
  <si>
    <t>Fishery Mortalities (Natrual Origin)</t>
  </si>
  <si>
    <t>Fishery Exploitation Rates (Natrual Origin)</t>
  </si>
  <si>
    <t>avg.</t>
  </si>
  <si>
    <t>Columbia Run Size</t>
  </si>
  <si>
    <t>Unclipped</t>
  </si>
  <si>
    <t>U. Will.</t>
  </si>
  <si>
    <t>Data for Upper Willamette from  2001 FMEP and for Lower Willamette and Lower Columbia from 2019 Joint Staff Report</t>
  </si>
  <si>
    <t>Willamette</t>
  </si>
  <si>
    <t>Falls Count</t>
  </si>
  <si>
    <t>U. Willamette</t>
  </si>
  <si>
    <t>Harvest Rate</t>
  </si>
  <si>
    <t>(vs W.F. Count)</t>
  </si>
  <si>
    <t>Upper Willamette Harvest</t>
  </si>
  <si>
    <t>Data for Harvest Rate from 2001 FMEP</t>
  </si>
  <si>
    <t>10-20%</t>
  </si>
  <si>
    <t>Harvest (Col basin)</t>
  </si>
  <si>
    <t>Harvest (Total)</t>
  </si>
  <si>
    <t>blue shaded cells are user inputs (should link to values identified elsewhere in workbook)</t>
  </si>
  <si>
    <t>No. of spawners</t>
  </si>
  <si>
    <t>Natl loss rate convertion to escape</t>
  </si>
  <si>
    <t>Freshwater fishery harvest</t>
  </si>
  <si>
    <t>Freshwater fishery impact rate (v Col R)</t>
  </si>
  <si>
    <t>Columia River run</t>
  </si>
  <si>
    <t>Ocean fishery impact rate (v ocn)</t>
  </si>
  <si>
    <t>Ocean harvest</t>
  </si>
  <si>
    <t>Ocean abundance</t>
  </si>
  <si>
    <t>Total harvest</t>
  </si>
  <si>
    <t>Total explitation rate (v ocn)</t>
  </si>
  <si>
    <t>target exploitation rate (v ocn)</t>
  </si>
  <si>
    <t>target freshwater exploitation rate (v col R)</t>
  </si>
  <si>
    <t>Current (inputs)</t>
  </si>
  <si>
    <t>Current (derived)</t>
  </si>
  <si>
    <t>Medium goal</t>
  </si>
  <si>
    <t>Hatchery releases</t>
  </si>
  <si>
    <t>SAR (to Col R)</t>
  </si>
  <si>
    <t>No. escaping</t>
  </si>
  <si>
    <t>changed for consistenty w/ goal summary table</t>
  </si>
  <si>
    <t>Winter run Natural</t>
  </si>
  <si>
    <t>Need to include summer run (hatchery fish)</t>
  </si>
  <si>
    <t>Willamette Falls Counts</t>
  </si>
  <si>
    <t>SPRING CHINOOK</t>
  </si>
  <si>
    <t>Winter</t>
  </si>
  <si>
    <t>Summer</t>
  </si>
  <si>
    <t>YEAR</t>
  </si>
  <si>
    <t>EARLY</t>
  </si>
  <si>
    <t>LATE</t>
  </si>
  <si>
    <t>TOTAL</t>
  </si>
  <si>
    <t>STEELHEAD</t>
  </si>
  <si>
    <t>10 yr Ave</t>
  </si>
  <si>
    <t>50 yr Ave</t>
  </si>
  <si>
    <t>Winter steelhead</t>
  </si>
  <si>
    <t>Summer steelhead</t>
  </si>
  <si>
    <t>Recent (avg)</t>
  </si>
  <si>
    <t>(2008-2017)</t>
  </si>
  <si>
    <t>Total Winter run</t>
  </si>
  <si>
    <t>need to add spawning escapement in addition to falls counts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</si>
</sst>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0.0"/>
  </numFmts>
  <fonts count="48"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u/>
      <sz val="11"/>
      <color theme="1"/>
      <name val="Calibri"/>
      <family val="2"/>
      <scheme val="minor"/>
    </font>
    <font>
      <sz val="11"/>
      <name val="Calibri"/>
      <family val="2"/>
      <scheme val="minor"/>
    </font>
    <font>
      <b/>
      <i/>
      <sz val="11"/>
      <color theme="1"/>
      <name val="Calibri"/>
      <family val="2"/>
      <scheme val="minor"/>
    </font>
    <font>
      <b/>
      <sz val="14"/>
      <color theme="1"/>
      <name val="Calibri"/>
      <family val="2"/>
      <scheme val="minor"/>
    </font>
    <font>
      <b/>
      <sz val="8"/>
      <color indexed="81"/>
      <name val="Tahoma"/>
      <family val="2"/>
    </font>
    <font>
      <b/>
      <sz val="9"/>
      <color indexed="81"/>
      <name val="Tahoma"/>
      <family val="2"/>
    </font>
    <font>
      <sz val="11"/>
      <color rgb="FF000000"/>
      <name val="Calibri"/>
      <family val="2"/>
    </font>
    <font>
      <b/>
      <u/>
      <sz val="9"/>
      <color indexed="81"/>
      <name val="Tahoma"/>
      <family val="2"/>
    </font>
    <font>
      <b/>
      <sz val="10"/>
      <color rgb="FF333333"/>
      <name val="Arial"/>
      <family val="2"/>
    </font>
    <font>
      <b/>
      <sz val="10"/>
      <color rgb="FF104E8B"/>
      <name val="Arial"/>
      <family val="2"/>
    </font>
    <font>
      <sz val="12"/>
      <color theme="1"/>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0"/>
      <name val="Arial"/>
      <family val="2"/>
    </font>
    <font>
      <sz val="9"/>
      <color theme="1"/>
      <name val="Calibri"/>
      <family val="2"/>
      <scheme val="minor"/>
    </font>
    <font>
      <u/>
      <sz val="11"/>
      <color theme="1"/>
      <name val="Calibri"/>
      <family val="2"/>
      <scheme val="minor"/>
    </font>
    <font>
      <sz val="11"/>
      <color rgb="FF000000"/>
      <name val="Calibri"/>
      <family val="2"/>
      <scheme val="minor"/>
    </font>
    <font>
      <b/>
      <sz val="13"/>
      <name val="Times New Roman"/>
      <family val="1"/>
    </font>
    <font>
      <b/>
      <sz val="10"/>
      <name val="Times New Roman"/>
      <family val="1"/>
    </font>
    <font>
      <sz val="10"/>
      <name val="Times New Roman"/>
      <family val="1"/>
    </font>
    <font>
      <sz val="8"/>
      <name val="Times New Roman"/>
      <family val="1"/>
    </font>
    <font>
      <b/>
      <u/>
      <sz val="10"/>
      <name val="Times New Roman"/>
      <family val="1"/>
    </font>
    <font>
      <vertAlign val="superscript"/>
      <sz val="10"/>
      <name val="Times New Roman"/>
      <family val="1"/>
    </font>
    <font>
      <i/>
      <sz val="10"/>
      <name val="Times New Roman"/>
      <family val="1"/>
    </font>
    <font>
      <sz val="8"/>
      <color indexed="81"/>
      <name val="Tahoma"/>
      <family val="2"/>
    </font>
    <font>
      <vertAlign val="superscript"/>
      <sz val="11"/>
      <name val="Calibri"/>
      <family val="2"/>
      <scheme val="minor"/>
    </font>
    <font>
      <b/>
      <sz val="11"/>
      <name val="Calibri"/>
      <family val="2"/>
      <scheme val="minor"/>
    </font>
    <font>
      <b/>
      <sz val="11"/>
      <color indexed="8"/>
      <name val="Calibri"/>
      <family val="2"/>
      <scheme val="minor"/>
    </font>
    <font>
      <sz val="11"/>
      <color indexed="8"/>
      <name val="Calibri"/>
      <family val="2"/>
      <scheme val="minor"/>
    </font>
    <font>
      <sz val="14"/>
      <color theme="1"/>
      <name val="Calibri"/>
      <family val="2"/>
      <scheme val="minor"/>
    </font>
    <font>
      <sz val="14"/>
      <color rgb="FFFF0000"/>
      <name val="Calibri"/>
      <family val="2"/>
      <scheme val="minor"/>
    </font>
    <font>
      <b/>
      <sz val="10"/>
      <color theme="1"/>
      <name val="Calibri"/>
      <family val="2"/>
      <scheme val="minor"/>
    </font>
  </fonts>
  <fills count="47">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rgb="FFBFEFFF"/>
        <bgColor indexed="64"/>
      </patternFill>
    </fill>
    <fill>
      <patternFill patternType="solid">
        <fgColor rgb="FFFCFCFC"/>
        <bgColor indexed="64"/>
      </patternFill>
    </fill>
    <fill>
      <patternFill patternType="solid">
        <fgColor rgb="FFEBEBEB"/>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59999389629810485"/>
        <bgColor indexed="64"/>
      </patternFill>
    </fill>
    <fill>
      <patternFill patternType="solid">
        <fgColor rgb="FF44A16A"/>
        <bgColor indexed="64"/>
      </patternFill>
    </fill>
    <fill>
      <patternFill patternType="solid">
        <fgColor rgb="FFBEE4CD"/>
        <bgColor indexed="64"/>
      </patternFill>
    </fill>
    <fill>
      <patternFill patternType="solid">
        <fgColor rgb="FFDFF1E6"/>
        <bgColor indexed="64"/>
      </patternFill>
    </fill>
  </fills>
  <borders count="3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rgb="FFBDBDBD"/>
      </left>
      <right style="medium">
        <color rgb="FFBDBDBD"/>
      </right>
      <top style="medium">
        <color rgb="FFBDBDBD"/>
      </top>
      <bottom style="medium">
        <color rgb="FFBDBDBD"/>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right/>
      <top/>
      <bottom style="thin">
        <color rgb="FF000000"/>
      </bottom>
      <diagonal/>
    </border>
    <border>
      <left/>
      <right/>
      <top style="thin">
        <color rgb="FF000000"/>
      </top>
      <bottom/>
      <diagonal/>
    </border>
  </borders>
  <cellStyleXfs count="44">
    <xf numFmtId="0" fontId="0" fillId="0" borderId="0"/>
    <xf numFmtId="9" fontId="1" fillId="0" borderId="0" applyFont="0" applyFill="0" applyBorder="0" applyAlignment="0" applyProtection="0"/>
    <xf numFmtId="0" fontId="16" fillId="0" borderId="0" applyNumberFormat="0" applyFill="0" applyBorder="0" applyAlignment="0" applyProtection="0"/>
    <xf numFmtId="0" fontId="17" fillId="0" borderId="16" applyNumberFormat="0" applyFill="0" applyAlignment="0" applyProtection="0"/>
    <xf numFmtId="0" fontId="18" fillId="0" borderId="17" applyNumberFormat="0" applyFill="0" applyAlignment="0" applyProtection="0"/>
    <xf numFmtId="0" fontId="19" fillId="0" borderId="18" applyNumberFormat="0" applyFill="0" applyAlignment="0" applyProtection="0"/>
    <xf numFmtId="0" fontId="19" fillId="0" borderId="0" applyNumberFormat="0" applyFill="0" applyBorder="0" applyAlignment="0" applyProtection="0"/>
    <xf numFmtId="0" fontId="20" fillId="12" borderId="0" applyNumberFormat="0" applyBorder="0" applyAlignment="0" applyProtection="0"/>
    <xf numFmtId="0" fontId="21" fillId="13" borderId="0" applyNumberFormat="0" applyBorder="0" applyAlignment="0" applyProtection="0"/>
    <xf numFmtId="0" fontId="22" fillId="14" borderId="0" applyNumberFormat="0" applyBorder="0" applyAlignment="0" applyProtection="0"/>
    <xf numFmtId="0" fontId="23" fillId="15" borderId="19" applyNumberFormat="0" applyAlignment="0" applyProtection="0"/>
    <xf numFmtId="0" fontId="24" fillId="16" borderId="20" applyNumberFormat="0" applyAlignment="0" applyProtection="0"/>
    <xf numFmtId="0" fontId="25" fillId="16" borderId="19" applyNumberFormat="0" applyAlignment="0" applyProtection="0"/>
    <xf numFmtId="0" fontId="26" fillId="0" borderId="21" applyNumberFormat="0" applyFill="0" applyAlignment="0" applyProtection="0"/>
    <xf numFmtId="0" fontId="27" fillId="17" borderId="22" applyNumberFormat="0" applyAlignment="0" applyProtection="0"/>
    <xf numFmtId="0" fontId="2" fillId="0" borderId="0" applyNumberFormat="0" applyFill="0" applyBorder="0" applyAlignment="0" applyProtection="0"/>
    <xf numFmtId="0" fontId="1" fillId="18" borderId="23" applyNumberFormat="0" applyFont="0" applyAlignment="0" applyProtection="0"/>
    <xf numFmtId="0" fontId="28" fillId="0" borderId="0" applyNumberFormat="0" applyFill="0" applyBorder="0" applyAlignment="0" applyProtection="0"/>
    <xf numFmtId="0" fontId="3" fillId="0" borderId="24" applyNumberFormat="0" applyFill="0" applyAlignment="0" applyProtection="0"/>
    <xf numFmtId="0" fontId="4"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4" fillId="42" borderId="0" applyNumberFormat="0" applyBorder="0" applyAlignment="0" applyProtection="0"/>
    <xf numFmtId="0" fontId="29" fillId="0" borderId="0"/>
  </cellStyleXfs>
  <cellXfs count="247">
    <xf numFmtId="0" fontId="0" fillId="0" borderId="0" xfId="0"/>
    <xf numFmtId="0" fontId="0" fillId="2" borderId="0" xfId="0" applyFill="1"/>
    <xf numFmtId="3" fontId="3" fillId="2" borderId="0" xfId="0" applyNumberFormat="1" applyFont="1" applyFill="1" applyAlignment="1">
      <alignment horizontal="center"/>
    </xf>
    <xf numFmtId="0" fontId="3" fillId="5" borderId="6" xfId="0" applyFont="1" applyFill="1" applyBorder="1"/>
    <xf numFmtId="0" fontId="3" fillId="5" borderId="7" xfId="0" applyFont="1" applyFill="1" applyBorder="1"/>
    <xf numFmtId="0" fontId="3" fillId="5" borderId="7" xfId="0" applyFont="1" applyFill="1" applyBorder="1" applyAlignment="1">
      <alignment horizontal="center"/>
    </xf>
    <xf numFmtId="0" fontId="3" fillId="5" borderId="8" xfId="0" applyFont="1" applyFill="1" applyBorder="1" applyAlignment="1">
      <alignment horizontal="center"/>
    </xf>
    <xf numFmtId="0" fontId="0" fillId="0" borderId="4" xfId="0" applyBorder="1"/>
    <xf numFmtId="3" fontId="0" fillId="0" borderId="0" xfId="0" quotePrefix="1" applyNumberFormat="1" applyAlignment="1">
      <alignment horizontal="center"/>
    </xf>
    <xf numFmtId="0" fontId="7" fillId="5" borderId="1" xfId="0" applyFont="1" applyFill="1" applyBorder="1"/>
    <xf numFmtId="164" fontId="7" fillId="5" borderId="2" xfId="0" applyNumberFormat="1" applyFont="1" applyFill="1" applyBorder="1" applyAlignment="1">
      <alignment horizontal="center"/>
    </xf>
    <xf numFmtId="3" fontId="3" fillId="5" borderId="2" xfId="0" applyNumberFormat="1" applyFont="1" applyFill="1" applyBorder="1" applyAlignment="1">
      <alignment horizontal="center"/>
    </xf>
    <xf numFmtId="0" fontId="0" fillId="0" borderId="10" xfId="0" applyBorder="1"/>
    <xf numFmtId="0" fontId="0" fillId="0" borderId="10" xfId="0" quotePrefix="1" applyBorder="1" applyAlignment="1">
      <alignment horizontal="center"/>
    </xf>
    <xf numFmtId="0" fontId="0" fillId="0" borderId="11" xfId="0" quotePrefix="1" applyBorder="1" applyAlignment="1">
      <alignment horizontal="center"/>
    </xf>
    <xf numFmtId="0" fontId="0" fillId="0" borderId="7" xfId="0" applyBorder="1"/>
    <xf numFmtId="0" fontId="3" fillId="0" borderId="9" xfId="0" quotePrefix="1" applyFont="1" applyBorder="1" applyAlignment="1">
      <alignment horizontal="left"/>
    </xf>
    <xf numFmtId="3" fontId="0" fillId="0" borderId="11" xfId="0" applyNumberFormat="1" applyBorder="1" applyAlignment="1">
      <alignment horizontal="center"/>
    </xf>
    <xf numFmtId="3" fontId="0" fillId="0" borderId="0" xfId="0" applyNumberFormat="1" applyAlignment="1">
      <alignment horizontal="center"/>
    </xf>
    <xf numFmtId="3" fontId="0" fillId="0" borderId="5" xfId="0" applyNumberFormat="1" applyBorder="1" applyAlignment="1">
      <alignment horizontal="center"/>
    </xf>
    <xf numFmtId="0" fontId="3" fillId="6" borderId="1" xfId="0" applyFont="1" applyFill="1" applyBorder="1"/>
    <xf numFmtId="0" fontId="0" fillId="6" borderId="3" xfId="0" applyFill="1" applyBorder="1"/>
    <xf numFmtId="0" fontId="5" fillId="7" borderId="10" xfId="0" applyFont="1" applyFill="1" applyBorder="1" applyAlignment="1">
      <alignment horizontal="centerContinuous"/>
    </xf>
    <xf numFmtId="0" fontId="3" fillId="7" borderId="10" xfId="0" applyFont="1" applyFill="1" applyBorder="1" applyAlignment="1">
      <alignment horizontal="centerContinuous"/>
    </xf>
    <xf numFmtId="0" fontId="3" fillId="7" borderId="11" xfId="0" applyFont="1" applyFill="1" applyBorder="1" applyAlignment="1">
      <alignment horizontal="center"/>
    </xf>
    <xf numFmtId="0" fontId="3" fillId="0" borderId="4" xfId="0" applyFont="1" applyBorder="1"/>
    <xf numFmtId="0" fontId="3" fillId="7" borderId="6" xfId="0" applyFont="1" applyFill="1" applyBorder="1"/>
    <xf numFmtId="0" fontId="3" fillId="7" borderId="7" xfId="0" applyFont="1" applyFill="1" applyBorder="1"/>
    <xf numFmtId="0" fontId="0" fillId="0" borderId="6" xfId="0" applyBorder="1"/>
    <xf numFmtId="9" fontId="0" fillId="0" borderId="7" xfId="1" applyFont="1" applyBorder="1" applyAlignment="1">
      <alignment horizontal="center"/>
    </xf>
    <xf numFmtId="9" fontId="0" fillId="0" borderId="8" xfId="1" applyFont="1" applyBorder="1" applyAlignment="1">
      <alignment horizontal="center"/>
    </xf>
    <xf numFmtId="0" fontId="4" fillId="0" borderId="0" xfId="0" applyFont="1"/>
    <xf numFmtId="0" fontId="0" fillId="0" borderId="0" xfId="0" applyAlignment="1">
      <alignment horizontal="center"/>
    </xf>
    <xf numFmtId="3" fontId="0" fillId="0" borderId="0" xfId="0" applyNumberFormat="1"/>
    <xf numFmtId="0" fontId="3" fillId="4" borderId="1" xfId="0" applyFont="1" applyFill="1" applyBorder="1" applyAlignment="1">
      <alignment horizontal="left"/>
    </xf>
    <xf numFmtId="0" fontId="6" fillId="2" borderId="9" xfId="0" applyFont="1" applyFill="1" applyBorder="1"/>
    <xf numFmtId="0" fontId="0" fillId="2" borderId="4" xfId="0" applyFill="1" applyBorder="1"/>
    <xf numFmtId="0" fontId="6" fillId="2" borderId="4" xfId="0" applyFont="1" applyFill="1" applyBorder="1"/>
    <xf numFmtId="3" fontId="0" fillId="2" borderId="0" xfId="0" applyNumberFormat="1" applyFill="1"/>
    <xf numFmtId="3" fontId="0" fillId="2" borderId="0" xfId="0" applyNumberFormat="1" applyFill="1" applyAlignment="1">
      <alignment horizontal="center"/>
    </xf>
    <xf numFmtId="0" fontId="2" fillId="2" borderId="0" xfId="0" applyFont="1" applyFill="1" applyAlignment="1">
      <alignment horizontal="center"/>
    </xf>
    <xf numFmtId="3" fontId="2" fillId="2" borderId="0" xfId="0" applyNumberFormat="1" applyFont="1" applyFill="1"/>
    <xf numFmtId="0" fontId="0" fillId="0" borderId="9" xfId="0" applyBorder="1"/>
    <xf numFmtId="0" fontId="3" fillId="0" borderId="0" xfId="0" applyFont="1"/>
    <xf numFmtId="0" fontId="5" fillId="5" borderId="10" xfId="0" applyFont="1" applyFill="1" applyBorder="1" applyAlignment="1">
      <alignment horizontal="centerContinuous"/>
    </xf>
    <xf numFmtId="0" fontId="5" fillId="5" borderId="11" xfId="0" applyFont="1" applyFill="1" applyBorder="1" applyAlignment="1">
      <alignment horizontal="centerContinuous"/>
    </xf>
    <xf numFmtId="0" fontId="3" fillId="8" borderId="0" xfId="0" applyFont="1" applyFill="1"/>
    <xf numFmtId="0" fontId="3" fillId="8" borderId="0" xfId="0" applyFont="1" applyFill="1" applyAlignment="1">
      <alignment horizontal="center"/>
    </xf>
    <xf numFmtId="0" fontId="3" fillId="8" borderId="0" xfId="0" applyFont="1" applyFill="1" applyAlignment="1">
      <alignment wrapText="1"/>
    </xf>
    <xf numFmtId="0" fontId="11" fillId="0" borderId="0" xfId="0" applyFont="1" applyAlignment="1">
      <alignment horizontal="left" vertical="center" wrapText="1"/>
    </xf>
    <xf numFmtId="0" fontId="0" fillId="0" borderId="0" xfId="0" applyAlignment="1">
      <alignment wrapText="1"/>
    </xf>
    <xf numFmtId="0" fontId="3" fillId="0" borderId="0" xfId="0" applyFont="1" applyAlignment="1">
      <alignment horizontal="center" vertical="center"/>
    </xf>
    <xf numFmtId="0" fontId="3" fillId="0" borderId="0" xfId="0" applyFont="1" applyAlignment="1">
      <alignment horizontal="center" vertical="center" wrapText="1"/>
    </xf>
    <xf numFmtId="0" fontId="6" fillId="0" borderId="0" xfId="0" applyFont="1"/>
    <xf numFmtId="0" fontId="3" fillId="7" borderId="10" xfId="0" applyFont="1" applyFill="1" applyBorder="1" applyAlignment="1">
      <alignment horizontal="center"/>
    </xf>
    <xf numFmtId="0" fontId="3" fillId="7" borderId="7" xfId="0" applyFont="1" applyFill="1" applyBorder="1" applyAlignment="1">
      <alignment horizontal="center"/>
    </xf>
    <xf numFmtId="0" fontId="14" fillId="9" borderId="15" xfId="0" applyFont="1" applyFill="1" applyBorder="1" applyAlignment="1">
      <alignment horizontal="center" vertical="center" wrapText="1"/>
    </xf>
    <xf numFmtId="0" fontId="13" fillId="10" borderId="15" xfId="0" applyFont="1" applyFill="1" applyBorder="1" applyAlignment="1">
      <alignment horizontal="center" vertical="center" wrapText="1"/>
    </xf>
    <xf numFmtId="0" fontId="13" fillId="11" borderId="15" xfId="0" applyFont="1" applyFill="1" applyBorder="1" applyAlignment="1">
      <alignment horizontal="center" vertical="center" wrapText="1"/>
    </xf>
    <xf numFmtId="0" fontId="15" fillId="0" borderId="0" xfId="0" applyFont="1"/>
    <xf numFmtId="3" fontId="15" fillId="0" borderId="0" xfId="0" applyNumberFormat="1" applyFont="1"/>
    <xf numFmtId="0" fontId="15" fillId="0" borderId="0" xfId="0" applyFont="1" applyAlignment="1">
      <alignment horizontal="center" vertical="center" wrapText="1"/>
    </xf>
    <xf numFmtId="0" fontId="0" fillId="0" borderId="0" xfId="0" applyAlignment="1">
      <alignment horizontal="right"/>
    </xf>
    <xf numFmtId="0" fontId="0" fillId="0" borderId="0" xfId="0" quotePrefix="1" applyAlignment="1">
      <alignment horizontal="center"/>
    </xf>
    <xf numFmtId="0" fontId="0" fillId="0" borderId="10" xfId="0" applyBorder="1" applyAlignment="1">
      <alignment horizontal="right"/>
    </xf>
    <xf numFmtId="3" fontId="0" fillId="0" borderId="10" xfId="0" applyNumberFormat="1" applyBorder="1" applyAlignment="1">
      <alignment horizontal="right"/>
    </xf>
    <xf numFmtId="0" fontId="0" fillId="0" borderId="11" xfId="0" applyBorder="1" applyAlignment="1">
      <alignment horizontal="right"/>
    </xf>
    <xf numFmtId="3" fontId="0" fillId="0" borderId="7" xfId="0" applyNumberFormat="1" applyBorder="1"/>
    <xf numFmtId="0" fontId="3" fillId="3" borderId="7" xfId="0" applyFont="1" applyFill="1" applyBorder="1" applyAlignment="1">
      <alignment horizontal="center" vertical="center"/>
    </xf>
    <xf numFmtId="1" fontId="0" fillId="0" borderId="0" xfId="0" applyNumberFormat="1"/>
    <xf numFmtId="9" fontId="0" fillId="0" borderId="0" xfId="0" applyNumberFormat="1"/>
    <xf numFmtId="0" fontId="15" fillId="0" borderId="0" xfId="0" applyFont="1" applyAlignment="1">
      <alignment vertical="center"/>
    </xf>
    <xf numFmtId="3" fontId="0" fillId="0" borderId="0" xfId="0" applyNumberFormat="1" applyAlignment="1">
      <alignment horizontal="right"/>
    </xf>
    <xf numFmtId="2" fontId="0" fillId="0" borderId="0" xfId="0" applyNumberFormat="1"/>
    <xf numFmtId="3" fontId="0" fillId="0" borderId="9" xfId="0" applyNumberFormat="1" applyBorder="1" applyAlignment="1">
      <alignment horizontal="center"/>
    </xf>
    <xf numFmtId="3" fontId="0" fillId="0" borderId="10" xfId="0" applyNumberFormat="1" applyBorder="1"/>
    <xf numFmtId="3" fontId="0" fillId="0" borderId="11" xfId="0" applyNumberFormat="1" applyBorder="1"/>
    <xf numFmtId="3" fontId="0" fillId="0" borderId="4" xfId="0" applyNumberFormat="1" applyBorder="1" applyAlignment="1">
      <alignment horizontal="center"/>
    </xf>
    <xf numFmtId="3" fontId="0" fillId="0" borderId="5" xfId="0" applyNumberFormat="1" applyBorder="1"/>
    <xf numFmtId="0" fontId="31" fillId="0" borderId="0" xfId="0" applyFont="1" applyAlignment="1">
      <alignment horizontal="right"/>
    </xf>
    <xf numFmtId="10" fontId="0" fillId="0" borderId="0" xfId="0" applyNumberFormat="1"/>
    <xf numFmtId="0" fontId="31" fillId="0" borderId="0" xfId="0" applyFont="1"/>
    <xf numFmtId="0" fontId="31" fillId="0" borderId="0" xfId="0" applyFont="1" applyAlignment="1">
      <alignment horizontal="center"/>
    </xf>
    <xf numFmtId="0" fontId="32" fillId="0" borderId="0" xfId="0" applyFont="1" applyAlignment="1">
      <alignment vertical="center"/>
    </xf>
    <xf numFmtId="0" fontId="11" fillId="0" borderId="0" xfId="0" applyFont="1" applyAlignment="1">
      <alignment horizontal="left" wrapText="1"/>
    </xf>
    <xf numFmtId="164" fontId="0" fillId="0" borderId="0" xfId="0" applyNumberFormat="1"/>
    <xf numFmtId="0" fontId="33" fillId="0" borderId="0" xfId="0" applyFont="1"/>
    <xf numFmtId="0" fontId="35" fillId="0" borderId="0" xfId="0" applyFont="1"/>
    <xf numFmtId="3" fontId="35" fillId="0" borderId="0" xfId="0" applyNumberFormat="1" applyFont="1"/>
    <xf numFmtId="165" fontId="35" fillId="0" borderId="0" xfId="0" applyNumberFormat="1" applyFont="1"/>
    <xf numFmtId="0" fontId="34" fillId="0" borderId="7" xfId="0" applyFont="1" applyBorder="1" applyAlignment="1">
      <alignment horizontal="centerContinuous"/>
    </xf>
    <xf numFmtId="3" fontId="34" fillId="0" borderId="7" xfId="0" applyNumberFormat="1" applyFont="1" applyBorder="1" applyAlignment="1">
      <alignment horizontal="centerContinuous"/>
    </xf>
    <xf numFmtId="165" fontId="34" fillId="0" borderId="7" xfId="0" applyNumberFormat="1" applyFont="1" applyBorder="1" applyAlignment="1">
      <alignment horizontal="centerContinuous"/>
    </xf>
    <xf numFmtId="165" fontId="37" fillId="0" borderId="7" xfId="0" applyNumberFormat="1" applyFont="1" applyBorder="1" applyAlignment="1">
      <alignment horizontal="centerContinuous"/>
    </xf>
    <xf numFmtId="0" fontId="37" fillId="0" borderId="0" xfId="0" applyFont="1" applyAlignment="1">
      <alignment horizontal="centerContinuous"/>
    </xf>
    <xf numFmtId="0" fontId="35" fillId="0" borderId="0" xfId="0" applyFont="1" applyAlignment="1">
      <alignment horizontal="center"/>
    </xf>
    <xf numFmtId="3" fontId="35" fillId="0" borderId="0" xfId="0" applyNumberFormat="1" applyFont="1" applyAlignment="1">
      <alignment horizontal="center"/>
    </xf>
    <xf numFmtId="165" fontId="35" fillId="0" borderId="0" xfId="0" applyNumberFormat="1" applyFont="1" applyAlignment="1">
      <alignment horizontal="center"/>
    </xf>
    <xf numFmtId="0" fontId="35" fillId="0" borderId="7" xfId="0" applyFont="1" applyBorder="1" applyAlignment="1">
      <alignment horizontal="center"/>
    </xf>
    <xf numFmtId="3" fontId="35" fillId="0" borderId="7" xfId="0" applyNumberFormat="1" applyFont="1" applyBorder="1" applyAlignment="1">
      <alignment horizontal="center"/>
    </xf>
    <xf numFmtId="165" fontId="35" fillId="0" borderId="7" xfId="0" applyNumberFormat="1" applyFont="1" applyBorder="1" applyAlignment="1">
      <alignment horizontal="center"/>
    </xf>
    <xf numFmtId="3" fontId="35" fillId="0" borderId="0" xfId="0" applyNumberFormat="1" applyFont="1" applyAlignment="1">
      <alignment horizontal="right"/>
    </xf>
    <xf numFmtId="0" fontId="38" fillId="0" borderId="0" xfId="0" applyFont="1" applyAlignment="1">
      <alignment horizontal="left"/>
    </xf>
    <xf numFmtId="0" fontId="35" fillId="0" borderId="0" xfId="0" applyFont="1" applyAlignment="1">
      <alignment horizontal="left"/>
    </xf>
    <xf numFmtId="0" fontId="39" fillId="0" borderId="0" xfId="0" applyFont="1" applyAlignment="1">
      <alignment horizontal="left" indent="2"/>
    </xf>
    <xf numFmtId="0" fontId="34" fillId="0" borderId="0" xfId="0" applyFont="1"/>
    <xf numFmtId="165" fontId="36" fillId="0" borderId="0" xfId="0" applyNumberFormat="1" applyFont="1"/>
    <xf numFmtId="166" fontId="0" fillId="0" borderId="0" xfId="0" applyNumberFormat="1"/>
    <xf numFmtId="0" fontId="8" fillId="2" borderId="0" xfId="0" applyFont="1" applyFill="1"/>
    <xf numFmtId="0" fontId="3" fillId="7" borderId="8" xfId="0" applyFont="1" applyFill="1" applyBorder="1" applyAlignment="1">
      <alignment horizontal="center"/>
    </xf>
    <xf numFmtId="0" fontId="3" fillId="7" borderId="1" xfId="0" applyFont="1" applyFill="1" applyBorder="1"/>
    <xf numFmtId="0" fontId="3" fillId="7" borderId="2" xfId="0" applyFont="1" applyFill="1" applyBorder="1"/>
    <xf numFmtId="3" fontId="3" fillId="7" borderId="2" xfId="0" applyNumberFormat="1" applyFont="1" applyFill="1" applyBorder="1" applyAlignment="1">
      <alignment horizontal="right"/>
    </xf>
    <xf numFmtId="3" fontId="3" fillId="7" borderId="3" xfId="0" applyNumberFormat="1" applyFont="1" applyFill="1" applyBorder="1" applyAlignment="1">
      <alignment horizontal="right"/>
    </xf>
    <xf numFmtId="0" fontId="4" fillId="2" borderId="0" xfId="0" applyFont="1" applyFill="1"/>
    <xf numFmtId="0" fontId="3" fillId="0" borderId="9" xfId="0" applyFont="1" applyBorder="1"/>
    <xf numFmtId="0" fontId="3" fillId="4" borderId="2" xfId="0" applyFont="1" applyFill="1" applyBorder="1" applyAlignment="1">
      <alignment horizontal="centerContinuous"/>
    </xf>
    <xf numFmtId="0" fontId="5" fillId="5" borderId="9" xfId="0" applyFont="1" applyFill="1" applyBorder="1" applyAlignment="1">
      <alignment horizontal="centerContinuous"/>
    </xf>
    <xf numFmtId="0" fontId="3" fillId="5" borderId="11" xfId="0" applyFont="1" applyFill="1" applyBorder="1" applyAlignment="1">
      <alignment horizontal="centerContinuous"/>
    </xf>
    <xf numFmtId="0" fontId="3" fillId="5" borderId="6" xfId="0" applyFont="1" applyFill="1" applyBorder="1" applyAlignment="1">
      <alignment horizontal="center"/>
    </xf>
    <xf numFmtId="10" fontId="0" fillId="0" borderId="9" xfId="1" applyNumberFormat="1" applyFont="1" applyBorder="1" applyAlignment="1">
      <alignment horizontal="center"/>
    </xf>
    <xf numFmtId="10" fontId="0" fillId="0" borderId="4" xfId="1" applyNumberFormat="1" applyFont="1" applyBorder="1" applyAlignment="1">
      <alignment horizontal="center" vertical="center"/>
    </xf>
    <xf numFmtId="164" fontId="7" fillId="5" borderId="1" xfId="1" applyNumberFormat="1" applyFont="1" applyFill="1" applyBorder="1" applyAlignment="1">
      <alignment horizontal="center"/>
    </xf>
    <xf numFmtId="164" fontId="7" fillId="5" borderId="3" xfId="0" applyNumberFormat="1" applyFont="1" applyFill="1" applyBorder="1" applyAlignment="1">
      <alignment horizontal="center"/>
    </xf>
    <xf numFmtId="9" fontId="0" fillId="0" borderId="0" xfId="0" applyNumberFormat="1" applyAlignment="1">
      <alignment horizontal="right"/>
    </xf>
    <xf numFmtId="10" fontId="0" fillId="0" borderId="0" xfId="1" applyNumberFormat="1" applyFont="1" applyAlignment="1">
      <alignment horizontal="center" vertical="center"/>
    </xf>
    <xf numFmtId="10" fontId="0" fillId="0" borderId="0" xfId="0" applyNumberFormat="1" applyAlignment="1">
      <alignment horizontal="center" vertical="center"/>
    </xf>
    <xf numFmtId="3" fontId="3" fillId="0" borderId="10" xfId="0" applyNumberFormat="1" applyFont="1" applyBorder="1" applyAlignment="1">
      <alignment horizontal="center"/>
    </xf>
    <xf numFmtId="3" fontId="3" fillId="0" borderId="11" xfId="0" applyNumberFormat="1" applyFont="1" applyBorder="1" applyAlignment="1">
      <alignment horizontal="center"/>
    </xf>
    <xf numFmtId="3" fontId="3" fillId="0" borderId="0" xfId="0" applyNumberFormat="1" applyFont="1" applyAlignment="1">
      <alignment horizontal="center"/>
    </xf>
    <xf numFmtId="0" fontId="6" fillId="0" borderId="0" xfId="0" applyFont="1" applyAlignment="1">
      <alignment horizontal="center"/>
    </xf>
    <xf numFmtId="0" fontId="31" fillId="0" borderId="0" xfId="0" applyFont="1" applyAlignment="1">
      <alignment horizontal="left"/>
    </xf>
    <xf numFmtId="0" fontId="0" fillId="0" borderId="0" xfId="0" applyAlignment="1">
      <alignment horizontal="left"/>
    </xf>
    <xf numFmtId="10" fontId="3" fillId="0" borderId="0" xfId="0" applyNumberFormat="1" applyFont="1"/>
    <xf numFmtId="165" fontId="6" fillId="0" borderId="0" xfId="0" applyNumberFormat="1" applyFont="1" applyAlignment="1">
      <alignment horizontal="center"/>
    </xf>
    <xf numFmtId="2" fontId="6" fillId="0" borderId="0" xfId="0" applyNumberFormat="1" applyFont="1" applyAlignment="1">
      <alignment horizontal="center"/>
    </xf>
    <xf numFmtId="3" fontId="6" fillId="0" borderId="0" xfId="0" applyNumberFormat="1" applyFont="1" applyAlignment="1">
      <alignment horizontal="center"/>
    </xf>
    <xf numFmtId="165" fontId="6" fillId="0" borderId="0" xfId="0" applyNumberFormat="1" applyFont="1"/>
    <xf numFmtId="0" fontId="41" fillId="0" borderId="0" xfId="0" applyFont="1" applyAlignment="1">
      <alignment horizontal="left"/>
    </xf>
    <xf numFmtId="0" fontId="3" fillId="0" borderId="0" xfId="0" applyFont="1" applyAlignment="1">
      <alignment horizontal="center"/>
    </xf>
    <xf numFmtId="1" fontId="42" fillId="0" borderId="0" xfId="0" applyNumberFormat="1" applyFont="1" applyAlignment="1">
      <alignment horizontal="center"/>
    </xf>
    <xf numFmtId="3" fontId="6" fillId="0" borderId="0" xfId="0" applyNumberFormat="1" applyFont="1"/>
    <xf numFmtId="3" fontId="42" fillId="0" borderId="0" xfId="0" applyNumberFormat="1" applyFont="1" applyAlignment="1">
      <alignment horizontal="right"/>
    </xf>
    <xf numFmtId="0" fontId="3" fillId="0" borderId="0" xfId="0" applyFont="1" applyAlignment="1">
      <alignment horizontal="left"/>
    </xf>
    <xf numFmtId="1" fontId="3" fillId="0" borderId="0" xfId="0" applyNumberFormat="1" applyFont="1" applyAlignment="1">
      <alignment horizontal="center"/>
    </xf>
    <xf numFmtId="164" fontId="3" fillId="0" borderId="0" xfId="0" applyNumberFormat="1" applyFont="1"/>
    <xf numFmtId="0" fontId="0" fillId="0" borderId="0" xfId="0" applyAlignment="1">
      <alignment vertical="center"/>
    </xf>
    <xf numFmtId="3" fontId="42" fillId="0" borderId="0" xfId="0" applyNumberFormat="1" applyFont="1"/>
    <xf numFmtId="1" fontId="42" fillId="0" borderId="0" xfId="0" applyNumberFormat="1" applyFont="1"/>
    <xf numFmtId="0" fontId="0" fillId="0" borderId="0" xfId="0" applyAlignment="1">
      <alignment horizontal="center" vertical="center" textRotation="90" wrapText="1"/>
    </xf>
    <xf numFmtId="3" fontId="0" fillId="7" borderId="0" xfId="0" applyNumberFormat="1" applyFill="1"/>
    <xf numFmtId="165" fontId="0" fillId="0" borderId="0" xfId="0" applyNumberFormat="1" applyAlignment="1">
      <alignment horizontal="center"/>
    </xf>
    <xf numFmtId="3" fontId="0" fillId="7" borderId="0" xfId="0" applyNumberFormat="1" applyFill="1" applyAlignment="1">
      <alignment horizontal="center"/>
    </xf>
    <xf numFmtId="165" fontId="0" fillId="7" borderId="0" xfId="1" applyNumberFormat="1" applyFont="1" applyFill="1" applyAlignment="1">
      <alignment horizontal="center"/>
    </xf>
    <xf numFmtId="0" fontId="0" fillId="7" borderId="0" xfId="0" applyFill="1"/>
    <xf numFmtId="165" fontId="0" fillId="0" borderId="0" xfId="1" applyNumberFormat="1" applyFont="1" applyAlignment="1">
      <alignment horizontal="center"/>
    </xf>
    <xf numFmtId="0" fontId="0" fillId="7" borderId="0" xfId="0" applyFill="1" applyAlignment="1">
      <alignment horizontal="center"/>
    </xf>
    <xf numFmtId="165" fontId="0" fillId="7" borderId="0" xfId="0" applyNumberFormat="1" applyFill="1" applyAlignment="1">
      <alignment horizontal="center"/>
    </xf>
    <xf numFmtId="0" fontId="0" fillId="0" borderId="0" xfId="0" applyAlignment="1">
      <alignment horizontal="center" vertical="center" textRotation="90"/>
    </xf>
    <xf numFmtId="165" fontId="0" fillId="7" borderId="0" xfId="0" applyNumberFormat="1" applyFill="1"/>
    <xf numFmtId="165" fontId="0" fillId="0" borderId="0" xfId="0" applyNumberFormat="1"/>
    <xf numFmtId="165" fontId="0" fillId="0" borderId="0" xfId="0" applyNumberFormat="1" applyAlignment="1">
      <alignment horizontal="right"/>
    </xf>
    <xf numFmtId="165" fontId="2" fillId="7" borderId="0" xfId="0" applyNumberFormat="1" applyFont="1" applyFill="1" applyAlignment="1">
      <alignment horizontal="center"/>
    </xf>
    <xf numFmtId="0" fontId="2" fillId="0" borderId="0" xfId="0" applyFont="1"/>
    <xf numFmtId="0" fontId="43" fillId="0" borderId="0" xfId="0" applyFont="1" applyAlignment="1">
      <alignment vertical="top" wrapText="1"/>
    </xf>
    <xf numFmtId="0" fontId="44" fillId="0" borderId="0" xfId="0" applyFont="1" applyAlignment="1">
      <alignment horizontal="right" vertical="top" wrapText="1"/>
    </xf>
    <xf numFmtId="1" fontId="44" fillId="0" borderId="0" xfId="0" applyNumberFormat="1" applyFont="1" applyAlignment="1">
      <alignment vertical="top" wrapText="1"/>
    </xf>
    <xf numFmtId="1" fontId="44" fillId="0" borderId="0" xfId="0" applyNumberFormat="1" applyFont="1" applyAlignment="1">
      <alignment horizontal="right" vertical="top" wrapText="1"/>
    </xf>
    <xf numFmtId="1" fontId="44" fillId="0" borderId="29" xfId="0" applyNumberFormat="1" applyFont="1" applyBorder="1" applyAlignment="1">
      <alignment vertical="top" wrapText="1"/>
    </xf>
    <xf numFmtId="3" fontId="44" fillId="0" borderId="29" xfId="0" applyNumberFormat="1" applyFont="1" applyBorder="1" applyAlignment="1">
      <alignment horizontal="right" vertical="top" wrapText="1"/>
    </xf>
    <xf numFmtId="1" fontId="44" fillId="0" borderId="29" xfId="0" applyNumberFormat="1" applyFont="1" applyBorder="1" applyAlignment="1">
      <alignment horizontal="right" vertical="top" wrapText="1"/>
    </xf>
    <xf numFmtId="1" fontId="44" fillId="0" borderId="30" xfId="0" applyNumberFormat="1" applyFont="1" applyBorder="1" applyAlignment="1">
      <alignment vertical="top" wrapText="1"/>
    </xf>
    <xf numFmtId="3" fontId="44" fillId="0" borderId="30" xfId="0" applyNumberFormat="1" applyFont="1" applyBorder="1" applyAlignment="1">
      <alignment horizontal="right" vertical="top" wrapText="1"/>
    </xf>
    <xf numFmtId="1" fontId="44" fillId="0" borderId="30" xfId="0" applyNumberFormat="1" applyFont="1" applyBorder="1" applyAlignment="1">
      <alignment horizontal="right" vertical="top" wrapText="1"/>
    </xf>
    <xf numFmtId="3" fontId="44" fillId="0" borderId="0" xfId="0" applyNumberFormat="1" applyFont="1" applyAlignment="1">
      <alignment horizontal="right" vertical="top" wrapText="1"/>
    </xf>
    <xf numFmtId="0" fontId="44" fillId="0" borderId="0" xfId="0" applyFont="1" applyAlignment="1">
      <alignment vertical="top" wrapText="1"/>
    </xf>
    <xf numFmtId="0" fontId="43" fillId="0" borderId="30" xfId="0" applyFont="1" applyBorder="1" applyAlignment="1">
      <alignment vertical="top" wrapText="1"/>
    </xf>
    <xf numFmtId="0" fontId="43" fillId="0" borderId="29" xfId="0" applyFont="1" applyBorder="1" applyAlignment="1">
      <alignment vertical="top" wrapText="1"/>
    </xf>
    <xf numFmtId="0" fontId="0" fillId="0" borderId="0" xfId="0" applyAlignment="1">
      <alignment horizontal="center" vertical="center"/>
    </xf>
    <xf numFmtId="3" fontId="0" fillId="0" borderId="8" xfId="0" applyNumberFormat="1" applyBorder="1"/>
    <xf numFmtId="0" fontId="3" fillId="43" borderId="1" xfId="0" applyFont="1" applyFill="1" applyBorder="1" applyAlignment="1">
      <alignment horizontal="left" vertical="center"/>
    </xf>
    <xf numFmtId="0" fontId="0" fillId="43" borderId="3" xfId="0" applyFill="1" applyBorder="1" applyAlignment="1">
      <alignment horizontal="centerContinuous" vertical="center"/>
    </xf>
    <xf numFmtId="3" fontId="3" fillId="3" borderId="10" xfId="0" applyNumberFormat="1" applyFont="1" applyFill="1" applyBorder="1" applyAlignment="1">
      <alignment horizontal="centerContinuous"/>
    </xf>
    <xf numFmtId="0" fontId="3" fillId="3" borderId="2" xfId="0" quotePrefix="1" applyFont="1" applyFill="1" applyBorder="1" applyAlignment="1">
      <alignment horizontal="center"/>
    </xf>
    <xf numFmtId="0" fontId="3" fillId="3" borderId="3" xfId="0" applyFont="1" applyFill="1" applyBorder="1" applyAlignment="1">
      <alignment horizontal="center"/>
    </xf>
    <xf numFmtId="3" fontId="3" fillId="3" borderId="7" xfId="0" applyNumberFormat="1" applyFont="1" applyFill="1" applyBorder="1" applyAlignment="1">
      <alignment horizontal="centerContinuous"/>
    </xf>
    <xf numFmtId="0" fontId="3" fillId="3" borderId="8" xfId="0" applyFont="1" applyFill="1" applyBorder="1" applyAlignment="1">
      <alignment horizontal="center" vertical="center"/>
    </xf>
    <xf numFmtId="0" fontId="0" fillId="3" borderId="6" xfId="0" applyFill="1" applyBorder="1" applyAlignment="1">
      <alignment horizontal="center" vertical="center"/>
    </xf>
    <xf numFmtId="0" fontId="0" fillId="3" borderId="7" xfId="0" applyFill="1" applyBorder="1" applyAlignment="1">
      <alignment horizontal="center" vertical="center"/>
    </xf>
    <xf numFmtId="164" fontId="7" fillId="5" borderId="2" xfId="1" applyNumberFormat="1" applyFont="1" applyFill="1" applyBorder="1" applyAlignment="1">
      <alignment horizontal="center"/>
    </xf>
    <xf numFmtId="10" fontId="0" fillId="0" borderId="0" xfId="0" quotePrefix="1" applyNumberFormat="1" applyAlignment="1">
      <alignment horizontal="center"/>
    </xf>
    <xf numFmtId="0" fontId="8" fillId="44" borderId="0" xfId="0" applyFont="1" applyFill="1"/>
    <xf numFmtId="0" fontId="3" fillId="45" borderId="1" xfId="0" applyFont="1" applyFill="1" applyBorder="1"/>
    <xf numFmtId="0" fontId="0" fillId="45" borderId="3" xfId="0" applyFill="1" applyBorder="1"/>
    <xf numFmtId="0" fontId="5" fillId="46" borderId="9" xfId="0" applyFont="1" applyFill="1" applyBorder="1" applyAlignment="1">
      <alignment horizontal="centerContinuous"/>
    </xf>
    <xf numFmtId="0" fontId="0" fillId="46" borderId="11" xfId="0" applyFill="1" applyBorder="1" applyAlignment="1">
      <alignment horizontal="centerContinuous"/>
    </xf>
    <xf numFmtId="0" fontId="3" fillId="46" borderId="10" xfId="0" applyFont="1" applyFill="1" applyBorder="1" applyAlignment="1">
      <alignment horizontal="centerContinuous"/>
    </xf>
    <xf numFmtId="0" fontId="3" fillId="46" borderId="11" xfId="0" applyFont="1" applyFill="1" applyBorder="1" applyAlignment="1">
      <alignment horizontal="centerContinuous"/>
    </xf>
    <xf numFmtId="0" fontId="3" fillId="46" borderId="4" xfId="0" applyFont="1" applyFill="1" applyBorder="1" applyAlignment="1">
      <alignment horizontal="center" vertical="center"/>
    </xf>
    <xf numFmtId="0" fontId="3" fillId="46" borderId="5" xfId="0" applyFont="1" applyFill="1" applyBorder="1" applyAlignment="1">
      <alignment horizontal="center" vertical="center"/>
    </xf>
    <xf numFmtId="0" fontId="3" fillId="46" borderId="7" xfId="0" applyFont="1" applyFill="1" applyBorder="1" applyAlignment="1">
      <alignment horizontal="center" vertical="center"/>
    </xf>
    <xf numFmtId="0" fontId="3" fillId="46" borderId="1" xfId="0" applyFont="1" applyFill="1" applyBorder="1" applyAlignment="1">
      <alignment horizontal="center" vertical="center"/>
    </xf>
    <xf numFmtId="0" fontId="3" fillId="46" borderId="3" xfId="0" applyFont="1" applyFill="1" applyBorder="1" applyAlignment="1">
      <alignment horizontal="center" vertical="center"/>
    </xf>
    <xf numFmtId="0" fontId="45" fillId="2" borderId="0" xfId="0" applyFont="1" applyFill="1"/>
    <xf numFmtId="0" fontId="8" fillId="2" borderId="1" xfId="0" applyFont="1" applyFill="1" applyBorder="1" applyAlignment="1">
      <alignment horizontal="center"/>
    </xf>
    <xf numFmtId="164" fontId="8" fillId="2" borderId="3" xfId="0" applyNumberFormat="1" applyFont="1" applyFill="1" applyBorder="1" applyAlignment="1">
      <alignment horizontal="center"/>
    </xf>
    <xf numFmtId="0" fontId="45" fillId="0" borderId="0" xfId="0" applyFont="1"/>
    <xf numFmtId="0" fontId="8" fillId="0" borderId="3" xfId="0" applyFont="1" applyBorder="1" applyAlignment="1">
      <alignment horizontal="center"/>
    </xf>
    <xf numFmtId="3" fontId="3" fillId="5" borderId="3" xfId="0" quotePrefix="1" applyNumberFormat="1" applyFont="1" applyFill="1" applyBorder="1" applyAlignment="1">
      <alignment horizontal="center"/>
    </xf>
    <xf numFmtId="0" fontId="2" fillId="0" borderId="0" xfId="0" applyFont="1" applyAlignment="1">
      <alignment horizontal="left" vertical="center"/>
    </xf>
    <xf numFmtId="0" fontId="2" fillId="2" borderId="0" xfId="0" applyFont="1" applyFill="1"/>
    <xf numFmtId="0" fontId="46" fillId="0" borderId="0" xfId="0" applyFont="1"/>
    <xf numFmtId="0" fontId="3" fillId="46" borderId="1" xfId="0" applyFont="1" applyFill="1" applyBorder="1" applyAlignment="1">
      <alignment horizontal="centerContinuous"/>
    </xf>
    <xf numFmtId="0" fontId="0" fillId="46" borderId="2" xfId="0" applyFill="1" applyBorder="1" applyAlignment="1">
      <alignment horizontal="centerContinuous"/>
    </xf>
    <xf numFmtId="3" fontId="3" fillId="46" borderId="1" xfId="0" applyNumberFormat="1" applyFont="1" applyFill="1" applyBorder="1" applyAlignment="1">
      <alignment horizontal="center"/>
    </xf>
    <xf numFmtId="3" fontId="3" fillId="46" borderId="3" xfId="0" applyNumberFormat="1" applyFont="1" applyFill="1" applyBorder="1" applyAlignment="1">
      <alignment horizontal="center"/>
    </xf>
    <xf numFmtId="3" fontId="3" fillId="46" borderId="1" xfId="0" applyNumberFormat="1" applyFont="1" applyFill="1" applyBorder="1" applyAlignment="1">
      <alignment horizontal="right"/>
    </xf>
    <xf numFmtId="3" fontId="3" fillId="46" borderId="2" xfId="0" applyNumberFormat="1" applyFont="1" applyFill="1" applyBorder="1" applyAlignment="1">
      <alignment horizontal="right"/>
    </xf>
    <xf numFmtId="3" fontId="3" fillId="46" borderId="3" xfId="0" applyNumberFormat="1" applyFont="1" applyFill="1" applyBorder="1" applyAlignment="1">
      <alignment horizontal="right"/>
    </xf>
    <xf numFmtId="1" fontId="44" fillId="0" borderId="0" xfId="0" applyNumberFormat="1" applyFont="1" applyFill="1" applyBorder="1" applyAlignment="1">
      <alignment vertical="top" wrapText="1"/>
    </xf>
    <xf numFmtId="0" fontId="8" fillId="2" borderId="1" xfId="0" applyFont="1" applyFill="1" applyBorder="1" applyAlignment="1">
      <alignment horizontal="center"/>
    </xf>
    <xf numFmtId="0" fontId="45" fillId="0" borderId="2" xfId="0" applyFont="1" applyBorder="1" applyAlignment="1">
      <alignment horizontal="center"/>
    </xf>
    <xf numFmtId="0" fontId="0" fillId="0" borderId="2" xfId="0" applyBorder="1"/>
    <xf numFmtId="3" fontId="0" fillId="0" borderId="5" xfId="0" quotePrefix="1" applyNumberFormat="1" applyBorder="1" applyAlignment="1">
      <alignment horizontal="center" vertical="center"/>
    </xf>
    <xf numFmtId="0" fontId="0" fillId="0" borderId="5" xfId="0" quotePrefix="1" applyBorder="1" applyAlignment="1">
      <alignment horizontal="center" vertical="center"/>
    </xf>
    <xf numFmtId="0" fontId="0" fillId="0" borderId="8" xfId="0" quotePrefix="1" applyBorder="1" applyAlignment="1">
      <alignment horizontal="center" vertical="center"/>
    </xf>
    <xf numFmtId="0" fontId="0" fillId="0" borderId="5" xfId="0" applyBorder="1" applyAlignment="1">
      <alignment horizontal="center" vertical="center"/>
    </xf>
    <xf numFmtId="0" fontId="0" fillId="0" borderId="5" xfId="0" applyBorder="1" applyAlignment="1">
      <alignment horizontal="center"/>
    </xf>
    <xf numFmtId="3" fontId="0" fillId="2" borderId="0" xfId="0" applyNumberFormat="1" applyFill="1" applyAlignment="1">
      <alignment horizontal="center"/>
    </xf>
    <xf numFmtId="0" fontId="0" fillId="2" borderId="0" xfId="0" applyFill="1" applyAlignment="1">
      <alignment horizontal="center"/>
    </xf>
    <xf numFmtId="3" fontId="47" fillId="0" borderId="12" xfId="0" applyNumberFormat="1" applyFont="1" applyBorder="1" applyAlignment="1">
      <alignment horizontal="center" vertical="center" textRotation="90" wrapText="1"/>
    </xf>
    <xf numFmtId="0" fontId="47" fillId="0" borderId="13" xfId="0" applyFont="1" applyBorder="1" applyAlignment="1">
      <alignment horizontal="center" vertical="center" textRotation="90" wrapText="1"/>
    </xf>
    <xf numFmtId="0" fontId="47" fillId="0" borderId="14" xfId="0" applyFont="1" applyBorder="1" applyAlignment="1">
      <alignment horizontal="center" vertical="center" textRotation="90" wrapText="1"/>
    </xf>
    <xf numFmtId="0" fontId="3" fillId="0" borderId="12" xfId="0" applyFont="1" applyBorder="1" applyAlignment="1">
      <alignment horizontal="center" vertical="center" textRotation="90" wrapText="1"/>
    </xf>
    <xf numFmtId="0" fontId="3" fillId="0" borderId="13" xfId="0" applyFont="1" applyBorder="1" applyAlignment="1">
      <alignment horizontal="center" vertical="center" textRotation="90" wrapText="1"/>
    </xf>
    <xf numFmtId="0" fontId="3" fillId="0" borderId="14" xfId="0" applyFont="1" applyBorder="1" applyAlignment="1">
      <alignment horizontal="center" vertical="center" textRotation="90" wrapText="1"/>
    </xf>
    <xf numFmtId="0" fontId="0" fillId="0" borderId="0" xfId="0" applyAlignment="1">
      <alignment horizontal="center" vertical="center"/>
    </xf>
    <xf numFmtId="0" fontId="0" fillId="0" borderId="0" xfId="0" applyAlignment="1">
      <alignment horizontal="center"/>
    </xf>
    <xf numFmtId="0" fontId="31" fillId="0" borderId="0" xfId="0" applyFont="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27" xfId="0" applyBorder="1" applyAlignment="1">
      <alignment horizontal="center"/>
    </xf>
    <xf numFmtId="0" fontId="0" fillId="0" borderId="0" xfId="0" applyAlignment="1">
      <alignment horizontal="left" wrapText="1"/>
    </xf>
    <xf numFmtId="0" fontId="0" fillId="0" borderId="28" xfId="0" applyBorder="1" applyAlignment="1">
      <alignment horizontal="left" wrapText="1"/>
    </xf>
    <xf numFmtId="0" fontId="6" fillId="0" borderId="0" xfId="0" applyFont="1" applyAlignment="1">
      <alignment horizontal="left" wrapText="1"/>
    </xf>
    <xf numFmtId="0" fontId="0" fillId="0" borderId="28" xfId="0" applyBorder="1"/>
    <xf numFmtId="0" fontId="0" fillId="0" borderId="28" xfId="0" applyBorder="1" applyAlignment="1">
      <alignment horizontal="left"/>
    </xf>
  </cellXfs>
  <cellStyles count="44">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2" xfId="43" xr:uid="{00000000-0005-0000-0000-000025000000}"/>
    <cellStyle name="Note" xfId="16" builtinId="10" customBuiltin="1"/>
    <cellStyle name="Output" xfId="11" builtinId="21" customBuiltin="1"/>
    <cellStyle name="Percent" xfId="1" builtinId="5"/>
    <cellStyle name="Title" xfId="2" builtinId="15" customBuiltin="1"/>
    <cellStyle name="Total" xfId="18" builtinId="25" customBuiltin="1"/>
    <cellStyle name="Warning Text" xfId="15" builtinId="11" customBuiltin="1"/>
  </cellStyles>
  <dxfs count="0"/>
  <tableStyles count="0" defaultTableStyle="TableStyleMedium2" defaultPivotStyle="PivotStyleLight16"/>
  <colors>
    <mruColors>
      <color rgb="FFDFF1E6"/>
      <color rgb="FF44A16A"/>
      <color rgb="FFBEE4CD"/>
      <color rgb="FF75C595"/>
      <color rgb="FF2B6743"/>
      <color rgb="FF98B1CC"/>
      <color rgb="FF9FC1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85455279535554"/>
          <c:y val="3.4750292261994116E-2"/>
          <c:w val="0.87252097745139789"/>
          <c:h val="0.88086827967994463"/>
        </c:manualLayout>
      </c:layout>
      <c:barChart>
        <c:barDir val="col"/>
        <c:grouping val="stacked"/>
        <c:varyColors val="0"/>
        <c:ser>
          <c:idx val="0"/>
          <c:order val="0"/>
          <c:tx>
            <c:v>Winter steelhead</c:v>
          </c:tx>
          <c:spPr>
            <a:solidFill>
              <a:srgbClr val="2B6743"/>
            </a:solidFill>
            <a:ln>
              <a:solidFill>
                <a:schemeClr val="tx1"/>
              </a:solidFill>
            </a:ln>
            <a:effectLst/>
          </c:spPr>
          <c:invertIfNegative val="0"/>
          <c:cat>
            <c:numRef>
              <c:f>Run!$O$28:$O$77</c:f>
              <c:numCache>
                <c:formatCode>0</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formatCode="General">
                  <c:v>1998</c:v>
                </c:pt>
                <c:pt idx="29" formatCode="General">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formatCode="General">
                  <c:v>2018</c:v>
                </c:pt>
                <c:pt idx="49">
                  <c:v>2019</c:v>
                </c:pt>
              </c:numCache>
            </c:numRef>
          </c:cat>
          <c:val>
            <c:numRef>
              <c:f>Run!$R$28:$R$77</c:f>
              <c:numCache>
                <c:formatCode>#,##0</c:formatCode>
                <c:ptCount val="50"/>
                <c:pt idx="0" formatCode="0">
                  <c:v>4700</c:v>
                </c:pt>
                <c:pt idx="1">
                  <c:v>26647</c:v>
                </c:pt>
                <c:pt idx="2">
                  <c:v>23257</c:v>
                </c:pt>
                <c:pt idx="3">
                  <c:v>17900</c:v>
                </c:pt>
                <c:pt idx="4">
                  <c:v>14824</c:v>
                </c:pt>
                <c:pt idx="5">
                  <c:v>6130</c:v>
                </c:pt>
                <c:pt idx="6">
                  <c:v>9398</c:v>
                </c:pt>
                <c:pt idx="7">
                  <c:v>13604</c:v>
                </c:pt>
                <c:pt idx="8">
                  <c:v>16869</c:v>
                </c:pt>
                <c:pt idx="9">
                  <c:v>8726</c:v>
                </c:pt>
                <c:pt idx="10">
                  <c:v>22356</c:v>
                </c:pt>
                <c:pt idx="11">
                  <c:v>16666</c:v>
                </c:pt>
                <c:pt idx="12">
                  <c:v>13011</c:v>
                </c:pt>
                <c:pt idx="13">
                  <c:v>9298</c:v>
                </c:pt>
                <c:pt idx="14">
                  <c:v>17384</c:v>
                </c:pt>
                <c:pt idx="15">
                  <c:v>20592</c:v>
                </c:pt>
                <c:pt idx="16">
                  <c:v>21251</c:v>
                </c:pt>
                <c:pt idx="17">
                  <c:v>16765</c:v>
                </c:pt>
                <c:pt idx="18">
                  <c:v>23378</c:v>
                </c:pt>
                <c:pt idx="19">
                  <c:v>9572</c:v>
                </c:pt>
                <c:pt idx="20">
                  <c:v>11107</c:v>
                </c:pt>
                <c:pt idx="21">
                  <c:v>4943</c:v>
                </c:pt>
                <c:pt idx="22">
                  <c:v>5396</c:v>
                </c:pt>
                <c:pt idx="23">
                  <c:v>3568</c:v>
                </c:pt>
                <c:pt idx="24">
                  <c:v>5300</c:v>
                </c:pt>
                <c:pt idx="25">
                  <c:v>4693</c:v>
                </c:pt>
                <c:pt idx="26">
                  <c:v>1801</c:v>
                </c:pt>
                <c:pt idx="27">
                  <c:v>4544</c:v>
                </c:pt>
                <c:pt idx="28">
                  <c:v>3678</c:v>
                </c:pt>
                <c:pt idx="29">
                  <c:v>6904</c:v>
                </c:pt>
                <c:pt idx="30">
                  <c:v>4761</c:v>
                </c:pt>
                <c:pt idx="31">
                  <c:v>12525</c:v>
                </c:pt>
                <c:pt idx="32">
                  <c:v>16658</c:v>
                </c:pt>
                <c:pt idx="33">
                  <c:v>9092</c:v>
                </c:pt>
                <c:pt idx="34">
                  <c:v>11842</c:v>
                </c:pt>
                <c:pt idx="35">
                  <c:v>5963</c:v>
                </c:pt>
                <c:pt idx="36">
                  <c:v>6404</c:v>
                </c:pt>
                <c:pt idx="37">
                  <c:v>5474</c:v>
                </c:pt>
                <c:pt idx="38">
                  <c:v>4915</c:v>
                </c:pt>
                <c:pt idx="39">
                  <c:v>2813</c:v>
                </c:pt>
                <c:pt idx="40">
                  <c:v>7337</c:v>
                </c:pt>
                <c:pt idx="41">
                  <c:v>7441</c:v>
                </c:pt>
                <c:pt idx="42">
                  <c:v>7616</c:v>
                </c:pt>
                <c:pt idx="43">
                  <c:v>4944</c:v>
                </c:pt>
                <c:pt idx="44">
                  <c:v>5349</c:v>
                </c:pt>
                <c:pt idx="45">
                  <c:v>4508</c:v>
                </c:pt>
                <c:pt idx="46">
                  <c:v>5778</c:v>
                </c:pt>
                <c:pt idx="47" formatCode="0">
                  <c:v>822</c:v>
                </c:pt>
                <c:pt idx="48">
                  <c:v>1829</c:v>
                </c:pt>
                <c:pt idx="49">
                  <c:v>3202</c:v>
                </c:pt>
              </c:numCache>
            </c:numRef>
          </c:val>
          <c:extLst>
            <c:ext xmlns:c16="http://schemas.microsoft.com/office/drawing/2014/chart" uri="{C3380CC4-5D6E-409C-BE32-E72D297353CC}">
              <c16:uniqueId val="{00000000-DFB8-48F8-8A69-B1102FF2A91F}"/>
            </c:ext>
          </c:extLst>
        </c:ser>
        <c:ser>
          <c:idx val="1"/>
          <c:order val="1"/>
          <c:tx>
            <c:v>Summer Steelhead</c:v>
          </c:tx>
          <c:spPr>
            <a:solidFill>
              <a:srgbClr val="75C595"/>
            </a:solidFill>
            <a:ln>
              <a:solidFill>
                <a:schemeClr val="tx1"/>
              </a:solidFill>
            </a:ln>
            <a:effectLst/>
          </c:spPr>
          <c:invertIfNegative val="0"/>
          <c:cat>
            <c:numRef>
              <c:f>Run!$O$28:$O$77</c:f>
              <c:numCache>
                <c:formatCode>0</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formatCode="General">
                  <c:v>1998</c:v>
                </c:pt>
                <c:pt idx="29" formatCode="General">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formatCode="General">
                  <c:v>2018</c:v>
                </c:pt>
                <c:pt idx="49">
                  <c:v>2019</c:v>
                </c:pt>
              </c:numCache>
            </c:numRef>
          </c:cat>
          <c:val>
            <c:numRef>
              <c:f>Run!$S$28:$S$77</c:f>
              <c:numCache>
                <c:formatCode>#,##0</c:formatCode>
                <c:ptCount val="50"/>
                <c:pt idx="0" formatCode="0">
                  <c:v>146</c:v>
                </c:pt>
                <c:pt idx="1">
                  <c:v>2310</c:v>
                </c:pt>
                <c:pt idx="2" formatCode="0">
                  <c:v>690</c:v>
                </c:pt>
                <c:pt idx="3">
                  <c:v>1686</c:v>
                </c:pt>
                <c:pt idx="4">
                  <c:v>4858</c:v>
                </c:pt>
                <c:pt idx="5">
                  <c:v>2910</c:v>
                </c:pt>
                <c:pt idx="6">
                  <c:v>3876</c:v>
                </c:pt>
                <c:pt idx="7">
                  <c:v>9244</c:v>
                </c:pt>
                <c:pt idx="8">
                  <c:v>15172</c:v>
                </c:pt>
                <c:pt idx="9">
                  <c:v>7638</c:v>
                </c:pt>
                <c:pt idx="10">
                  <c:v>11222</c:v>
                </c:pt>
                <c:pt idx="11">
                  <c:v>15224</c:v>
                </c:pt>
                <c:pt idx="12">
                  <c:v>12571</c:v>
                </c:pt>
                <c:pt idx="13">
                  <c:v>5301</c:v>
                </c:pt>
                <c:pt idx="14">
                  <c:v>25002</c:v>
                </c:pt>
                <c:pt idx="15">
                  <c:v>22223</c:v>
                </c:pt>
                <c:pt idx="16">
                  <c:v>40719</c:v>
                </c:pt>
                <c:pt idx="17">
                  <c:v>23742</c:v>
                </c:pt>
                <c:pt idx="18">
                  <c:v>36940</c:v>
                </c:pt>
                <c:pt idx="19">
                  <c:v>6841</c:v>
                </c:pt>
                <c:pt idx="20">
                  <c:v>23428</c:v>
                </c:pt>
                <c:pt idx="21">
                  <c:v>6360</c:v>
                </c:pt>
                <c:pt idx="22">
                  <c:v>11697</c:v>
                </c:pt>
                <c:pt idx="23">
                  <c:v>12920</c:v>
                </c:pt>
                <c:pt idx="24">
                  <c:v>11819</c:v>
                </c:pt>
                <c:pt idx="25">
                  <c:v>12704</c:v>
                </c:pt>
                <c:pt idx="26">
                  <c:v>6346</c:v>
                </c:pt>
                <c:pt idx="27">
                  <c:v>14907</c:v>
                </c:pt>
                <c:pt idx="28">
                  <c:v>12931</c:v>
                </c:pt>
                <c:pt idx="29">
                  <c:v>10935</c:v>
                </c:pt>
                <c:pt idx="30">
                  <c:v>12518</c:v>
                </c:pt>
                <c:pt idx="31">
                  <c:v>26418</c:v>
                </c:pt>
                <c:pt idx="32">
                  <c:v>34291</c:v>
                </c:pt>
                <c:pt idx="33">
                  <c:v>15834</c:v>
                </c:pt>
                <c:pt idx="34">
                  <c:v>33440</c:v>
                </c:pt>
                <c:pt idx="35">
                  <c:v>14063</c:v>
                </c:pt>
                <c:pt idx="36">
                  <c:v>19373</c:v>
                </c:pt>
                <c:pt idx="37">
                  <c:v>14915</c:v>
                </c:pt>
                <c:pt idx="38">
                  <c:v>14883</c:v>
                </c:pt>
                <c:pt idx="39">
                  <c:v>15062</c:v>
                </c:pt>
                <c:pt idx="40">
                  <c:v>25675</c:v>
                </c:pt>
                <c:pt idx="41">
                  <c:v>21477</c:v>
                </c:pt>
                <c:pt idx="42">
                  <c:v>24729</c:v>
                </c:pt>
                <c:pt idx="43">
                  <c:v>13549</c:v>
                </c:pt>
                <c:pt idx="44">
                  <c:v>22941</c:v>
                </c:pt>
                <c:pt idx="45">
                  <c:v>3894</c:v>
                </c:pt>
                <c:pt idx="46">
                  <c:v>21732</c:v>
                </c:pt>
                <c:pt idx="47">
                  <c:v>2182</c:v>
                </c:pt>
                <c:pt idx="48">
                  <c:v>9277</c:v>
                </c:pt>
                <c:pt idx="49" formatCode="General">
                  <c:v>5367</c:v>
                </c:pt>
              </c:numCache>
            </c:numRef>
          </c:val>
          <c:extLst>
            <c:ext xmlns:c16="http://schemas.microsoft.com/office/drawing/2014/chart" uri="{C3380CC4-5D6E-409C-BE32-E72D297353CC}">
              <c16:uniqueId val="{00000001-DFB8-48F8-8A69-B1102FF2A91F}"/>
            </c:ext>
          </c:extLst>
        </c:ser>
        <c:dLbls>
          <c:showLegendKey val="0"/>
          <c:showVal val="0"/>
          <c:showCatName val="0"/>
          <c:showSerName val="0"/>
          <c:showPercent val="0"/>
          <c:showBubbleSize val="0"/>
        </c:dLbls>
        <c:gapWidth val="10"/>
        <c:overlap val="100"/>
        <c:axId val="110320640"/>
        <c:axId val="110357504"/>
      </c:barChart>
      <c:catAx>
        <c:axId val="110320640"/>
        <c:scaling>
          <c:orientation val="minMax"/>
        </c:scaling>
        <c:delete val="0"/>
        <c:axPos val="b"/>
        <c:numFmt formatCode="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110357504"/>
        <c:crosses val="autoZero"/>
        <c:auto val="1"/>
        <c:lblAlgn val="ctr"/>
        <c:lblOffset val="100"/>
        <c:tickLblSkip val="4"/>
        <c:tickMarkSkip val="4"/>
        <c:noMultiLvlLbl val="0"/>
      </c:catAx>
      <c:valAx>
        <c:axId val="110357504"/>
        <c:scaling>
          <c:orientation val="minMax"/>
          <c:max val="70000"/>
        </c:scaling>
        <c:delete val="0"/>
        <c:axPos val="l"/>
        <c:majorGridlines>
          <c:spPr>
            <a:ln w="9525" cap="flat" cmpd="sng" algn="ctr">
              <a:solidFill>
                <a:schemeClr val="bg1">
                  <a:lumMod val="65000"/>
                </a:schemeClr>
              </a:solidFill>
              <a:prstDash val="dash"/>
              <a:round/>
            </a:ln>
            <a:effectLst/>
          </c:spPr>
        </c:majorGridlines>
        <c:title>
          <c:tx>
            <c:rich>
              <a:bodyPr rot="-5400000" spcFirstLastPara="1" vertOverflow="ellipsis" vert="horz" wrap="square" anchor="ctr" anchorCtr="1"/>
              <a:lstStyle/>
              <a:p>
                <a:pPr>
                  <a:defRPr sz="1400" b="1" i="0" u="none" strike="noStrike" kern="1200" baseline="0">
                    <a:solidFill>
                      <a:schemeClr val="tx1"/>
                    </a:solidFill>
                    <a:latin typeface="+mn-lt"/>
                    <a:ea typeface="+mn-ea"/>
                    <a:cs typeface="+mn-cs"/>
                  </a:defRPr>
                </a:pPr>
                <a:r>
                  <a:rPr lang="en-US" sz="1400" b="1">
                    <a:solidFill>
                      <a:schemeClr val="tx1"/>
                    </a:solidFill>
                  </a:rPr>
                  <a:t>Willamette Falls Count</a:t>
                </a:r>
              </a:p>
            </c:rich>
          </c:tx>
          <c:layout>
            <c:manualLayout>
              <c:xMode val="edge"/>
              <c:yMode val="edge"/>
              <c:x val="6.4959931009263986E-3"/>
              <c:y val="0.23649891891712363"/>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110320640"/>
        <c:crosses val="autoZero"/>
        <c:crossBetween val="between"/>
        <c:majorUnit val="10000"/>
      </c:valAx>
      <c:spPr>
        <a:noFill/>
        <a:ln>
          <a:solidFill>
            <a:schemeClr val="tx1"/>
          </a:solidFill>
        </a:ln>
        <a:effectLst/>
      </c:spPr>
    </c:plotArea>
    <c:legend>
      <c:legendPos val="r"/>
      <c:layout>
        <c:manualLayout>
          <c:xMode val="edge"/>
          <c:yMode val="edge"/>
          <c:x val="0.73708264480716779"/>
          <c:y val="6.7183863879690026E-2"/>
          <c:w val="0.20438470855057747"/>
          <c:h val="0.1331929644796867"/>
        </c:manualLayout>
      </c:layout>
      <c:overlay val="0"/>
      <c:spPr>
        <a:solidFill>
          <a:schemeClr val="bg1"/>
        </a:solidFill>
        <a:ln>
          <a:solidFill>
            <a:schemeClr val="tx1"/>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a:t>Natural</a:t>
            </a:r>
          </a:p>
          <a:p>
            <a:pPr>
              <a:defRPr sz="1600" b="1"/>
            </a:pPr>
            <a:r>
              <a:rPr lang="en-US"/>
              <a:t>Production</a:t>
            </a:r>
          </a:p>
        </c:rich>
      </c:tx>
      <c:layout>
        <c:manualLayout>
          <c:xMode val="edge"/>
          <c:yMode val="edge"/>
          <c:x val="0.53532084600947727"/>
          <c:y val="0.121861473319964"/>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2381356535482255"/>
          <c:y val="6.1556700815951416E-2"/>
          <c:w val="0.66887075688850273"/>
          <c:h val="0.79274828192211966"/>
        </c:manualLayout>
      </c:layout>
      <c:barChart>
        <c:barDir val="bar"/>
        <c:grouping val="clustered"/>
        <c:varyColors val="0"/>
        <c:ser>
          <c:idx val="0"/>
          <c:order val="0"/>
          <c:tx>
            <c:v>Natural Production</c:v>
          </c:tx>
          <c:spPr>
            <a:solidFill>
              <a:srgbClr val="44A16A"/>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Summary!$D$21:$D$25</c:f>
              <c:strCache>
                <c:ptCount val="5"/>
                <c:pt idx="0">
                  <c:v>Current</c:v>
                </c:pt>
                <c:pt idx="1">
                  <c:v>Low goal</c:v>
                </c:pt>
                <c:pt idx="2">
                  <c:v>Med goal</c:v>
                </c:pt>
                <c:pt idx="3">
                  <c:v>High goal</c:v>
                </c:pt>
                <c:pt idx="4">
                  <c:v>Historical</c:v>
                </c:pt>
              </c:strCache>
            </c:strRef>
          </c:cat>
          <c:val>
            <c:numRef>
              <c:f>Summary!$E$21:$E$25</c:f>
              <c:numCache>
                <c:formatCode>#,##0</c:formatCode>
                <c:ptCount val="5"/>
                <c:pt idx="0">
                  <c:v>2816</c:v>
                </c:pt>
                <c:pt idx="1">
                  <c:v>16290</c:v>
                </c:pt>
                <c:pt idx="2">
                  <c:v>27805</c:v>
                </c:pt>
                <c:pt idx="3">
                  <c:v>39320</c:v>
                </c:pt>
                <c:pt idx="4">
                  <c:v>220000</c:v>
                </c:pt>
              </c:numCache>
            </c:numRef>
          </c:val>
          <c:extLst>
            <c:ext xmlns:c16="http://schemas.microsoft.com/office/drawing/2014/chart" uri="{C3380CC4-5D6E-409C-BE32-E72D297353CC}">
              <c16:uniqueId val="{00000000-092B-4309-A66F-85C458BFE630}"/>
            </c:ext>
          </c:extLst>
        </c:ser>
        <c:dLbls>
          <c:showLegendKey val="0"/>
          <c:showVal val="0"/>
          <c:showCatName val="0"/>
          <c:showSerName val="0"/>
          <c:showPercent val="0"/>
          <c:showBubbleSize val="0"/>
        </c:dLbls>
        <c:gapWidth val="20"/>
        <c:axId val="94034944"/>
        <c:axId val="94180096"/>
      </c:barChart>
      <c:catAx>
        <c:axId val="94034944"/>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94180096"/>
        <c:crosses val="autoZero"/>
        <c:auto val="1"/>
        <c:lblAlgn val="ctr"/>
        <c:lblOffset val="100"/>
        <c:noMultiLvlLbl val="0"/>
      </c:catAx>
      <c:valAx>
        <c:axId val="941800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94034944"/>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u="none">
                <a:solidFill>
                  <a:schemeClr val="tx1"/>
                </a:solidFill>
              </a:rPr>
              <a:t>Harvest Distribution (Exploitation</a:t>
            </a:r>
            <a:r>
              <a:rPr lang="en-US" sz="1400" b="1" u="none" baseline="0">
                <a:solidFill>
                  <a:schemeClr val="tx1"/>
                </a:solidFill>
              </a:rPr>
              <a:t> rate)</a:t>
            </a:r>
            <a:endParaRPr lang="en-US" sz="1400" b="1" u="none">
              <a:solidFill>
                <a:schemeClr val="tx1"/>
              </a:solidFill>
            </a:endParaRPr>
          </a:p>
        </c:rich>
      </c:tx>
      <c:layout>
        <c:manualLayout>
          <c:xMode val="edge"/>
          <c:yMode val="edge"/>
          <c:x val="0.20783524466080747"/>
          <c:y val="3.647057325003024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4427693682659146"/>
          <c:y val="0.15470332327060793"/>
          <c:w val="0.50870824767357914"/>
          <c:h val="0.79839623410705685"/>
        </c:manualLayout>
      </c:layout>
      <c:pieChart>
        <c:varyColors val="1"/>
        <c:ser>
          <c:idx val="0"/>
          <c:order val="0"/>
          <c:spPr>
            <a:ln w="3175">
              <a:solidFill>
                <a:schemeClr val="bg1"/>
              </a:solidFill>
            </a:ln>
          </c:spPr>
          <c:dPt>
            <c:idx val="0"/>
            <c:bubble3D val="0"/>
            <c:spPr>
              <a:solidFill>
                <a:srgbClr val="44A16A"/>
              </a:solidFill>
              <a:ln w="3175">
                <a:solidFill>
                  <a:schemeClr val="bg1"/>
                </a:solidFill>
              </a:ln>
              <a:effectLst/>
            </c:spPr>
            <c:extLst>
              <c:ext xmlns:c16="http://schemas.microsoft.com/office/drawing/2014/chart" uri="{C3380CC4-5D6E-409C-BE32-E72D297353CC}">
                <c16:uniqueId val="{00000001-6BAE-4BE0-A66C-85C48ACF1C45}"/>
              </c:ext>
            </c:extLst>
          </c:dPt>
          <c:dPt>
            <c:idx val="1"/>
            <c:bubble3D val="0"/>
            <c:spPr>
              <a:solidFill>
                <a:srgbClr val="2B6743"/>
              </a:solidFill>
              <a:ln w="3175">
                <a:solidFill>
                  <a:schemeClr val="bg1"/>
                </a:solidFill>
              </a:ln>
              <a:effectLst/>
            </c:spPr>
            <c:extLst>
              <c:ext xmlns:c16="http://schemas.microsoft.com/office/drawing/2014/chart" uri="{C3380CC4-5D6E-409C-BE32-E72D297353CC}">
                <c16:uniqueId val="{00000003-6BAE-4BE0-A66C-85C48ACF1C45}"/>
              </c:ext>
            </c:extLst>
          </c:dPt>
          <c:dPt>
            <c:idx val="2"/>
            <c:bubble3D val="0"/>
            <c:spPr>
              <a:solidFill>
                <a:srgbClr val="BEE4CD"/>
              </a:solidFill>
              <a:ln w="3175">
                <a:solidFill>
                  <a:schemeClr val="bg1"/>
                </a:solidFill>
              </a:ln>
              <a:effectLst/>
            </c:spPr>
            <c:extLst>
              <c:ext xmlns:c16="http://schemas.microsoft.com/office/drawing/2014/chart" uri="{C3380CC4-5D6E-409C-BE32-E72D297353CC}">
                <c16:uniqueId val="{00000004-6BAE-4BE0-A66C-85C48ACF1C45}"/>
              </c:ext>
            </c:extLst>
          </c:dPt>
          <c:dPt>
            <c:idx val="3"/>
            <c:bubble3D val="0"/>
            <c:spPr>
              <a:solidFill>
                <a:srgbClr val="75C595"/>
              </a:solidFill>
              <a:ln w="3175">
                <a:solidFill>
                  <a:schemeClr val="bg1"/>
                </a:solidFill>
              </a:ln>
              <a:effectLst/>
            </c:spPr>
            <c:extLst>
              <c:ext xmlns:c16="http://schemas.microsoft.com/office/drawing/2014/chart" uri="{C3380CC4-5D6E-409C-BE32-E72D297353CC}">
                <c16:uniqueId val="{00000002-6BAE-4BE0-A66C-85C48ACF1C45}"/>
              </c:ext>
            </c:extLst>
          </c:dPt>
          <c:dLbls>
            <c:dLbl>
              <c:idx val="0"/>
              <c:layout>
                <c:manualLayout>
                  <c:x val="1.2687729386523678E-2"/>
                  <c:y val="-9.8432370734100137E-4"/>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BAE-4BE0-A66C-85C48ACF1C45}"/>
                </c:ext>
              </c:extLst>
            </c:dLbl>
            <c:dLbl>
              <c:idx val="1"/>
              <c:layout>
                <c:manualLayout>
                  <c:x val="0.15688295705775368"/>
                  <c:y val="-2.1483165658637105E-2"/>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24105117565698472"/>
                      <c:h val="0.19452352293063807"/>
                    </c:manualLayout>
                  </c15:layout>
                </c:ext>
                <c:ext xmlns:c16="http://schemas.microsoft.com/office/drawing/2014/chart" uri="{C3380CC4-5D6E-409C-BE32-E72D297353CC}">
                  <c16:uniqueId val="{00000003-6BAE-4BE0-A66C-85C48ACF1C45}"/>
                </c:ext>
              </c:extLst>
            </c:dLbl>
            <c:dLbl>
              <c:idx val="2"/>
              <c:layout>
                <c:manualLayout>
                  <c:x val="-2.797704228880105E-2"/>
                  <c:y val="-4.493497873195612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BAE-4BE0-A66C-85C48ACF1C45}"/>
                </c:ext>
              </c:extLst>
            </c:dLbl>
            <c:dLbl>
              <c:idx val="3"/>
              <c:layout>
                <c:manualLayout>
                  <c:x val="-6.3366550135589894E-2"/>
                  <c:y val="0.12581794044947711"/>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BAE-4BE0-A66C-85C48ACF1C4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n-lt"/>
                    <a:ea typeface="+mn-ea"/>
                    <a:cs typeface="+mn-cs"/>
                  </a:defRPr>
                </a:pPr>
                <a:endParaRPr lang="en-US"/>
              </a:p>
            </c:txPr>
            <c:dLblPos val="outEnd"/>
            <c:showLegendKey val="0"/>
            <c:showVal val="1"/>
            <c:showCatName val="1"/>
            <c:showSerName val="0"/>
            <c:showPercent val="0"/>
            <c:showBubbleSize val="0"/>
            <c:showLeaderLines val="0"/>
            <c:extLst>
              <c:ext xmlns:c15="http://schemas.microsoft.com/office/drawing/2012/chart" uri="{CE6537A1-D6FC-4f65-9D91-7224C49458BB}"/>
            </c:extLst>
          </c:dLbls>
          <c:cat>
            <c:strRef>
              <c:f>Summary!$T$20:$T$23</c:f>
              <c:strCache>
                <c:ptCount val="4"/>
                <c:pt idx="0">
                  <c:v>Col sport</c:v>
                </c:pt>
                <c:pt idx="1">
                  <c:v>Col commercial</c:v>
                </c:pt>
                <c:pt idx="2">
                  <c:v>L Willamette Sport</c:v>
                </c:pt>
                <c:pt idx="3">
                  <c:v>U Willamette Sport</c:v>
                </c:pt>
              </c:strCache>
            </c:strRef>
          </c:cat>
          <c:val>
            <c:numRef>
              <c:f>Summary!$U$20:$U$23</c:f>
              <c:numCache>
                <c:formatCode>0.00%</c:formatCode>
                <c:ptCount val="4"/>
                <c:pt idx="0">
                  <c:v>7.0000000000000001E-3</c:v>
                </c:pt>
                <c:pt idx="1">
                  <c:v>7.0000000000000001E-3</c:v>
                </c:pt>
                <c:pt idx="2">
                  <c:v>3.0000000000000001E-3</c:v>
                </c:pt>
                <c:pt idx="3">
                  <c:v>0.01</c:v>
                </c:pt>
              </c:numCache>
            </c:numRef>
          </c:val>
          <c:extLst>
            <c:ext xmlns:c16="http://schemas.microsoft.com/office/drawing/2014/chart" uri="{C3380CC4-5D6E-409C-BE32-E72D297353CC}">
              <c16:uniqueId val="{00000000-6BAE-4BE0-A66C-85C48ACF1C45}"/>
            </c:ext>
          </c:extLst>
        </c:ser>
        <c:dLbls>
          <c:showLegendKey val="0"/>
          <c:showVal val="0"/>
          <c:showCatName val="0"/>
          <c:showSerName val="0"/>
          <c:showPercent val="0"/>
          <c:showBubbleSize val="0"/>
          <c:showLeaderLines val="0"/>
        </c:dLbls>
        <c:firstSliceAng val="24"/>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solidFill>
                  <a:schemeClr val="tx1"/>
                </a:solidFill>
              </a:rPr>
              <a:t>Hatchery Releases</a:t>
            </a:r>
          </a:p>
        </c:rich>
      </c:tx>
      <c:layout>
        <c:manualLayout>
          <c:xMode val="edge"/>
          <c:yMode val="edge"/>
          <c:x val="0.334434525901455"/>
          <c:y val="3.0848892823173383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3289730564607505"/>
          <c:y val="0.14825686405215649"/>
          <c:w val="0.51675886263880055"/>
          <c:h val="0.78320862492014509"/>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A1F-4C18-B4E0-F3EB92797850}"/>
              </c:ext>
            </c:extLst>
          </c:dPt>
          <c:dPt>
            <c:idx val="1"/>
            <c:bubble3D val="0"/>
            <c:spPr>
              <a:solidFill>
                <a:srgbClr val="44A16A"/>
              </a:solidFill>
              <a:ln w="19050">
                <a:solidFill>
                  <a:schemeClr val="lt1"/>
                </a:solidFill>
              </a:ln>
              <a:effectLst/>
            </c:spPr>
            <c:extLst>
              <c:ext xmlns:c16="http://schemas.microsoft.com/office/drawing/2014/chart" uri="{C3380CC4-5D6E-409C-BE32-E72D297353CC}">
                <c16:uniqueId val="{00000001-E48F-403C-9870-4767AC0130C7}"/>
              </c:ext>
            </c:extLst>
          </c:dPt>
          <c:dLbls>
            <c:dLbl>
              <c:idx val="1"/>
              <c:layout>
                <c:manualLayout>
                  <c:x val="-2.2045296723278617E-2"/>
                  <c:y val="-0.43426427125650074"/>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48F-403C-9870-4767AC0130C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Ref>
              <c:f>Summary!$S$13:$S$14</c:f>
              <c:strCache>
                <c:ptCount val="2"/>
                <c:pt idx="0">
                  <c:v>Winter steelhead</c:v>
                </c:pt>
                <c:pt idx="1">
                  <c:v>Summer steelhead</c:v>
                </c:pt>
              </c:strCache>
            </c:strRef>
          </c:cat>
          <c:val>
            <c:numRef>
              <c:f>Summary!$V$13:$V$14</c:f>
              <c:numCache>
                <c:formatCode>#,##0</c:formatCode>
                <c:ptCount val="2"/>
                <c:pt idx="0">
                  <c:v>0</c:v>
                </c:pt>
                <c:pt idx="1">
                  <c:v>600000</c:v>
                </c:pt>
              </c:numCache>
            </c:numRef>
          </c:val>
          <c:extLst>
            <c:ext xmlns:c16="http://schemas.microsoft.com/office/drawing/2014/chart" uri="{C3380CC4-5D6E-409C-BE32-E72D297353CC}">
              <c16:uniqueId val="{00000000-E48F-403C-9870-4767AC0130C7}"/>
            </c:ext>
          </c:extLst>
        </c:ser>
        <c:dLbls>
          <c:showLegendKey val="0"/>
          <c:showVal val="0"/>
          <c:showCatName val="0"/>
          <c:showSerName val="0"/>
          <c:showPercent val="0"/>
          <c:showBubbleSize val="0"/>
          <c:showLeaderLines val="1"/>
        </c:dLbls>
        <c:firstSliceAng val="66"/>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emf"/><Relationship Id="rId1" Type="http://schemas.openxmlformats.org/officeDocument/2006/relationships/chart" Target="../charts/chart1.xml"/><Relationship Id="rId5" Type="http://schemas.openxmlformats.org/officeDocument/2006/relationships/chart" Target="../charts/chart4.xml"/><Relationship Id="rId4" Type="http://schemas.openxmlformats.org/officeDocument/2006/relationships/chart" Target="../charts/chart3.xml"/></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emf"/><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emf"/><Relationship Id="rId9" Type="http://schemas.openxmlformats.org/officeDocument/2006/relationships/image" Target="../media/image10.png"/><Relationship Id="rId1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8" Type="http://schemas.openxmlformats.org/officeDocument/2006/relationships/image" Target="../media/image23.png"/><Relationship Id="rId13" Type="http://schemas.openxmlformats.org/officeDocument/2006/relationships/image" Target="../media/image28.png"/><Relationship Id="rId3" Type="http://schemas.openxmlformats.org/officeDocument/2006/relationships/image" Target="../media/image18.png"/><Relationship Id="rId7" Type="http://schemas.openxmlformats.org/officeDocument/2006/relationships/image" Target="../media/image22.png"/><Relationship Id="rId12" Type="http://schemas.openxmlformats.org/officeDocument/2006/relationships/image" Target="../media/image27.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png"/><Relationship Id="rId5" Type="http://schemas.openxmlformats.org/officeDocument/2006/relationships/image" Target="../media/image20.png"/><Relationship Id="rId15" Type="http://schemas.openxmlformats.org/officeDocument/2006/relationships/image" Target="../media/image30.png"/><Relationship Id="rId10" Type="http://schemas.openxmlformats.org/officeDocument/2006/relationships/image" Target="../media/image25.png"/><Relationship Id="rId4" Type="http://schemas.openxmlformats.org/officeDocument/2006/relationships/image" Target="../media/image19.png"/><Relationship Id="rId9" Type="http://schemas.openxmlformats.org/officeDocument/2006/relationships/image" Target="../media/image24.png"/><Relationship Id="rId14" Type="http://schemas.openxmlformats.org/officeDocument/2006/relationships/image" Target="../media/image29.png"/></Relationships>
</file>

<file path=xl/drawings/_rels/drawing4.xml.rels><?xml version="1.0" encoding="UTF-8" standalone="yes"?>
<Relationships xmlns="http://schemas.openxmlformats.org/package/2006/relationships"><Relationship Id="rId8" Type="http://schemas.openxmlformats.org/officeDocument/2006/relationships/image" Target="../media/image38.png"/><Relationship Id="rId13" Type="http://schemas.openxmlformats.org/officeDocument/2006/relationships/image" Target="../media/image43.png"/><Relationship Id="rId18" Type="http://schemas.openxmlformats.org/officeDocument/2006/relationships/image" Target="../media/image15.png"/><Relationship Id="rId26" Type="http://schemas.openxmlformats.org/officeDocument/2006/relationships/image" Target="../media/image55.png"/><Relationship Id="rId3" Type="http://schemas.openxmlformats.org/officeDocument/2006/relationships/image" Target="../media/image33.png"/><Relationship Id="rId21" Type="http://schemas.openxmlformats.org/officeDocument/2006/relationships/image" Target="../media/image50.png"/><Relationship Id="rId7" Type="http://schemas.openxmlformats.org/officeDocument/2006/relationships/image" Target="../media/image37.png"/><Relationship Id="rId12" Type="http://schemas.openxmlformats.org/officeDocument/2006/relationships/image" Target="../media/image42.png"/><Relationship Id="rId17" Type="http://schemas.openxmlformats.org/officeDocument/2006/relationships/image" Target="../media/image47.png"/><Relationship Id="rId25" Type="http://schemas.openxmlformats.org/officeDocument/2006/relationships/image" Target="../media/image54.png"/><Relationship Id="rId2" Type="http://schemas.openxmlformats.org/officeDocument/2006/relationships/image" Target="../media/image32.png"/><Relationship Id="rId16" Type="http://schemas.openxmlformats.org/officeDocument/2006/relationships/image" Target="../media/image46.png"/><Relationship Id="rId20" Type="http://schemas.openxmlformats.org/officeDocument/2006/relationships/image" Target="../media/image49.png"/><Relationship Id="rId1" Type="http://schemas.openxmlformats.org/officeDocument/2006/relationships/image" Target="../media/image31.png"/><Relationship Id="rId6" Type="http://schemas.openxmlformats.org/officeDocument/2006/relationships/image" Target="../media/image36.png"/><Relationship Id="rId11" Type="http://schemas.openxmlformats.org/officeDocument/2006/relationships/image" Target="../media/image41.png"/><Relationship Id="rId24" Type="http://schemas.openxmlformats.org/officeDocument/2006/relationships/image" Target="../media/image53.png"/><Relationship Id="rId5" Type="http://schemas.openxmlformats.org/officeDocument/2006/relationships/image" Target="../media/image35.png"/><Relationship Id="rId15" Type="http://schemas.openxmlformats.org/officeDocument/2006/relationships/image" Target="../media/image45.png"/><Relationship Id="rId23" Type="http://schemas.openxmlformats.org/officeDocument/2006/relationships/image" Target="../media/image52.png"/><Relationship Id="rId10" Type="http://schemas.openxmlformats.org/officeDocument/2006/relationships/image" Target="../media/image40.png"/><Relationship Id="rId19" Type="http://schemas.openxmlformats.org/officeDocument/2006/relationships/image" Target="../media/image48.png"/><Relationship Id="rId4" Type="http://schemas.openxmlformats.org/officeDocument/2006/relationships/image" Target="../media/image34.png"/><Relationship Id="rId9" Type="http://schemas.openxmlformats.org/officeDocument/2006/relationships/image" Target="../media/image39.png"/><Relationship Id="rId14" Type="http://schemas.openxmlformats.org/officeDocument/2006/relationships/image" Target="../media/image44.png"/><Relationship Id="rId22" Type="http://schemas.openxmlformats.org/officeDocument/2006/relationships/image" Target="../media/image51.png"/><Relationship Id="rId27" Type="http://schemas.openxmlformats.org/officeDocument/2006/relationships/image" Target="../media/image56.png"/></Relationships>
</file>

<file path=xl/drawings/_rels/drawing5.xml.rels><?xml version="1.0" encoding="UTF-8" standalone="yes"?>
<Relationships xmlns="http://schemas.openxmlformats.org/package/2006/relationships"><Relationship Id="rId8" Type="http://schemas.openxmlformats.org/officeDocument/2006/relationships/image" Target="../media/image52.png"/><Relationship Id="rId3" Type="http://schemas.openxmlformats.org/officeDocument/2006/relationships/image" Target="../media/image58.png"/><Relationship Id="rId7" Type="http://schemas.openxmlformats.org/officeDocument/2006/relationships/image" Target="../media/image51.png"/><Relationship Id="rId2" Type="http://schemas.openxmlformats.org/officeDocument/2006/relationships/image" Target="../media/image57.png"/><Relationship Id="rId1" Type="http://schemas.openxmlformats.org/officeDocument/2006/relationships/image" Target="../media/image15.png"/><Relationship Id="rId6" Type="http://schemas.openxmlformats.org/officeDocument/2006/relationships/image" Target="../media/image50.png"/><Relationship Id="rId5" Type="http://schemas.openxmlformats.org/officeDocument/2006/relationships/image" Target="../media/image49.png"/><Relationship Id="rId10" Type="http://schemas.openxmlformats.org/officeDocument/2006/relationships/image" Target="../media/image54.png"/><Relationship Id="rId4" Type="http://schemas.openxmlformats.org/officeDocument/2006/relationships/image" Target="../media/image59.png"/><Relationship Id="rId9" Type="http://schemas.openxmlformats.org/officeDocument/2006/relationships/image" Target="../media/image53.png"/></Relationships>
</file>

<file path=xl/drawings/drawing1.xml><?xml version="1.0" encoding="utf-8"?>
<xdr:wsDr xmlns:xdr="http://schemas.openxmlformats.org/drawingml/2006/spreadsheetDrawing" xmlns:a="http://schemas.openxmlformats.org/drawingml/2006/main">
  <xdr:twoCellAnchor>
    <xdr:from>
      <xdr:col>0</xdr:col>
      <xdr:colOff>20005</xdr:colOff>
      <xdr:row>1</xdr:row>
      <xdr:rowOff>39529</xdr:rowOff>
    </xdr:from>
    <xdr:to>
      <xdr:col>7</xdr:col>
      <xdr:colOff>0</xdr:colOff>
      <xdr:row>18</xdr:row>
      <xdr:rowOff>49530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20005" y="265748"/>
          <a:ext cx="3682839" cy="29865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71450" marR="0" lvl="0" indent="-171450" defTabSz="914400" eaLnBrk="1" fontAlgn="auto" latinLnBrk="0" hangingPunct="1">
            <a:lnSpc>
              <a:spcPct val="100000"/>
            </a:lnSpc>
            <a:spcBef>
              <a:spcPts val="0"/>
            </a:spcBef>
            <a:spcAft>
              <a:spcPts val="100"/>
            </a:spcAft>
            <a:buClrTx/>
            <a:buSzTx/>
            <a:buFont typeface="Arial" panose="020B0604020202020204" pitchFamily="34" charset="0"/>
            <a:buChar char="•"/>
            <a:tabLst/>
            <a:defRPr/>
          </a:pPr>
          <a:r>
            <a:rPr lang="en-US" sz="1600" i="0" baseline="0">
              <a:solidFill>
                <a:schemeClr val="dk1"/>
              </a:solidFill>
              <a:effectLst/>
              <a:latin typeface="+mn-lt"/>
              <a:ea typeface="+mn-ea"/>
              <a:cs typeface="+mn-cs"/>
            </a:rPr>
            <a:t>Historically returned to four west slope Cascade tributaries upstream from Willamette Falls.</a:t>
          </a:r>
        </a:p>
        <a:p>
          <a:pPr marL="171450" marR="0" lvl="0" indent="-171450" defTabSz="914400" eaLnBrk="1" fontAlgn="auto" latinLnBrk="0" hangingPunct="1">
            <a:lnSpc>
              <a:spcPct val="100000"/>
            </a:lnSpc>
            <a:spcBef>
              <a:spcPts val="0"/>
            </a:spcBef>
            <a:spcAft>
              <a:spcPts val="100"/>
            </a:spcAft>
            <a:buClrTx/>
            <a:buSzTx/>
            <a:buFont typeface="Arial" panose="020B0604020202020204" pitchFamily="34" charset="0"/>
            <a:buChar char="•"/>
            <a:tabLst/>
            <a:defRPr/>
          </a:pPr>
          <a:r>
            <a:rPr lang="en-US" sz="1600" i="0" baseline="0">
              <a:solidFill>
                <a:schemeClr val="dk1"/>
              </a:solidFill>
              <a:effectLst/>
              <a:latin typeface="+mn-lt"/>
              <a:ea typeface="+mn-ea"/>
              <a:cs typeface="+mn-cs"/>
            </a:rPr>
            <a:t>Significant portions of the historical range are currently blocked by dams.</a:t>
          </a:r>
        </a:p>
        <a:p>
          <a:pPr marL="171450" marR="0" lvl="0" indent="-171450" defTabSz="914400" eaLnBrk="1" fontAlgn="auto" latinLnBrk="0" hangingPunct="1">
            <a:lnSpc>
              <a:spcPct val="100000"/>
            </a:lnSpc>
            <a:spcBef>
              <a:spcPts val="0"/>
            </a:spcBef>
            <a:spcAft>
              <a:spcPts val="100"/>
            </a:spcAft>
            <a:buClrTx/>
            <a:buSzTx/>
            <a:buFont typeface="Arial" panose="020B0604020202020204" pitchFamily="34" charset="0"/>
            <a:buChar char="•"/>
            <a:tabLst/>
            <a:defRPr/>
          </a:pPr>
          <a:r>
            <a:rPr lang="en-US" sz="1600" i="0" baseline="0">
              <a:solidFill>
                <a:schemeClr val="dk1"/>
              </a:solidFill>
              <a:effectLst/>
              <a:latin typeface="+mn-lt"/>
              <a:ea typeface="+mn-ea"/>
              <a:cs typeface="+mn-cs"/>
            </a:rPr>
            <a:t>Historical hatchery winter steelhead programs in the upper Willamette have been discontinued.</a:t>
          </a:r>
          <a:endParaRPr lang="en-US" sz="1600" i="0" baseline="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100"/>
            </a:spcAft>
            <a:buClrTx/>
            <a:buSzTx/>
            <a:buFont typeface="Arial" panose="020B0604020202020204" pitchFamily="34" charset="0"/>
            <a:buChar char="•"/>
            <a:tabLst/>
            <a:defRPr/>
          </a:pPr>
          <a:r>
            <a:rPr lang="en-US" sz="1600" i="0" baseline="0">
              <a:solidFill>
                <a:schemeClr val="dk1"/>
              </a:solidFill>
              <a:effectLst/>
              <a:latin typeface="+mn-lt"/>
              <a:ea typeface="+mn-ea"/>
              <a:cs typeface="+mn-cs"/>
            </a:rPr>
            <a:t>Hatchery summer steelhead are released into the upper Willamette for mitigation purposes.</a:t>
          </a:r>
          <a:endParaRPr lang="en-US" sz="1600" i="0"/>
        </a:p>
        <a:p>
          <a:pPr marL="171450" indent="-171450">
            <a:buFont typeface="Arial" panose="020B0604020202020204" pitchFamily="34" charset="0"/>
            <a:buChar char="•"/>
          </a:pPr>
          <a:endParaRPr lang="en-US" sz="1600" i="0"/>
        </a:p>
      </xdr:txBody>
    </xdr:sp>
    <xdr:clientData/>
  </xdr:twoCellAnchor>
  <xdr:twoCellAnchor>
    <xdr:from>
      <xdr:col>0</xdr:col>
      <xdr:colOff>64769</xdr:colOff>
      <xdr:row>30</xdr:row>
      <xdr:rowOff>0</xdr:rowOff>
    </xdr:from>
    <xdr:to>
      <xdr:col>16</xdr:col>
      <xdr:colOff>35719</xdr:colOff>
      <xdr:row>50</xdr:row>
      <xdr:rowOff>21166</xdr:rowOff>
    </xdr:to>
    <xdr:graphicFrame macro="">
      <xdr:nvGraphicFramePr>
        <xdr:cNvPr id="4" name="Chart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73344</xdr:colOff>
      <xdr:row>1</xdr:row>
      <xdr:rowOff>60232</xdr:rowOff>
    </xdr:from>
    <xdr:to>
      <xdr:col>15</xdr:col>
      <xdr:colOff>549594</xdr:colOff>
      <xdr:row>29</xdr:row>
      <xdr:rowOff>56407</xdr:rowOff>
    </xdr:to>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240" t="1270" r="3225" b="1776"/>
        <a:stretch/>
      </xdr:blipFill>
      <xdr:spPr bwMode="auto">
        <a:xfrm>
          <a:off x="3776188" y="286451"/>
          <a:ext cx="5229225" cy="493726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113348</xdr:colOff>
      <xdr:row>17</xdr:row>
      <xdr:rowOff>95248</xdr:rowOff>
    </xdr:from>
    <xdr:to>
      <xdr:col>6</xdr:col>
      <xdr:colOff>478632</xdr:colOff>
      <xdr:row>29</xdr:row>
      <xdr:rowOff>107631</xdr:rowOff>
    </xdr:to>
    <xdr:graphicFrame macro="">
      <xdr:nvGraphicFramePr>
        <xdr:cNvPr id="5" name="Chart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59027</xdr:colOff>
      <xdr:row>50</xdr:row>
      <xdr:rowOff>125861</xdr:rowOff>
    </xdr:from>
    <xdr:to>
      <xdr:col>8</xdr:col>
      <xdr:colOff>475270</xdr:colOff>
      <xdr:row>66</xdr:row>
      <xdr:rowOff>84666</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287655</xdr:colOff>
      <xdr:row>50</xdr:row>
      <xdr:rowOff>95250</xdr:rowOff>
    </xdr:from>
    <xdr:to>
      <xdr:col>15</xdr:col>
      <xdr:colOff>486251</xdr:colOff>
      <xdr:row>66</xdr:row>
      <xdr:rowOff>105728</xdr:rowOff>
    </xdr:to>
    <xdr:graphicFrame macro="">
      <xdr:nvGraphicFramePr>
        <xdr:cNvPr id="6" name="Chart 5">
          <a:extLst>
            <a:ext uri="{FF2B5EF4-FFF2-40B4-BE49-F238E27FC236}">
              <a16:creationId xmlns:a16="http://schemas.microsoft.com/office/drawing/2014/main" id="{F9853DA7-CAD0-400D-AD05-66AB59C89DF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180975</xdr:colOff>
      <xdr:row>24</xdr:row>
      <xdr:rowOff>171450</xdr:rowOff>
    </xdr:from>
    <xdr:to>
      <xdr:col>24</xdr:col>
      <xdr:colOff>171450</xdr:colOff>
      <xdr:row>45</xdr:row>
      <xdr:rowOff>95250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4743450"/>
          <a:ext cx="8524875" cy="392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228600</xdr:colOff>
      <xdr:row>1</xdr:row>
      <xdr:rowOff>19050</xdr:rowOff>
    </xdr:from>
    <xdr:to>
      <xdr:col>23</xdr:col>
      <xdr:colOff>295275</xdr:colOff>
      <xdr:row>23</xdr:row>
      <xdr:rowOff>95250</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00850" y="209550"/>
          <a:ext cx="7991475" cy="448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1047750</xdr:colOff>
      <xdr:row>18</xdr:row>
      <xdr:rowOff>76200</xdr:rowOff>
    </xdr:from>
    <xdr:to>
      <xdr:col>9</xdr:col>
      <xdr:colOff>381000</xdr:colOff>
      <xdr:row>34</xdr:row>
      <xdr:rowOff>60753</xdr:rowOff>
    </xdr:to>
    <xdr:pic>
      <xdr:nvPicPr>
        <xdr:cNvPr id="4" name="Picture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 y="3505200"/>
          <a:ext cx="6000750" cy="3089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257175</xdr:colOff>
      <xdr:row>1</xdr:row>
      <xdr:rowOff>28575</xdr:rowOff>
    </xdr:from>
    <xdr:to>
      <xdr:col>34</xdr:col>
      <xdr:colOff>457200</xdr:colOff>
      <xdr:row>36</xdr:row>
      <xdr:rowOff>66485</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363825" y="219075"/>
          <a:ext cx="6296025" cy="69244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3</xdr:row>
      <xdr:rowOff>0</xdr:rowOff>
    </xdr:from>
    <xdr:to>
      <xdr:col>47</xdr:col>
      <xdr:colOff>275429</xdr:colOff>
      <xdr:row>33</xdr:row>
      <xdr:rowOff>180214</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a:stretch>
          <a:fillRect/>
        </a:stretch>
      </xdr:blipFill>
      <xdr:spPr>
        <a:xfrm>
          <a:off x="23031450" y="571500"/>
          <a:ext cx="6371429" cy="6095239"/>
        </a:xfrm>
        <a:prstGeom prst="rect">
          <a:avLst/>
        </a:prstGeom>
      </xdr:spPr>
    </xdr:pic>
    <xdr:clientData/>
  </xdr:twoCellAnchor>
  <xdr:twoCellAnchor editAs="oneCell">
    <xdr:from>
      <xdr:col>48</xdr:col>
      <xdr:colOff>9525</xdr:colOff>
      <xdr:row>6</xdr:row>
      <xdr:rowOff>66675</xdr:rowOff>
    </xdr:from>
    <xdr:to>
      <xdr:col>62</xdr:col>
      <xdr:colOff>446553</xdr:colOff>
      <xdr:row>43</xdr:row>
      <xdr:rowOff>56249</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6"/>
        <a:stretch>
          <a:fillRect/>
        </a:stretch>
      </xdr:blipFill>
      <xdr:spPr>
        <a:xfrm>
          <a:off x="29746575" y="1209675"/>
          <a:ext cx="8971428" cy="7209524"/>
        </a:xfrm>
        <a:prstGeom prst="rect">
          <a:avLst/>
        </a:prstGeom>
      </xdr:spPr>
    </xdr:pic>
    <xdr:clientData/>
  </xdr:twoCellAnchor>
  <xdr:twoCellAnchor editAs="oneCell">
    <xdr:from>
      <xdr:col>48</xdr:col>
      <xdr:colOff>38100</xdr:colOff>
      <xdr:row>49</xdr:row>
      <xdr:rowOff>66675</xdr:rowOff>
    </xdr:from>
    <xdr:to>
      <xdr:col>62</xdr:col>
      <xdr:colOff>570367</xdr:colOff>
      <xdr:row>88</xdr:row>
      <xdr:rowOff>27651</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7"/>
        <a:stretch>
          <a:fillRect/>
        </a:stretch>
      </xdr:blipFill>
      <xdr:spPr>
        <a:xfrm>
          <a:off x="29775150" y="9401175"/>
          <a:ext cx="9066667" cy="7390476"/>
        </a:xfrm>
        <a:prstGeom prst="rect">
          <a:avLst/>
        </a:prstGeom>
      </xdr:spPr>
    </xdr:pic>
    <xdr:clientData/>
  </xdr:twoCellAnchor>
  <xdr:twoCellAnchor editAs="oneCell">
    <xdr:from>
      <xdr:col>48</xdr:col>
      <xdr:colOff>38100</xdr:colOff>
      <xdr:row>89</xdr:row>
      <xdr:rowOff>66675</xdr:rowOff>
    </xdr:from>
    <xdr:to>
      <xdr:col>62</xdr:col>
      <xdr:colOff>475128</xdr:colOff>
      <xdr:row>127</xdr:row>
      <xdr:rowOff>65770</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8"/>
        <a:stretch>
          <a:fillRect/>
        </a:stretch>
      </xdr:blipFill>
      <xdr:spPr>
        <a:xfrm>
          <a:off x="29775150" y="17021175"/>
          <a:ext cx="8971428" cy="7238095"/>
        </a:xfrm>
        <a:prstGeom prst="rect">
          <a:avLst/>
        </a:prstGeom>
      </xdr:spPr>
    </xdr:pic>
    <xdr:clientData/>
  </xdr:twoCellAnchor>
  <xdr:twoCellAnchor editAs="oneCell">
    <xdr:from>
      <xdr:col>48</xdr:col>
      <xdr:colOff>57150</xdr:colOff>
      <xdr:row>132</xdr:row>
      <xdr:rowOff>47625</xdr:rowOff>
    </xdr:from>
    <xdr:to>
      <xdr:col>62</xdr:col>
      <xdr:colOff>513226</xdr:colOff>
      <xdr:row>170</xdr:row>
      <xdr:rowOff>151482</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9"/>
        <a:stretch>
          <a:fillRect/>
        </a:stretch>
      </xdr:blipFill>
      <xdr:spPr>
        <a:xfrm>
          <a:off x="29794200" y="25193625"/>
          <a:ext cx="8990476" cy="7342857"/>
        </a:xfrm>
        <a:prstGeom prst="rect">
          <a:avLst/>
        </a:prstGeom>
      </xdr:spPr>
    </xdr:pic>
    <xdr:clientData/>
  </xdr:twoCellAnchor>
  <xdr:twoCellAnchor editAs="oneCell">
    <xdr:from>
      <xdr:col>48</xdr:col>
      <xdr:colOff>28575</xdr:colOff>
      <xdr:row>175</xdr:row>
      <xdr:rowOff>85725</xdr:rowOff>
    </xdr:from>
    <xdr:to>
      <xdr:col>62</xdr:col>
      <xdr:colOff>446556</xdr:colOff>
      <xdr:row>213</xdr:row>
      <xdr:rowOff>75296</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10"/>
        <a:stretch>
          <a:fillRect/>
        </a:stretch>
      </xdr:blipFill>
      <xdr:spPr>
        <a:xfrm>
          <a:off x="29765625" y="33423225"/>
          <a:ext cx="8952381" cy="7228571"/>
        </a:xfrm>
        <a:prstGeom prst="rect">
          <a:avLst/>
        </a:prstGeom>
      </xdr:spPr>
    </xdr:pic>
    <xdr:clientData/>
  </xdr:twoCellAnchor>
  <xdr:twoCellAnchor editAs="oneCell">
    <xdr:from>
      <xdr:col>64</xdr:col>
      <xdr:colOff>0</xdr:colOff>
      <xdr:row>6</xdr:row>
      <xdr:rowOff>0</xdr:rowOff>
    </xdr:from>
    <xdr:to>
      <xdr:col>77</xdr:col>
      <xdr:colOff>494248</xdr:colOff>
      <xdr:row>30</xdr:row>
      <xdr:rowOff>66074</xdr:rowOff>
    </xdr:to>
    <xdr:pic>
      <xdr:nvPicPr>
        <xdr:cNvPr id="15" name="Picture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11"/>
        <a:stretch>
          <a:fillRect/>
        </a:stretch>
      </xdr:blipFill>
      <xdr:spPr>
        <a:xfrm>
          <a:off x="40071675" y="1143000"/>
          <a:ext cx="8419048" cy="4809524"/>
        </a:xfrm>
        <a:prstGeom prst="rect">
          <a:avLst/>
        </a:prstGeom>
      </xdr:spPr>
    </xdr:pic>
    <xdr:clientData/>
  </xdr:twoCellAnchor>
  <xdr:twoCellAnchor editAs="oneCell">
    <xdr:from>
      <xdr:col>63</xdr:col>
      <xdr:colOff>552450</xdr:colOff>
      <xdr:row>31</xdr:row>
      <xdr:rowOff>38100</xdr:rowOff>
    </xdr:from>
    <xdr:to>
      <xdr:col>77</xdr:col>
      <xdr:colOff>570431</xdr:colOff>
      <xdr:row>52</xdr:row>
      <xdr:rowOff>132838</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12"/>
        <a:stretch>
          <a:fillRect/>
        </a:stretch>
      </xdr:blipFill>
      <xdr:spPr>
        <a:xfrm>
          <a:off x="40014525" y="5943600"/>
          <a:ext cx="8552381" cy="4095238"/>
        </a:xfrm>
        <a:prstGeom prst="rect">
          <a:avLst/>
        </a:prstGeom>
      </xdr:spPr>
    </xdr:pic>
    <xdr:clientData/>
  </xdr:twoCellAnchor>
  <xdr:twoCellAnchor editAs="oneCell">
    <xdr:from>
      <xdr:col>118</xdr:col>
      <xdr:colOff>0</xdr:colOff>
      <xdr:row>5</xdr:row>
      <xdr:rowOff>0</xdr:rowOff>
    </xdr:from>
    <xdr:to>
      <xdr:col>123</xdr:col>
      <xdr:colOff>237715</xdr:colOff>
      <xdr:row>41</xdr:row>
      <xdr:rowOff>75311</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3"/>
        <a:stretch>
          <a:fillRect/>
        </a:stretch>
      </xdr:blipFill>
      <xdr:spPr>
        <a:xfrm>
          <a:off x="80133825" y="952500"/>
          <a:ext cx="3285715" cy="7114286"/>
        </a:xfrm>
        <a:prstGeom prst="rect">
          <a:avLst/>
        </a:prstGeom>
      </xdr:spPr>
    </xdr:pic>
    <xdr:clientData/>
  </xdr:twoCellAnchor>
  <xdr:twoCellAnchor editAs="oneCell">
    <xdr:from>
      <xdr:col>124</xdr:col>
      <xdr:colOff>266700</xdr:colOff>
      <xdr:row>16</xdr:row>
      <xdr:rowOff>47625</xdr:rowOff>
    </xdr:from>
    <xdr:to>
      <xdr:col>132</xdr:col>
      <xdr:colOff>246980</xdr:colOff>
      <xdr:row>28</xdr:row>
      <xdr:rowOff>85425</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14"/>
        <a:stretch>
          <a:fillRect/>
        </a:stretch>
      </xdr:blipFill>
      <xdr:spPr>
        <a:xfrm>
          <a:off x="80467200" y="3095625"/>
          <a:ext cx="5361905" cy="24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552450</xdr:colOff>
      <xdr:row>7</xdr:row>
      <xdr:rowOff>76200</xdr:rowOff>
    </xdr:from>
    <xdr:to>
      <xdr:col>9</xdr:col>
      <xdr:colOff>580336</xdr:colOff>
      <xdr:row>8</xdr:row>
      <xdr:rowOff>104710</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a:stretch>
          <a:fillRect/>
        </a:stretch>
      </xdr:blipFill>
      <xdr:spPr>
        <a:xfrm>
          <a:off x="552450" y="2028825"/>
          <a:ext cx="5514286" cy="533335"/>
        </a:xfrm>
        <a:prstGeom prst="rect">
          <a:avLst/>
        </a:prstGeom>
      </xdr:spPr>
    </xdr:pic>
    <xdr:clientData/>
  </xdr:twoCellAnchor>
  <xdr:twoCellAnchor editAs="oneCell">
    <xdr:from>
      <xdr:col>0</xdr:col>
      <xdr:colOff>476250</xdr:colOff>
      <xdr:row>8</xdr:row>
      <xdr:rowOff>219075</xdr:rowOff>
    </xdr:from>
    <xdr:to>
      <xdr:col>10</xdr:col>
      <xdr:colOff>408822</xdr:colOff>
      <xdr:row>12</xdr:row>
      <xdr:rowOff>47341</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2"/>
        <a:stretch>
          <a:fillRect/>
        </a:stretch>
      </xdr:blipFill>
      <xdr:spPr>
        <a:xfrm>
          <a:off x="476250" y="2676525"/>
          <a:ext cx="6028572" cy="1847566"/>
        </a:xfrm>
        <a:prstGeom prst="rect">
          <a:avLst/>
        </a:prstGeom>
      </xdr:spPr>
    </xdr:pic>
    <xdr:clientData/>
  </xdr:twoCellAnchor>
  <xdr:twoCellAnchor editAs="oneCell">
    <xdr:from>
      <xdr:col>0</xdr:col>
      <xdr:colOff>581025</xdr:colOff>
      <xdr:row>13</xdr:row>
      <xdr:rowOff>19050</xdr:rowOff>
    </xdr:from>
    <xdr:to>
      <xdr:col>10</xdr:col>
      <xdr:colOff>313597</xdr:colOff>
      <xdr:row>13</xdr:row>
      <xdr:rowOff>495241</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3"/>
        <a:stretch>
          <a:fillRect/>
        </a:stretch>
      </xdr:blipFill>
      <xdr:spPr>
        <a:xfrm>
          <a:off x="581025" y="5000625"/>
          <a:ext cx="5828572" cy="476191"/>
        </a:xfrm>
        <a:prstGeom prst="rect">
          <a:avLst/>
        </a:prstGeom>
      </xdr:spPr>
    </xdr:pic>
    <xdr:clientData/>
  </xdr:twoCellAnchor>
  <xdr:twoCellAnchor editAs="oneCell">
    <xdr:from>
      <xdr:col>0</xdr:col>
      <xdr:colOff>504825</xdr:colOff>
      <xdr:row>14</xdr:row>
      <xdr:rowOff>47625</xdr:rowOff>
    </xdr:from>
    <xdr:to>
      <xdr:col>10</xdr:col>
      <xdr:colOff>542159</xdr:colOff>
      <xdr:row>24</xdr:row>
      <xdr:rowOff>27878</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4"/>
        <a:stretch>
          <a:fillRect/>
        </a:stretch>
      </xdr:blipFill>
      <xdr:spPr>
        <a:xfrm>
          <a:off x="504825" y="5534025"/>
          <a:ext cx="6133334" cy="4933253"/>
        </a:xfrm>
        <a:prstGeom prst="rect">
          <a:avLst/>
        </a:prstGeom>
      </xdr:spPr>
    </xdr:pic>
    <xdr:clientData/>
  </xdr:twoCellAnchor>
  <xdr:twoCellAnchor editAs="oneCell">
    <xdr:from>
      <xdr:col>0</xdr:col>
      <xdr:colOff>523875</xdr:colOff>
      <xdr:row>24</xdr:row>
      <xdr:rowOff>314325</xdr:rowOff>
    </xdr:from>
    <xdr:to>
      <xdr:col>10</xdr:col>
      <xdr:colOff>294542</xdr:colOff>
      <xdr:row>25</xdr:row>
      <xdr:rowOff>438076</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5"/>
        <a:stretch>
          <a:fillRect/>
        </a:stretch>
      </xdr:blipFill>
      <xdr:spPr>
        <a:xfrm>
          <a:off x="523875" y="10753725"/>
          <a:ext cx="5866667" cy="619051"/>
        </a:xfrm>
        <a:prstGeom prst="rect">
          <a:avLst/>
        </a:prstGeom>
      </xdr:spPr>
    </xdr:pic>
    <xdr:clientData/>
  </xdr:twoCellAnchor>
  <xdr:twoCellAnchor editAs="oneCell">
    <xdr:from>
      <xdr:col>0</xdr:col>
      <xdr:colOff>504825</xdr:colOff>
      <xdr:row>26</xdr:row>
      <xdr:rowOff>66675</xdr:rowOff>
    </xdr:from>
    <xdr:to>
      <xdr:col>10</xdr:col>
      <xdr:colOff>237397</xdr:colOff>
      <xdr:row>32</xdr:row>
      <xdr:rowOff>76200</xdr:rowOff>
    </xdr:to>
    <xdr:pic>
      <xdr:nvPicPr>
        <xdr:cNvPr id="15" name="Picture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6"/>
        <a:stretch>
          <a:fillRect/>
        </a:stretch>
      </xdr:blipFill>
      <xdr:spPr>
        <a:xfrm>
          <a:off x="504825" y="11496675"/>
          <a:ext cx="5828572" cy="2657475"/>
        </a:xfrm>
        <a:prstGeom prst="rect">
          <a:avLst/>
        </a:prstGeom>
      </xdr:spPr>
    </xdr:pic>
    <xdr:clientData/>
  </xdr:twoCellAnchor>
  <xdr:twoCellAnchor editAs="oneCell">
    <xdr:from>
      <xdr:col>0</xdr:col>
      <xdr:colOff>523875</xdr:colOff>
      <xdr:row>33</xdr:row>
      <xdr:rowOff>9525</xdr:rowOff>
    </xdr:from>
    <xdr:to>
      <xdr:col>9</xdr:col>
      <xdr:colOff>466047</xdr:colOff>
      <xdr:row>34</xdr:row>
      <xdr:rowOff>123749</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7"/>
        <a:stretch>
          <a:fillRect/>
        </a:stretch>
      </xdr:blipFill>
      <xdr:spPr>
        <a:xfrm>
          <a:off x="523875" y="14582775"/>
          <a:ext cx="5428572" cy="609524"/>
        </a:xfrm>
        <a:prstGeom prst="rect">
          <a:avLst/>
        </a:prstGeom>
      </xdr:spPr>
    </xdr:pic>
    <xdr:clientData/>
  </xdr:twoCellAnchor>
  <xdr:twoCellAnchor editAs="oneCell">
    <xdr:from>
      <xdr:col>0</xdr:col>
      <xdr:colOff>581025</xdr:colOff>
      <xdr:row>34</xdr:row>
      <xdr:rowOff>180975</xdr:rowOff>
    </xdr:from>
    <xdr:to>
      <xdr:col>10</xdr:col>
      <xdr:colOff>275502</xdr:colOff>
      <xdr:row>38</xdr:row>
      <xdr:rowOff>466725</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8"/>
        <a:stretch>
          <a:fillRect/>
        </a:stretch>
      </xdr:blipFill>
      <xdr:spPr>
        <a:xfrm>
          <a:off x="581025" y="15249525"/>
          <a:ext cx="5790477" cy="1943100"/>
        </a:xfrm>
        <a:prstGeom prst="rect">
          <a:avLst/>
        </a:prstGeom>
      </xdr:spPr>
    </xdr:pic>
    <xdr:clientData/>
  </xdr:twoCellAnchor>
  <xdr:twoCellAnchor editAs="oneCell">
    <xdr:from>
      <xdr:col>1</xdr:col>
      <xdr:colOff>38100</xdr:colOff>
      <xdr:row>1</xdr:row>
      <xdr:rowOff>190500</xdr:rowOff>
    </xdr:from>
    <xdr:to>
      <xdr:col>10</xdr:col>
      <xdr:colOff>342177</xdr:colOff>
      <xdr:row>6</xdr:row>
      <xdr:rowOff>418947</xdr:rowOff>
    </xdr:to>
    <xdr:pic>
      <xdr:nvPicPr>
        <xdr:cNvPr id="20" name="Picture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9"/>
        <a:stretch>
          <a:fillRect/>
        </a:stretch>
      </xdr:blipFill>
      <xdr:spPr>
        <a:xfrm>
          <a:off x="647700" y="381000"/>
          <a:ext cx="5790477" cy="1228572"/>
        </a:xfrm>
        <a:prstGeom prst="rect">
          <a:avLst/>
        </a:prstGeom>
      </xdr:spPr>
    </xdr:pic>
    <xdr:clientData/>
  </xdr:twoCellAnchor>
  <xdr:twoCellAnchor editAs="oneCell">
    <xdr:from>
      <xdr:col>32</xdr:col>
      <xdr:colOff>0</xdr:colOff>
      <xdr:row>6</xdr:row>
      <xdr:rowOff>0</xdr:rowOff>
    </xdr:from>
    <xdr:to>
      <xdr:col>42</xdr:col>
      <xdr:colOff>189715</xdr:colOff>
      <xdr:row>15</xdr:row>
      <xdr:rowOff>294634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0"/>
        <a:stretch>
          <a:fillRect/>
        </a:stretch>
      </xdr:blipFill>
      <xdr:spPr>
        <a:xfrm>
          <a:off x="21431250" y="1143000"/>
          <a:ext cx="6285715" cy="5133334"/>
        </a:xfrm>
        <a:prstGeom prst="rect">
          <a:avLst/>
        </a:prstGeom>
      </xdr:spPr>
    </xdr:pic>
    <xdr:clientData/>
  </xdr:twoCellAnchor>
  <xdr:twoCellAnchor editAs="oneCell">
    <xdr:from>
      <xdr:col>32</xdr:col>
      <xdr:colOff>0</xdr:colOff>
      <xdr:row>16</xdr:row>
      <xdr:rowOff>0</xdr:rowOff>
    </xdr:from>
    <xdr:to>
      <xdr:col>42</xdr:col>
      <xdr:colOff>227810</xdr:colOff>
      <xdr:row>26</xdr:row>
      <xdr:rowOff>342238</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1"/>
        <a:stretch>
          <a:fillRect/>
        </a:stretch>
      </xdr:blipFill>
      <xdr:spPr>
        <a:xfrm>
          <a:off x="21431250" y="6477000"/>
          <a:ext cx="6323810" cy="5295238"/>
        </a:xfrm>
        <a:prstGeom prst="rect">
          <a:avLst/>
        </a:prstGeom>
      </xdr:spPr>
    </xdr:pic>
    <xdr:clientData/>
  </xdr:twoCellAnchor>
  <xdr:twoCellAnchor editAs="oneCell">
    <xdr:from>
      <xdr:col>32</xdr:col>
      <xdr:colOff>0</xdr:colOff>
      <xdr:row>27</xdr:row>
      <xdr:rowOff>0</xdr:rowOff>
    </xdr:from>
    <xdr:to>
      <xdr:col>43</xdr:col>
      <xdr:colOff>8686</xdr:colOff>
      <xdr:row>42</xdr:row>
      <xdr:rowOff>389649</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2"/>
        <a:stretch>
          <a:fillRect/>
        </a:stretch>
      </xdr:blipFill>
      <xdr:spPr>
        <a:xfrm>
          <a:off x="21431250" y="11925300"/>
          <a:ext cx="6714286" cy="7009524"/>
        </a:xfrm>
        <a:prstGeom prst="rect">
          <a:avLst/>
        </a:prstGeom>
      </xdr:spPr>
    </xdr:pic>
    <xdr:clientData/>
  </xdr:twoCellAnchor>
  <xdr:twoCellAnchor editAs="oneCell">
    <xdr:from>
      <xdr:col>44</xdr:col>
      <xdr:colOff>47625</xdr:colOff>
      <xdr:row>22</xdr:row>
      <xdr:rowOff>57150</xdr:rowOff>
    </xdr:from>
    <xdr:to>
      <xdr:col>55</xdr:col>
      <xdr:colOff>361073</xdr:colOff>
      <xdr:row>26</xdr:row>
      <xdr:rowOff>161664</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3"/>
        <a:stretch>
          <a:fillRect/>
        </a:stretch>
      </xdr:blipFill>
      <xdr:spPr>
        <a:xfrm>
          <a:off x="28794075" y="9505950"/>
          <a:ext cx="7019048" cy="2085714"/>
        </a:xfrm>
        <a:prstGeom prst="rect">
          <a:avLst/>
        </a:prstGeom>
      </xdr:spPr>
    </xdr:pic>
    <xdr:clientData/>
  </xdr:twoCellAnchor>
  <xdr:twoCellAnchor editAs="oneCell">
    <xdr:from>
      <xdr:col>44</xdr:col>
      <xdr:colOff>114300</xdr:colOff>
      <xdr:row>6</xdr:row>
      <xdr:rowOff>47625</xdr:rowOff>
    </xdr:from>
    <xdr:to>
      <xdr:col>56</xdr:col>
      <xdr:colOff>141958</xdr:colOff>
      <xdr:row>21</xdr:row>
      <xdr:rowOff>46649</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14"/>
        <a:stretch>
          <a:fillRect/>
        </a:stretch>
      </xdr:blipFill>
      <xdr:spPr>
        <a:xfrm>
          <a:off x="28860750" y="1190625"/>
          <a:ext cx="7342858" cy="7809524"/>
        </a:xfrm>
        <a:prstGeom prst="rect">
          <a:avLst/>
        </a:prstGeom>
      </xdr:spPr>
    </xdr:pic>
    <xdr:clientData/>
  </xdr:twoCellAnchor>
  <xdr:twoCellAnchor editAs="oneCell">
    <xdr:from>
      <xdr:col>44</xdr:col>
      <xdr:colOff>0</xdr:colOff>
      <xdr:row>27</xdr:row>
      <xdr:rowOff>0</xdr:rowOff>
    </xdr:from>
    <xdr:to>
      <xdr:col>55</xdr:col>
      <xdr:colOff>446781</xdr:colOff>
      <xdr:row>32</xdr:row>
      <xdr:rowOff>361636</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5"/>
        <a:stretch>
          <a:fillRect/>
        </a:stretch>
      </xdr:blipFill>
      <xdr:spPr>
        <a:xfrm>
          <a:off x="28746450" y="11925300"/>
          <a:ext cx="7152381" cy="25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561975</xdr:colOff>
      <xdr:row>70</xdr:row>
      <xdr:rowOff>47625</xdr:rowOff>
    </xdr:from>
    <xdr:to>
      <xdr:col>11</xdr:col>
      <xdr:colOff>142090</xdr:colOff>
      <xdr:row>97</xdr:row>
      <xdr:rowOff>170792</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561975" y="13382625"/>
          <a:ext cx="6285715" cy="5266667"/>
        </a:xfrm>
        <a:prstGeom prst="rect">
          <a:avLst/>
        </a:prstGeom>
      </xdr:spPr>
    </xdr:pic>
    <xdr:clientData/>
  </xdr:twoCellAnchor>
  <xdr:twoCellAnchor editAs="oneCell">
    <xdr:from>
      <xdr:col>0</xdr:col>
      <xdr:colOff>447675</xdr:colOff>
      <xdr:row>64</xdr:row>
      <xdr:rowOff>28575</xdr:rowOff>
    </xdr:from>
    <xdr:to>
      <xdr:col>11</xdr:col>
      <xdr:colOff>199218</xdr:colOff>
      <xdr:row>68</xdr:row>
      <xdr:rowOff>161813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447675" y="12220575"/>
          <a:ext cx="6457143" cy="895238"/>
        </a:xfrm>
        <a:prstGeom prst="rect">
          <a:avLst/>
        </a:prstGeom>
      </xdr:spPr>
    </xdr:pic>
    <xdr:clientData/>
  </xdr:twoCellAnchor>
  <xdr:twoCellAnchor editAs="oneCell">
    <xdr:from>
      <xdr:col>0</xdr:col>
      <xdr:colOff>485775</xdr:colOff>
      <xdr:row>17</xdr:row>
      <xdr:rowOff>104775</xdr:rowOff>
    </xdr:from>
    <xdr:to>
      <xdr:col>11</xdr:col>
      <xdr:colOff>94461</xdr:colOff>
      <xdr:row>36</xdr:row>
      <xdr:rowOff>85275</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a:stretch>
          <a:fillRect/>
        </a:stretch>
      </xdr:blipFill>
      <xdr:spPr>
        <a:xfrm>
          <a:off x="485775" y="3343275"/>
          <a:ext cx="6314286" cy="3600000"/>
        </a:xfrm>
        <a:prstGeom prst="rect">
          <a:avLst/>
        </a:prstGeom>
      </xdr:spPr>
    </xdr:pic>
    <xdr:clientData/>
  </xdr:twoCellAnchor>
  <xdr:twoCellAnchor editAs="oneCell">
    <xdr:from>
      <xdr:col>1</xdr:col>
      <xdr:colOff>95250</xdr:colOff>
      <xdr:row>1</xdr:row>
      <xdr:rowOff>9525</xdr:rowOff>
    </xdr:from>
    <xdr:to>
      <xdr:col>11</xdr:col>
      <xdr:colOff>27822</xdr:colOff>
      <xdr:row>13</xdr:row>
      <xdr:rowOff>171139</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704850" y="200025"/>
          <a:ext cx="6028572" cy="2485714"/>
        </a:xfrm>
        <a:prstGeom prst="rect">
          <a:avLst/>
        </a:prstGeom>
      </xdr:spPr>
    </xdr:pic>
    <xdr:clientData/>
  </xdr:twoCellAnchor>
  <xdr:twoCellAnchor editAs="oneCell">
    <xdr:from>
      <xdr:col>32</xdr:col>
      <xdr:colOff>95250</xdr:colOff>
      <xdr:row>59</xdr:row>
      <xdr:rowOff>180975</xdr:rowOff>
    </xdr:from>
    <xdr:to>
      <xdr:col>46</xdr:col>
      <xdr:colOff>275147</xdr:colOff>
      <xdr:row>91</xdr:row>
      <xdr:rowOff>94499</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5"/>
        <a:stretch>
          <a:fillRect/>
        </a:stretch>
      </xdr:blipFill>
      <xdr:spPr>
        <a:xfrm>
          <a:off x="19602450" y="11420475"/>
          <a:ext cx="8628572" cy="6009524"/>
        </a:xfrm>
        <a:prstGeom prst="rect">
          <a:avLst/>
        </a:prstGeom>
      </xdr:spPr>
    </xdr:pic>
    <xdr:clientData/>
  </xdr:twoCellAnchor>
  <xdr:twoCellAnchor editAs="oneCell">
    <xdr:from>
      <xdr:col>32</xdr:col>
      <xdr:colOff>47625</xdr:colOff>
      <xdr:row>39</xdr:row>
      <xdr:rowOff>152400</xdr:rowOff>
    </xdr:from>
    <xdr:to>
      <xdr:col>45</xdr:col>
      <xdr:colOff>560932</xdr:colOff>
      <xdr:row>57</xdr:row>
      <xdr:rowOff>142448</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6"/>
        <a:stretch>
          <a:fillRect/>
        </a:stretch>
      </xdr:blipFill>
      <xdr:spPr>
        <a:xfrm>
          <a:off x="19554825" y="7581900"/>
          <a:ext cx="8352382" cy="3419048"/>
        </a:xfrm>
        <a:prstGeom prst="rect">
          <a:avLst/>
        </a:prstGeom>
      </xdr:spPr>
    </xdr:pic>
    <xdr:clientData/>
  </xdr:twoCellAnchor>
  <xdr:twoCellAnchor editAs="oneCell">
    <xdr:from>
      <xdr:col>32</xdr:col>
      <xdr:colOff>476250</xdr:colOff>
      <xdr:row>2</xdr:row>
      <xdr:rowOff>28575</xdr:rowOff>
    </xdr:from>
    <xdr:to>
      <xdr:col>43</xdr:col>
      <xdr:colOff>589709</xdr:colOff>
      <xdr:row>36</xdr:row>
      <xdr:rowOff>8714</xdr:rowOff>
    </xdr:to>
    <xdr:pic>
      <xdr:nvPicPr>
        <xdr:cNvPr id="12" name="Picture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7"/>
        <a:stretch>
          <a:fillRect/>
        </a:stretch>
      </xdr:blipFill>
      <xdr:spPr>
        <a:xfrm>
          <a:off x="19983450" y="409575"/>
          <a:ext cx="6733334" cy="6495239"/>
        </a:xfrm>
        <a:prstGeom prst="rect">
          <a:avLst/>
        </a:prstGeom>
      </xdr:spPr>
    </xdr:pic>
    <xdr:clientData/>
  </xdr:twoCellAnchor>
  <xdr:twoCellAnchor editAs="oneCell">
    <xdr:from>
      <xdr:col>48</xdr:col>
      <xdr:colOff>552450</xdr:colOff>
      <xdr:row>31</xdr:row>
      <xdr:rowOff>38100</xdr:rowOff>
    </xdr:from>
    <xdr:to>
      <xdr:col>62</xdr:col>
      <xdr:colOff>179955</xdr:colOff>
      <xdr:row>37</xdr:row>
      <xdr:rowOff>37957</xdr:rowOff>
    </xdr:to>
    <xdr:pic>
      <xdr:nvPicPr>
        <xdr:cNvPr id="14" name="Picture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8"/>
        <a:stretch>
          <a:fillRect/>
        </a:stretch>
      </xdr:blipFill>
      <xdr:spPr>
        <a:xfrm>
          <a:off x="29203650" y="5943600"/>
          <a:ext cx="8161905" cy="1142857"/>
        </a:xfrm>
        <a:prstGeom prst="rect">
          <a:avLst/>
        </a:prstGeom>
      </xdr:spPr>
    </xdr:pic>
    <xdr:clientData/>
  </xdr:twoCellAnchor>
  <xdr:twoCellAnchor editAs="oneCell">
    <xdr:from>
      <xdr:col>48</xdr:col>
      <xdr:colOff>0</xdr:colOff>
      <xdr:row>3</xdr:row>
      <xdr:rowOff>0</xdr:rowOff>
    </xdr:from>
    <xdr:to>
      <xdr:col>64</xdr:col>
      <xdr:colOff>389258</xdr:colOff>
      <xdr:row>27</xdr:row>
      <xdr:rowOff>113710</xdr:rowOff>
    </xdr:to>
    <xdr:pic>
      <xdr:nvPicPr>
        <xdr:cNvPr id="15" name="Picture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9"/>
        <a:stretch>
          <a:fillRect/>
        </a:stretch>
      </xdr:blipFill>
      <xdr:spPr>
        <a:xfrm>
          <a:off x="28651200" y="571500"/>
          <a:ext cx="10142858" cy="4723810"/>
        </a:xfrm>
        <a:prstGeom prst="rect">
          <a:avLst/>
        </a:prstGeom>
      </xdr:spPr>
    </xdr:pic>
    <xdr:clientData/>
  </xdr:twoCellAnchor>
  <xdr:twoCellAnchor editAs="oneCell">
    <xdr:from>
      <xdr:col>49</xdr:col>
      <xdr:colOff>0</xdr:colOff>
      <xdr:row>29</xdr:row>
      <xdr:rowOff>0</xdr:rowOff>
    </xdr:from>
    <xdr:to>
      <xdr:col>52</xdr:col>
      <xdr:colOff>237867</xdr:colOff>
      <xdr:row>31</xdr:row>
      <xdr:rowOff>66619</xdr:rowOff>
    </xdr:to>
    <xdr:pic>
      <xdr:nvPicPr>
        <xdr:cNvPr id="17" name="Picture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10"/>
        <a:stretch>
          <a:fillRect/>
        </a:stretch>
      </xdr:blipFill>
      <xdr:spPr>
        <a:xfrm>
          <a:off x="29260800" y="5524500"/>
          <a:ext cx="2066667" cy="447619"/>
        </a:xfrm>
        <a:prstGeom prst="rect">
          <a:avLst/>
        </a:prstGeom>
      </xdr:spPr>
    </xdr:pic>
    <xdr:clientData/>
  </xdr:twoCellAnchor>
  <xdr:twoCellAnchor editAs="oneCell">
    <xdr:from>
      <xdr:col>48</xdr:col>
      <xdr:colOff>581025</xdr:colOff>
      <xdr:row>38</xdr:row>
      <xdr:rowOff>142875</xdr:rowOff>
    </xdr:from>
    <xdr:to>
      <xdr:col>62</xdr:col>
      <xdr:colOff>27578</xdr:colOff>
      <xdr:row>63</xdr:row>
      <xdr:rowOff>75613</xdr:rowOff>
    </xdr:to>
    <xdr:pic>
      <xdr:nvPicPr>
        <xdr:cNvPr id="19" name="Picture 18">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11"/>
        <a:stretch>
          <a:fillRect/>
        </a:stretch>
      </xdr:blipFill>
      <xdr:spPr>
        <a:xfrm>
          <a:off x="29232225" y="7381875"/>
          <a:ext cx="7980953" cy="4695238"/>
        </a:xfrm>
        <a:prstGeom prst="rect">
          <a:avLst/>
        </a:prstGeom>
      </xdr:spPr>
    </xdr:pic>
    <xdr:clientData/>
  </xdr:twoCellAnchor>
  <xdr:twoCellAnchor editAs="oneCell">
    <xdr:from>
      <xdr:col>65</xdr:col>
      <xdr:colOff>390525</xdr:colOff>
      <xdr:row>2</xdr:row>
      <xdr:rowOff>114300</xdr:rowOff>
    </xdr:from>
    <xdr:to>
      <xdr:col>76</xdr:col>
      <xdr:colOff>265878</xdr:colOff>
      <xdr:row>13</xdr:row>
      <xdr:rowOff>56891</xdr:rowOff>
    </xdr:to>
    <xdr:pic>
      <xdr:nvPicPr>
        <xdr:cNvPr id="22" name="Picture 21">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12"/>
        <a:stretch>
          <a:fillRect/>
        </a:stretch>
      </xdr:blipFill>
      <xdr:spPr>
        <a:xfrm>
          <a:off x="39404925" y="495300"/>
          <a:ext cx="6580953" cy="2076191"/>
        </a:xfrm>
        <a:prstGeom prst="rect">
          <a:avLst/>
        </a:prstGeom>
      </xdr:spPr>
    </xdr:pic>
    <xdr:clientData/>
  </xdr:twoCellAnchor>
  <xdr:twoCellAnchor editAs="oneCell">
    <xdr:from>
      <xdr:col>65</xdr:col>
      <xdr:colOff>590550</xdr:colOff>
      <xdr:row>15</xdr:row>
      <xdr:rowOff>19050</xdr:rowOff>
    </xdr:from>
    <xdr:to>
      <xdr:col>76</xdr:col>
      <xdr:colOff>65903</xdr:colOff>
      <xdr:row>46</xdr:row>
      <xdr:rowOff>27836</xdr:rowOff>
    </xdr:to>
    <xdr:pic>
      <xdr:nvPicPr>
        <xdr:cNvPr id="23" name="Picture 22">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13"/>
        <a:stretch>
          <a:fillRect/>
        </a:stretch>
      </xdr:blipFill>
      <xdr:spPr>
        <a:xfrm>
          <a:off x="39604950" y="2876550"/>
          <a:ext cx="6180953" cy="5914286"/>
        </a:xfrm>
        <a:prstGeom prst="rect">
          <a:avLst/>
        </a:prstGeom>
      </xdr:spPr>
    </xdr:pic>
    <xdr:clientData/>
  </xdr:twoCellAnchor>
  <xdr:twoCellAnchor editAs="oneCell">
    <xdr:from>
      <xdr:col>66</xdr:col>
      <xdr:colOff>0</xdr:colOff>
      <xdr:row>48</xdr:row>
      <xdr:rowOff>0</xdr:rowOff>
    </xdr:from>
    <xdr:to>
      <xdr:col>75</xdr:col>
      <xdr:colOff>465981</xdr:colOff>
      <xdr:row>86</xdr:row>
      <xdr:rowOff>132429</xdr:rowOff>
    </xdr:to>
    <xdr:pic>
      <xdr:nvPicPr>
        <xdr:cNvPr id="24" name="Picture 23">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14"/>
        <a:stretch>
          <a:fillRect/>
        </a:stretch>
      </xdr:blipFill>
      <xdr:spPr>
        <a:xfrm>
          <a:off x="39624000" y="9144000"/>
          <a:ext cx="5952381" cy="7371429"/>
        </a:xfrm>
        <a:prstGeom prst="rect">
          <a:avLst/>
        </a:prstGeom>
      </xdr:spPr>
    </xdr:pic>
    <xdr:clientData/>
  </xdr:twoCellAnchor>
  <xdr:twoCellAnchor editAs="oneCell">
    <xdr:from>
      <xdr:col>66</xdr:col>
      <xdr:colOff>0</xdr:colOff>
      <xdr:row>88</xdr:row>
      <xdr:rowOff>0</xdr:rowOff>
    </xdr:from>
    <xdr:to>
      <xdr:col>75</xdr:col>
      <xdr:colOff>408838</xdr:colOff>
      <xdr:row>127</xdr:row>
      <xdr:rowOff>46691</xdr:rowOff>
    </xdr:to>
    <xdr:pic>
      <xdr:nvPicPr>
        <xdr:cNvPr id="25" name="Picture 24">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15"/>
        <a:stretch>
          <a:fillRect/>
        </a:stretch>
      </xdr:blipFill>
      <xdr:spPr>
        <a:xfrm>
          <a:off x="39624000" y="16764000"/>
          <a:ext cx="5895238" cy="7476191"/>
        </a:xfrm>
        <a:prstGeom prst="rect">
          <a:avLst/>
        </a:prstGeom>
      </xdr:spPr>
    </xdr:pic>
    <xdr:clientData/>
  </xdr:twoCellAnchor>
  <xdr:twoCellAnchor editAs="oneCell">
    <xdr:from>
      <xdr:col>66</xdr:col>
      <xdr:colOff>0</xdr:colOff>
      <xdr:row>128</xdr:row>
      <xdr:rowOff>0</xdr:rowOff>
    </xdr:from>
    <xdr:to>
      <xdr:col>75</xdr:col>
      <xdr:colOff>132648</xdr:colOff>
      <xdr:row>156</xdr:row>
      <xdr:rowOff>8858</xdr:rowOff>
    </xdr:to>
    <xdr:pic>
      <xdr:nvPicPr>
        <xdr:cNvPr id="27" name="Picture 26">
          <a:extLst>
            <a:ext uri="{FF2B5EF4-FFF2-40B4-BE49-F238E27FC236}">
              <a16:creationId xmlns:a16="http://schemas.microsoft.com/office/drawing/2014/main" id="{00000000-0008-0000-0300-00001B000000}"/>
            </a:ext>
          </a:extLst>
        </xdr:cNvPr>
        <xdr:cNvPicPr>
          <a:picLocks noChangeAspect="1"/>
        </xdr:cNvPicPr>
      </xdr:nvPicPr>
      <xdr:blipFill>
        <a:blip xmlns:r="http://schemas.openxmlformats.org/officeDocument/2006/relationships" r:embed="rId16"/>
        <a:stretch>
          <a:fillRect/>
        </a:stretch>
      </xdr:blipFill>
      <xdr:spPr>
        <a:xfrm>
          <a:off x="39624000" y="24384000"/>
          <a:ext cx="5619048" cy="5342858"/>
        </a:xfrm>
        <a:prstGeom prst="rect">
          <a:avLst/>
        </a:prstGeom>
      </xdr:spPr>
    </xdr:pic>
    <xdr:clientData/>
  </xdr:twoCellAnchor>
  <xdr:twoCellAnchor editAs="oneCell">
    <xdr:from>
      <xdr:col>0</xdr:col>
      <xdr:colOff>38100</xdr:colOff>
      <xdr:row>38</xdr:row>
      <xdr:rowOff>85725</xdr:rowOff>
    </xdr:from>
    <xdr:to>
      <xdr:col>12</xdr:col>
      <xdr:colOff>608615</xdr:colOff>
      <xdr:row>62</xdr:row>
      <xdr:rowOff>85154</xdr:rowOff>
    </xdr:to>
    <xdr:pic>
      <xdr:nvPicPr>
        <xdr:cNvPr id="34" name="Picture 33">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17"/>
        <a:stretch>
          <a:fillRect/>
        </a:stretch>
      </xdr:blipFill>
      <xdr:spPr>
        <a:xfrm>
          <a:off x="38100" y="7324725"/>
          <a:ext cx="7885715" cy="4571429"/>
        </a:xfrm>
        <a:prstGeom prst="rect">
          <a:avLst/>
        </a:prstGeom>
      </xdr:spPr>
    </xdr:pic>
    <xdr:clientData/>
  </xdr:twoCellAnchor>
  <xdr:twoCellAnchor editAs="oneCell">
    <xdr:from>
      <xdr:col>81</xdr:col>
      <xdr:colOff>457200</xdr:colOff>
      <xdr:row>3</xdr:row>
      <xdr:rowOff>0</xdr:rowOff>
    </xdr:from>
    <xdr:to>
      <xdr:col>90</xdr:col>
      <xdr:colOff>332705</xdr:colOff>
      <xdr:row>15</xdr:row>
      <xdr:rowOff>75900</xdr:rowOff>
    </xdr:to>
    <xdr:pic>
      <xdr:nvPicPr>
        <xdr:cNvPr id="29" name="Picture 28">
          <a:extLst>
            <a:ext uri="{FF2B5EF4-FFF2-40B4-BE49-F238E27FC236}">
              <a16:creationId xmlns:a16="http://schemas.microsoft.com/office/drawing/2014/main" id="{00000000-0008-0000-0300-00001D000000}"/>
            </a:ext>
          </a:extLst>
        </xdr:cNvPr>
        <xdr:cNvPicPr>
          <a:picLocks noChangeAspect="1"/>
        </xdr:cNvPicPr>
      </xdr:nvPicPr>
      <xdr:blipFill>
        <a:blip xmlns:r="http://schemas.openxmlformats.org/officeDocument/2006/relationships" r:embed="rId18"/>
        <a:stretch>
          <a:fillRect/>
        </a:stretch>
      </xdr:blipFill>
      <xdr:spPr>
        <a:xfrm>
          <a:off x="49749075" y="571500"/>
          <a:ext cx="5361905" cy="2400000"/>
        </a:xfrm>
        <a:prstGeom prst="rect">
          <a:avLst/>
        </a:prstGeom>
      </xdr:spPr>
    </xdr:pic>
    <xdr:clientData/>
  </xdr:twoCellAnchor>
  <xdr:twoCellAnchor editAs="oneCell">
    <xdr:from>
      <xdr:col>77</xdr:col>
      <xdr:colOff>0</xdr:colOff>
      <xdr:row>17</xdr:row>
      <xdr:rowOff>104775</xdr:rowOff>
    </xdr:from>
    <xdr:to>
      <xdr:col>95</xdr:col>
      <xdr:colOff>579582</xdr:colOff>
      <xdr:row>36</xdr:row>
      <xdr:rowOff>56704</xdr:rowOff>
    </xdr:to>
    <xdr:pic>
      <xdr:nvPicPr>
        <xdr:cNvPr id="31" name="Picture 30">
          <a:extLst>
            <a:ext uri="{FF2B5EF4-FFF2-40B4-BE49-F238E27FC236}">
              <a16:creationId xmlns:a16="http://schemas.microsoft.com/office/drawing/2014/main" id="{00000000-0008-0000-0300-00001F000000}"/>
            </a:ext>
          </a:extLst>
        </xdr:cNvPr>
        <xdr:cNvPicPr>
          <a:picLocks noChangeAspect="1"/>
        </xdr:cNvPicPr>
      </xdr:nvPicPr>
      <xdr:blipFill>
        <a:blip xmlns:r="http://schemas.openxmlformats.org/officeDocument/2006/relationships" r:embed="rId19"/>
        <a:stretch>
          <a:fillRect/>
        </a:stretch>
      </xdr:blipFill>
      <xdr:spPr>
        <a:xfrm>
          <a:off x="56483250" y="3343275"/>
          <a:ext cx="11552382" cy="3571429"/>
        </a:xfrm>
        <a:prstGeom prst="rect">
          <a:avLst/>
        </a:prstGeom>
      </xdr:spPr>
    </xdr:pic>
    <xdr:clientData/>
  </xdr:twoCellAnchor>
  <xdr:twoCellAnchor editAs="oneCell">
    <xdr:from>
      <xdr:col>15</xdr:col>
      <xdr:colOff>123825</xdr:colOff>
      <xdr:row>1</xdr:row>
      <xdr:rowOff>28575</xdr:rowOff>
    </xdr:from>
    <xdr:to>
      <xdr:col>27</xdr:col>
      <xdr:colOff>75292</xdr:colOff>
      <xdr:row>35</xdr:row>
      <xdr:rowOff>18237</xdr:rowOff>
    </xdr:to>
    <xdr:pic>
      <xdr:nvPicPr>
        <xdr:cNvPr id="33" name="Picture 32">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20"/>
        <a:stretch>
          <a:fillRect/>
        </a:stretch>
      </xdr:blipFill>
      <xdr:spPr>
        <a:xfrm>
          <a:off x="9267825" y="219075"/>
          <a:ext cx="7266667" cy="6504762"/>
        </a:xfrm>
        <a:prstGeom prst="rect">
          <a:avLst/>
        </a:prstGeom>
      </xdr:spPr>
    </xdr:pic>
    <xdr:clientData/>
  </xdr:twoCellAnchor>
  <xdr:twoCellAnchor editAs="oneCell">
    <xdr:from>
      <xdr:col>14</xdr:col>
      <xdr:colOff>533400</xdr:colOff>
      <xdr:row>36</xdr:row>
      <xdr:rowOff>180975</xdr:rowOff>
    </xdr:from>
    <xdr:to>
      <xdr:col>29</xdr:col>
      <xdr:colOff>494163</xdr:colOff>
      <xdr:row>71</xdr:row>
      <xdr:rowOff>170618</xdr:rowOff>
    </xdr:to>
    <xdr:pic>
      <xdr:nvPicPr>
        <xdr:cNvPr id="35" name="Picture 34">
          <a:extLst>
            <a:ext uri="{FF2B5EF4-FFF2-40B4-BE49-F238E27FC236}">
              <a16:creationId xmlns:a16="http://schemas.microsoft.com/office/drawing/2014/main" id="{00000000-0008-0000-0300-000023000000}"/>
            </a:ext>
          </a:extLst>
        </xdr:cNvPr>
        <xdr:cNvPicPr>
          <a:picLocks noChangeAspect="1"/>
        </xdr:cNvPicPr>
      </xdr:nvPicPr>
      <xdr:blipFill>
        <a:blip xmlns:r="http://schemas.openxmlformats.org/officeDocument/2006/relationships" r:embed="rId21"/>
        <a:stretch>
          <a:fillRect/>
        </a:stretch>
      </xdr:blipFill>
      <xdr:spPr>
        <a:xfrm>
          <a:off x="9067800" y="7038975"/>
          <a:ext cx="9104763" cy="6657143"/>
        </a:xfrm>
        <a:prstGeom prst="rect">
          <a:avLst/>
        </a:prstGeom>
      </xdr:spPr>
    </xdr:pic>
    <xdr:clientData/>
  </xdr:twoCellAnchor>
  <xdr:twoCellAnchor editAs="oneCell">
    <xdr:from>
      <xdr:col>14</xdr:col>
      <xdr:colOff>400050</xdr:colOff>
      <xdr:row>72</xdr:row>
      <xdr:rowOff>57150</xdr:rowOff>
    </xdr:from>
    <xdr:to>
      <xdr:col>29</xdr:col>
      <xdr:colOff>360813</xdr:colOff>
      <xdr:row>85</xdr:row>
      <xdr:rowOff>142555</xdr:rowOff>
    </xdr:to>
    <xdr:pic>
      <xdr:nvPicPr>
        <xdr:cNvPr id="36" name="Picture 35">
          <a:extLst>
            <a:ext uri="{FF2B5EF4-FFF2-40B4-BE49-F238E27FC236}">
              <a16:creationId xmlns:a16="http://schemas.microsoft.com/office/drawing/2014/main" id="{00000000-0008-0000-0300-000024000000}"/>
            </a:ext>
          </a:extLst>
        </xdr:cNvPr>
        <xdr:cNvPicPr>
          <a:picLocks noChangeAspect="1"/>
        </xdr:cNvPicPr>
      </xdr:nvPicPr>
      <xdr:blipFill>
        <a:blip xmlns:r="http://schemas.openxmlformats.org/officeDocument/2006/relationships" r:embed="rId22"/>
        <a:stretch>
          <a:fillRect/>
        </a:stretch>
      </xdr:blipFill>
      <xdr:spPr>
        <a:xfrm>
          <a:off x="8934450" y="13773150"/>
          <a:ext cx="9104763" cy="2561905"/>
        </a:xfrm>
        <a:prstGeom prst="rect">
          <a:avLst/>
        </a:prstGeom>
      </xdr:spPr>
    </xdr:pic>
    <xdr:clientData/>
  </xdr:twoCellAnchor>
  <xdr:twoCellAnchor editAs="oneCell">
    <xdr:from>
      <xdr:col>14</xdr:col>
      <xdr:colOff>438150</xdr:colOff>
      <xdr:row>85</xdr:row>
      <xdr:rowOff>180975</xdr:rowOff>
    </xdr:from>
    <xdr:to>
      <xdr:col>29</xdr:col>
      <xdr:colOff>456055</xdr:colOff>
      <xdr:row>110</xdr:row>
      <xdr:rowOff>37523</xdr:rowOff>
    </xdr:to>
    <xdr:pic>
      <xdr:nvPicPr>
        <xdr:cNvPr id="38" name="Picture 37">
          <a:extLst>
            <a:ext uri="{FF2B5EF4-FFF2-40B4-BE49-F238E27FC236}">
              <a16:creationId xmlns:a16="http://schemas.microsoft.com/office/drawing/2014/main" id="{00000000-0008-0000-0300-000026000000}"/>
            </a:ext>
          </a:extLst>
        </xdr:cNvPr>
        <xdr:cNvPicPr>
          <a:picLocks noChangeAspect="1"/>
        </xdr:cNvPicPr>
      </xdr:nvPicPr>
      <xdr:blipFill>
        <a:blip xmlns:r="http://schemas.openxmlformats.org/officeDocument/2006/relationships" r:embed="rId23"/>
        <a:stretch>
          <a:fillRect/>
        </a:stretch>
      </xdr:blipFill>
      <xdr:spPr>
        <a:xfrm>
          <a:off x="8972550" y="16373475"/>
          <a:ext cx="9161905" cy="4619048"/>
        </a:xfrm>
        <a:prstGeom prst="rect">
          <a:avLst/>
        </a:prstGeom>
      </xdr:spPr>
    </xdr:pic>
    <xdr:clientData/>
  </xdr:twoCellAnchor>
  <xdr:twoCellAnchor editAs="oneCell">
    <xdr:from>
      <xdr:col>15</xdr:col>
      <xdr:colOff>28575</xdr:colOff>
      <xdr:row>109</xdr:row>
      <xdr:rowOff>9525</xdr:rowOff>
    </xdr:from>
    <xdr:to>
      <xdr:col>29</xdr:col>
      <xdr:colOff>246557</xdr:colOff>
      <xdr:row>147</xdr:row>
      <xdr:rowOff>75287</xdr:rowOff>
    </xdr:to>
    <xdr:pic>
      <xdr:nvPicPr>
        <xdr:cNvPr id="39" name="Picture 38">
          <a:extLst>
            <a:ext uri="{FF2B5EF4-FFF2-40B4-BE49-F238E27FC236}">
              <a16:creationId xmlns:a16="http://schemas.microsoft.com/office/drawing/2014/main" id="{00000000-0008-0000-0300-000027000000}"/>
            </a:ext>
          </a:extLst>
        </xdr:cNvPr>
        <xdr:cNvPicPr>
          <a:picLocks noChangeAspect="1"/>
        </xdr:cNvPicPr>
      </xdr:nvPicPr>
      <xdr:blipFill>
        <a:blip xmlns:r="http://schemas.openxmlformats.org/officeDocument/2006/relationships" r:embed="rId24"/>
        <a:stretch>
          <a:fillRect/>
        </a:stretch>
      </xdr:blipFill>
      <xdr:spPr>
        <a:xfrm>
          <a:off x="9172575" y="20774025"/>
          <a:ext cx="8752382" cy="7304762"/>
        </a:xfrm>
        <a:prstGeom prst="rect">
          <a:avLst/>
        </a:prstGeom>
      </xdr:spPr>
    </xdr:pic>
    <xdr:clientData/>
  </xdr:twoCellAnchor>
  <xdr:twoCellAnchor editAs="oneCell">
    <xdr:from>
      <xdr:col>14</xdr:col>
      <xdr:colOff>590550</xdr:colOff>
      <xdr:row>148</xdr:row>
      <xdr:rowOff>180975</xdr:rowOff>
    </xdr:from>
    <xdr:to>
      <xdr:col>29</xdr:col>
      <xdr:colOff>437027</xdr:colOff>
      <xdr:row>186</xdr:row>
      <xdr:rowOff>141975</xdr:rowOff>
    </xdr:to>
    <xdr:pic>
      <xdr:nvPicPr>
        <xdr:cNvPr id="40" name="Picture 39">
          <a:extLst>
            <a:ext uri="{FF2B5EF4-FFF2-40B4-BE49-F238E27FC236}">
              <a16:creationId xmlns:a16="http://schemas.microsoft.com/office/drawing/2014/main" id="{00000000-0008-0000-0300-000028000000}"/>
            </a:ext>
          </a:extLst>
        </xdr:cNvPr>
        <xdr:cNvPicPr>
          <a:picLocks noChangeAspect="1"/>
        </xdr:cNvPicPr>
      </xdr:nvPicPr>
      <xdr:blipFill>
        <a:blip xmlns:r="http://schemas.openxmlformats.org/officeDocument/2006/relationships" r:embed="rId25"/>
        <a:stretch>
          <a:fillRect/>
        </a:stretch>
      </xdr:blipFill>
      <xdr:spPr>
        <a:xfrm>
          <a:off x="9124950" y="28374975"/>
          <a:ext cx="8990477" cy="7200000"/>
        </a:xfrm>
        <a:prstGeom prst="rect">
          <a:avLst/>
        </a:prstGeom>
      </xdr:spPr>
    </xdr:pic>
    <xdr:clientData/>
  </xdr:twoCellAnchor>
  <xdr:twoCellAnchor editAs="oneCell">
    <xdr:from>
      <xdr:col>1</xdr:col>
      <xdr:colOff>0</xdr:colOff>
      <xdr:row>99</xdr:row>
      <xdr:rowOff>0</xdr:rowOff>
    </xdr:from>
    <xdr:to>
      <xdr:col>5</xdr:col>
      <xdr:colOff>199695</xdr:colOff>
      <xdr:row>100</xdr:row>
      <xdr:rowOff>114262</xdr:rowOff>
    </xdr:to>
    <xdr:pic>
      <xdr:nvPicPr>
        <xdr:cNvPr id="30" name="Picture 29">
          <a:extLst>
            <a:ext uri="{FF2B5EF4-FFF2-40B4-BE49-F238E27FC236}">
              <a16:creationId xmlns:a16="http://schemas.microsoft.com/office/drawing/2014/main" id="{00000000-0008-0000-0300-00001E000000}"/>
            </a:ext>
          </a:extLst>
        </xdr:cNvPr>
        <xdr:cNvPicPr>
          <a:picLocks noChangeAspect="1"/>
        </xdr:cNvPicPr>
      </xdr:nvPicPr>
      <xdr:blipFill>
        <a:blip xmlns:r="http://schemas.openxmlformats.org/officeDocument/2006/relationships" r:embed="rId26"/>
        <a:stretch>
          <a:fillRect/>
        </a:stretch>
      </xdr:blipFill>
      <xdr:spPr>
        <a:xfrm>
          <a:off x="609600" y="18859500"/>
          <a:ext cx="2638095" cy="304762"/>
        </a:xfrm>
        <a:prstGeom prst="rect">
          <a:avLst/>
        </a:prstGeom>
      </xdr:spPr>
    </xdr:pic>
    <xdr:clientData/>
  </xdr:twoCellAnchor>
  <xdr:twoCellAnchor editAs="oneCell">
    <xdr:from>
      <xdr:col>1</xdr:col>
      <xdr:colOff>0</xdr:colOff>
      <xdr:row>102</xdr:row>
      <xdr:rowOff>0</xdr:rowOff>
    </xdr:from>
    <xdr:to>
      <xdr:col>10</xdr:col>
      <xdr:colOff>351696</xdr:colOff>
      <xdr:row>113</xdr:row>
      <xdr:rowOff>75929</xdr:rowOff>
    </xdr:to>
    <xdr:pic>
      <xdr:nvPicPr>
        <xdr:cNvPr id="32" name="Picture 31">
          <a:extLst>
            <a:ext uri="{FF2B5EF4-FFF2-40B4-BE49-F238E27FC236}">
              <a16:creationId xmlns:a16="http://schemas.microsoft.com/office/drawing/2014/main" id="{00000000-0008-0000-0300-000020000000}"/>
            </a:ext>
          </a:extLst>
        </xdr:cNvPr>
        <xdr:cNvPicPr>
          <a:picLocks noChangeAspect="1"/>
        </xdr:cNvPicPr>
      </xdr:nvPicPr>
      <xdr:blipFill>
        <a:blip xmlns:r="http://schemas.openxmlformats.org/officeDocument/2006/relationships" r:embed="rId27"/>
        <a:stretch>
          <a:fillRect/>
        </a:stretch>
      </xdr:blipFill>
      <xdr:spPr>
        <a:xfrm>
          <a:off x="609600" y="19431000"/>
          <a:ext cx="5838096" cy="217142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571501</xdr:colOff>
      <xdr:row>1</xdr:row>
      <xdr:rowOff>47689</xdr:rowOff>
    </xdr:from>
    <xdr:to>
      <xdr:col>5</xdr:col>
      <xdr:colOff>358141</xdr:colOff>
      <xdr:row>7</xdr:row>
      <xdr:rowOff>16845</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571501" y="230569"/>
          <a:ext cx="2834640" cy="1173116"/>
        </a:xfrm>
        <a:prstGeom prst="rect">
          <a:avLst/>
        </a:prstGeom>
      </xdr:spPr>
    </xdr:pic>
    <xdr:clientData/>
  </xdr:twoCellAnchor>
  <xdr:twoCellAnchor editAs="oneCell">
    <xdr:from>
      <xdr:col>2</xdr:col>
      <xdr:colOff>320041</xdr:colOff>
      <xdr:row>4</xdr:row>
      <xdr:rowOff>95414</xdr:rowOff>
    </xdr:from>
    <xdr:to>
      <xdr:col>9</xdr:col>
      <xdr:colOff>57151</xdr:colOff>
      <xdr:row>25</xdr:row>
      <xdr:rowOff>136147</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1539241" y="865034"/>
          <a:ext cx="3992880" cy="3949793"/>
        </a:xfrm>
        <a:prstGeom prst="rect">
          <a:avLst/>
        </a:prstGeom>
      </xdr:spPr>
    </xdr:pic>
    <xdr:clientData/>
  </xdr:twoCellAnchor>
  <xdr:twoCellAnchor editAs="oneCell">
    <xdr:from>
      <xdr:col>0</xdr:col>
      <xdr:colOff>542925</xdr:colOff>
      <xdr:row>48</xdr:row>
      <xdr:rowOff>127634</xdr:rowOff>
    </xdr:from>
    <xdr:to>
      <xdr:col>11</xdr:col>
      <xdr:colOff>322427</xdr:colOff>
      <xdr:row>78</xdr:row>
      <xdr:rowOff>130597</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542925" y="8947784"/>
          <a:ext cx="6494627" cy="5481743"/>
        </a:xfrm>
        <a:prstGeom prst="rect">
          <a:avLst/>
        </a:prstGeom>
      </xdr:spPr>
    </xdr:pic>
    <xdr:clientData/>
  </xdr:twoCellAnchor>
  <xdr:twoCellAnchor editAs="oneCell">
    <xdr:from>
      <xdr:col>55</xdr:col>
      <xdr:colOff>609599</xdr:colOff>
      <xdr:row>2</xdr:row>
      <xdr:rowOff>0</xdr:rowOff>
    </xdr:from>
    <xdr:to>
      <xdr:col>69</xdr:col>
      <xdr:colOff>438149</xdr:colOff>
      <xdr:row>35</xdr:row>
      <xdr:rowOff>57935</xdr:rowOff>
    </xdr:to>
    <xdr:pic>
      <xdr:nvPicPr>
        <xdr:cNvPr id="5" name="Picture 4">
          <a:extLst>
            <a:ext uri="{FF2B5EF4-FFF2-40B4-BE49-F238E27FC236}">
              <a16:creationId xmlns:a16="http://schemas.microsoft.com/office/drawing/2014/main" id="{17B9F7A7-6157-48A5-ADBD-DE07C3EAA9A2}"/>
            </a:ext>
          </a:extLst>
        </xdr:cNvPr>
        <xdr:cNvPicPr>
          <a:picLocks noChangeAspect="1"/>
        </xdr:cNvPicPr>
      </xdr:nvPicPr>
      <xdr:blipFill>
        <a:blip xmlns:r="http://schemas.openxmlformats.org/officeDocument/2006/relationships" r:embed="rId4"/>
        <a:stretch>
          <a:fillRect/>
        </a:stretch>
      </xdr:blipFill>
      <xdr:spPr>
        <a:xfrm>
          <a:off x="30651449" y="400050"/>
          <a:ext cx="8277225" cy="6399680"/>
        </a:xfrm>
        <a:prstGeom prst="rect">
          <a:avLst/>
        </a:prstGeom>
      </xdr:spPr>
    </xdr:pic>
    <xdr:clientData/>
  </xdr:twoCellAnchor>
  <xdr:twoCellAnchor editAs="oneCell">
    <xdr:from>
      <xdr:col>6</xdr:col>
      <xdr:colOff>582931</xdr:colOff>
      <xdr:row>8</xdr:row>
      <xdr:rowOff>99060</xdr:rowOff>
    </xdr:from>
    <xdr:to>
      <xdr:col>12</xdr:col>
      <xdr:colOff>402351</xdr:colOff>
      <xdr:row>24</xdr:row>
      <xdr:rowOff>94437</xdr:rowOff>
    </xdr:to>
    <xdr:pic>
      <xdr:nvPicPr>
        <xdr:cNvPr id="13" name="Picture 12">
          <a:extLst>
            <a:ext uri="{FF2B5EF4-FFF2-40B4-BE49-F238E27FC236}">
              <a16:creationId xmlns:a16="http://schemas.microsoft.com/office/drawing/2014/main" id="{4AA45854-4ED2-4902-BD61-238659ACB7EF}"/>
            </a:ext>
          </a:extLst>
        </xdr:cNvPr>
        <xdr:cNvPicPr>
          <a:picLocks noChangeAspect="1"/>
        </xdr:cNvPicPr>
      </xdr:nvPicPr>
      <xdr:blipFill>
        <a:blip xmlns:r="http://schemas.openxmlformats.org/officeDocument/2006/relationships" r:embed="rId5"/>
        <a:stretch>
          <a:fillRect/>
        </a:stretch>
      </xdr:blipFill>
      <xdr:spPr>
        <a:xfrm>
          <a:off x="4240531" y="1676400"/>
          <a:ext cx="3477020" cy="2932887"/>
        </a:xfrm>
        <a:prstGeom prst="rect">
          <a:avLst/>
        </a:prstGeom>
      </xdr:spPr>
    </xdr:pic>
    <xdr:clientData/>
  </xdr:twoCellAnchor>
  <xdr:twoCellAnchor editAs="oneCell">
    <xdr:from>
      <xdr:col>4</xdr:col>
      <xdr:colOff>34290</xdr:colOff>
      <xdr:row>22</xdr:row>
      <xdr:rowOff>53340</xdr:rowOff>
    </xdr:from>
    <xdr:to>
      <xdr:col>10</xdr:col>
      <xdr:colOff>590653</xdr:colOff>
      <xdr:row>38</xdr:row>
      <xdr:rowOff>39346</xdr:rowOff>
    </xdr:to>
    <xdr:pic>
      <xdr:nvPicPr>
        <xdr:cNvPr id="14" name="Picture 13">
          <a:extLst>
            <a:ext uri="{FF2B5EF4-FFF2-40B4-BE49-F238E27FC236}">
              <a16:creationId xmlns:a16="http://schemas.microsoft.com/office/drawing/2014/main" id="{6233AF27-5A18-4886-86B9-567B096AC37B}"/>
            </a:ext>
          </a:extLst>
        </xdr:cNvPr>
        <xdr:cNvPicPr>
          <a:picLocks noChangeAspect="1"/>
        </xdr:cNvPicPr>
      </xdr:nvPicPr>
      <xdr:blipFill>
        <a:blip xmlns:r="http://schemas.openxmlformats.org/officeDocument/2006/relationships" r:embed="rId6"/>
        <a:stretch>
          <a:fillRect/>
        </a:stretch>
      </xdr:blipFill>
      <xdr:spPr>
        <a:xfrm>
          <a:off x="2472690" y="4168140"/>
          <a:ext cx="4210153" cy="2881606"/>
        </a:xfrm>
        <a:prstGeom prst="rect">
          <a:avLst/>
        </a:prstGeom>
      </xdr:spPr>
    </xdr:pic>
    <xdr:clientData/>
  </xdr:twoCellAnchor>
  <xdr:twoCellAnchor editAs="oneCell">
    <xdr:from>
      <xdr:col>0</xdr:col>
      <xdr:colOff>198121</xdr:colOff>
      <xdr:row>41</xdr:row>
      <xdr:rowOff>20955</xdr:rowOff>
    </xdr:from>
    <xdr:to>
      <xdr:col>13</xdr:col>
      <xdr:colOff>91441</xdr:colOff>
      <xdr:row>52</xdr:row>
      <xdr:rowOff>79588</xdr:rowOff>
    </xdr:to>
    <xdr:pic>
      <xdr:nvPicPr>
        <xdr:cNvPr id="16" name="Picture 15">
          <a:extLst>
            <a:ext uri="{FF2B5EF4-FFF2-40B4-BE49-F238E27FC236}">
              <a16:creationId xmlns:a16="http://schemas.microsoft.com/office/drawing/2014/main" id="{D564A6EE-A0B9-44BA-AE73-2F2E3763D194}"/>
            </a:ext>
          </a:extLst>
        </xdr:cNvPr>
        <xdr:cNvPicPr>
          <a:picLocks noChangeAspect="1"/>
        </xdr:cNvPicPr>
      </xdr:nvPicPr>
      <xdr:blipFill>
        <a:blip xmlns:r="http://schemas.openxmlformats.org/officeDocument/2006/relationships" r:embed="rId7"/>
        <a:stretch>
          <a:fillRect/>
        </a:stretch>
      </xdr:blipFill>
      <xdr:spPr>
        <a:xfrm>
          <a:off x="198121" y="7574280"/>
          <a:ext cx="7821930" cy="2049358"/>
        </a:xfrm>
        <a:prstGeom prst="rect">
          <a:avLst/>
        </a:prstGeom>
      </xdr:spPr>
    </xdr:pic>
    <xdr:clientData/>
  </xdr:twoCellAnchor>
  <xdr:twoCellAnchor editAs="oneCell">
    <xdr:from>
      <xdr:col>0</xdr:col>
      <xdr:colOff>373380</xdr:colOff>
      <xdr:row>79</xdr:row>
      <xdr:rowOff>105377</xdr:rowOff>
    </xdr:from>
    <xdr:to>
      <xdr:col>10</xdr:col>
      <xdr:colOff>281940</xdr:colOff>
      <xdr:row>95</xdr:row>
      <xdr:rowOff>22406</xdr:rowOff>
    </xdr:to>
    <xdr:pic>
      <xdr:nvPicPr>
        <xdr:cNvPr id="18" name="Picture 17">
          <a:extLst>
            <a:ext uri="{FF2B5EF4-FFF2-40B4-BE49-F238E27FC236}">
              <a16:creationId xmlns:a16="http://schemas.microsoft.com/office/drawing/2014/main" id="{D5D4C5AE-876B-48C0-A80C-B2964F2AA128}"/>
            </a:ext>
          </a:extLst>
        </xdr:cNvPr>
        <xdr:cNvPicPr>
          <a:picLocks noChangeAspect="1"/>
        </xdr:cNvPicPr>
      </xdr:nvPicPr>
      <xdr:blipFill>
        <a:blip xmlns:r="http://schemas.openxmlformats.org/officeDocument/2006/relationships" r:embed="rId8"/>
        <a:stretch>
          <a:fillRect/>
        </a:stretch>
      </xdr:blipFill>
      <xdr:spPr>
        <a:xfrm>
          <a:off x="373380" y="14592902"/>
          <a:ext cx="5998845" cy="2812629"/>
        </a:xfrm>
        <a:prstGeom prst="rect">
          <a:avLst/>
        </a:prstGeom>
      </xdr:spPr>
    </xdr:pic>
    <xdr:clientData/>
  </xdr:twoCellAnchor>
  <xdr:twoCellAnchor editAs="oneCell">
    <xdr:from>
      <xdr:col>14</xdr:col>
      <xdr:colOff>314325</xdr:colOff>
      <xdr:row>110</xdr:row>
      <xdr:rowOff>9525</xdr:rowOff>
    </xdr:from>
    <xdr:to>
      <xdr:col>28</xdr:col>
      <xdr:colOff>289507</xdr:colOff>
      <xdr:row>147</xdr:row>
      <xdr:rowOff>77761</xdr:rowOff>
    </xdr:to>
    <xdr:pic>
      <xdr:nvPicPr>
        <xdr:cNvPr id="19" name="Picture 18">
          <a:extLst>
            <a:ext uri="{FF2B5EF4-FFF2-40B4-BE49-F238E27FC236}">
              <a16:creationId xmlns:a16="http://schemas.microsoft.com/office/drawing/2014/main" id="{548113AA-12BD-4E6E-9627-CAFF9BD5B12A}"/>
            </a:ext>
          </a:extLst>
        </xdr:cNvPr>
        <xdr:cNvPicPr>
          <a:picLocks noChangeAspect="1"/>
        </xdr:cNvPicPr>
      </xdr:nvPicPr>
      <xdr:blipFill>
        <a:blip xmlns:r="http://schemas.openxmlformats.org/officeDocument/2006/relationships" r:embed="rId9"/>
        <a:stretch>
          <a:fillRect/>
        </a:stretch>
      </xdr:blipFill>
      <xdr:spPr>
        <a:xfrm>
          <a:off x="8848725" y="21097875"/>
          <a:ext cx="8703892" cy="7116736"/>
        </a:xfrm>
        <a:prstGeom prst="rect">
          <a:avLst/>
        </a:prstGeom>
      </xdr:spPr>
    </xdr:pic>
    <xdr:clientData/>
  </xdr:twoCellAnchor>
  <xdr:twoCellAnchor editAs="oneCell">
    <xdr:from>
      <xdr:col>14</xdr:col>
      <xdr:colOff>238125</xdr:colOff>
      <xdr:row>148</xdr:row>
      <xdr:rowOff>161925</xdr:rowOff>
    </xdr:from>
    <xdr:to>
      <xdr:col>28</xdr:col>
      <xdr:colOff>453653</xdr:colOff>
      <xdr:row>185</xdr:row>
      <xdr:rowOff>131114</xdr:rowOff>
    </xdr:to>
    <xdr:pic>
      <xdr:nvPicPr>
        <xdr:cNvPr id="20" name="Picture 19">
          <a:extLst>
            <a:ext uri="{FF2B5EF4-FFF2-40B4-BE49-F238E27FC236}">
              <a16:creationId xmlns:a16="http://schemas.microsoft.com/office/drawing/2014/main" id="{C550D84D-5C63-41A1-BB99-0587F3956B1B}"/>
            </a:ext>
          </a:extLst>
        </xdr:cNvPr>
        <xdr:cNvPicPr>
          <a:picLocks noChangeAspect="1"/>
        </xdr:cNvPicPr>
      </xdr:nvPicPr>
      <xdr:blipFill>
        <a:blip xmlns:r="http://schemas.openxmlformats.org/officeDocument/2006/relationships" r:embed="rId10"/>
        <a:stretch>
          <a:fillRect/>
        </a:stretch>
      </xdr:blipFill>
      <xdr:spPr>
        <a:xfrm>
          <a:off x="8772525" y="28489275"/>
          <a:ext cx="8938523" cy="701197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70"/>
  <sheetViews>
    <sheetView tabSelected="1" zoomScale="80" zoomScaleNormal="80" workbookViewId="0">
      <selection activeCell="AH13" sqref="AH13"/>
    </sheetView>
  </sheetViews>
  <sheetFormatPr defaultRowHeight="14.4" x14ac:dyDescent="0.3"/>
  <cols>
    <col min="1" max="1" width="1.88671875" customWidth="1"/>
    <col min="2" max="16" width="8.77734375" customWidth="1"/>
    <col min="17" max="17" width="1.109375" customWidth="1"/>
    <col min="18" max="18" width="2.44140625" style="1" customWidth="1"/>
    <col min="19" max="19" width="6.44140625" customWidth="1"/>
    <col min="20" max="20" width="20.77734375" customWidth="1"/>
    <col min="21" max="21" width="12.6640625" customWidth="1"/>
    <col min="22" max="22" width="11.33203125" customWidth="1"/>
    <col min="23" max="23" width="9.6640625" customWidth="1"/>
    <col min="24" max="24" width="10.21875" customWidth="1"/>
    <col min="25" max="25" width="9.88671875" customWidth="1"/>
    <col min="26" max="26" width="9.5546875" style="1" customWidth="1"/>
    <col min="27" max="27" width="2.6640625" style="1" customWidth="1"/>
    <col min="28" max="28" width="8.88671875" style="163"/>
  </cols>
  <sheetData>
    <row r="1" spans="1:28" s="31" customFormat="1" ht="18" x14ac:dyDescent="0.35">
      <c r="A1" s="191"/>
      <c r="B1" s="191" t="s">
        <v>40</v>
      </c>
      <c r="C1" s="191"/>
      <c r="D1" s="191"/>
      <c r="E1" s="191" t="s">
        <v>0</v>
      </c>
      <c r="F1" s="191"/>
      <c r="G1" s="191"/>
      <c r="H1" s="191"/>
      <c r="I1" s="191"/>
      <c r="J1" s="191"/>
      <c r="K1" s="191"/>
      <c r="L1" s="191"/>
      <c r="M1" s="191"/>
      <c r="N1" s="191"/>
      <c r="O1" s="191"/>
      <c r="P1" s="191"/>
      <c r="Q1" s="191"/>
      <c r="R1" s="108"/>
      <c r="Z1" s="114"/>
      <c r="AA1" s="114"/>
      <c r="AB1" s="163"/>
    </row>
    <row r="2" spans="1:28" ht="9" customHeight="1" x14ac:dyDescent="0.3">
      <c r="A2" s="1"/>
      <c r="B2" s="1"/>
      <c r="C2" s="1"/>
      <c r="D2" s="1"/>
      <c r="E2" s="1"/>
      <c r="F2" s="1"/>
      <c r="G2" s="1"/>
      <c r="H2" s="1"/>
      <c r="I2" s="1"/>
      <c r="J2" s="1"/>
      <c r="K2" s="1"/>
      <c r="L2" s="1"/>
      <c r="M2" s="1"/>
      <c r="N2" s="1"/>
      <c r="O2" s="1"/>
      <c r="P2" s="1"/>
      <c r="Q2" s="1"/>
      <c r="S2" s="1"/>
      <c r="T2" s="1"/>
      <c r="U2" s="1"/>
      <c r="V2" s="1"/>
      <c r="W2" s="1"/>
      <c r="X2" s="1"/>
      <c r="Y2" s="1"/>
    </row>
    <row r="3" spans="1:28" x14ac:dyDescent="0.3">
      <c r="A3" s="1"/>
      <c r="B3" s="1"/>
      <c r="C3" s="1"/>
      <c r="D3" s="1"/>
      <c r="E3" s="1"/>
      <c r="F3" s="1"/>
      <c r="G3" s="1"/>
      <c r="H3" s="1"/>
      <c r="I3" s="1"/>
      <c r="J3" s="1"/>
      <c r="K3" s="1"/>
      <c r="L3" s="1"/>
      <c r="M3" s="1"/>
      <c r="N3" s="1"/>
      <c r="O3" s="1"/>
      <c r="P3" s="1"/>
      <c r="Q3" s="1"/>
      <c r="S3" s="192" t="s">
        <v>47</v>
      </c>
      <c r="T3" s="193"/>
      <c r="U3" s="194" t="s">
        <v>5</v>
      </c>
      <c r="V3" s="195"/>
      <c r="W3" s="194" t="s">
        <v>6</v>
      </c>
      <c r="X3" s="196"/>
      <c r="Y3" s="197"/>
    </row>
    <row r="4" spans="1:28" x14ac:dyDescent="0.3">
      <c r="A4" s="1"/>
      <c r="B4" s="1"/>
      <c r="C4" s="1"/>
      <c r="D4" s="1"/>
      <c r="E4" s="1"/>
      <c r="F4" s="1"/>
      <c r="G4" s="1"/>
      <c r="H4" s="1"/>
      <c r="I4" s="1"/>
      <c r="J4" s="1"/>
      <c r="K4" s="1"/>
      <c r="L4" s="1"/>
      <c r="M4" s="1"/>
      <c r="N4" s="1"/>
      <c r="O4" s="1"/>
      <c r="P4" s="1"/>
      <c r="Q4" s="1"/>
      <c r="S4" s="201" t="s">
        <v>9</v>
      </c>
      <c r="T4" s="202" t="s">
        <v>10</v>
      </c>
      <c r="U4" s="198" t="s">
        <v>325</v>
      </c>
      <c r="V4" s="199" t="s">
        <v>11</v>
      </c>
      <c r="W4" s="198" t="s">
        <v>12</v>
      </c>
      <c r="X4" s="200" t="s">
        <v>13</v>
      </c>
      <c r="Y4" s="199" t="s">
        <v>14</v>
      </c>
      <c r="AB4" s="209"/>
    </row>
    <row r="5" spans="1:28" x14ac:dyDescent="0.3">
      <c r="A5" s="1"/>
      <c r="B5" s="1"/>
      <c r="C5" s="1"/>
      <c r="D5" s="1"/>
      <c r="E5" s="1"/>
      <c r="F5" s="1"/>
      <c r="G5" s="1"/>
      <c r="H5" s="1"/>
      <c r="I5" s="1"/>
      <c r="J5" s="1"/>
      <c r="K5" s="1"/>
      <c r="L5" s="1"/>
      <c r="M5" s="1"/>
      <c r="N5" s="1"/>
      <c r="O5" s="1"/>
      <c r="P5" s="1"/>
      <c r="Q5" s="1"/>
      <c r="S5" s="230" t="s">
        <v>41</v>
      </c>
      <c r="T5" t="s">
        <v>29</v>
      </c>
      <c r="U5" s="74">
        <f>ROUND(Spawners!DV42,0)</f>
        <v>1231</v>
      </c>
      <c r="V5" s="17">
        <f>ROUND(Spawners!C10,-2)</f>
        <v>77000</v>
      </c>
      <c r="W5" s="75">
        <f>ROUND(Spawners!F10,-1)</f>
        <v>3230</v>
      </c>
      <c r="X5" s="33">
        <f>(W5+Y5)/2</f>
        <v>11350</v>
      </c>
      <c r="Y5" s="76">
        <f>Spawners!H10</f>
        <v>19470</v>
      </c>
    </row>
    <row r="6" spans="1:28" x14ac:dyDescent="0.3">
      <c r="A6" s="1"/>
      <c r="B6" s="1"/>
      <c r="C6" s="1"/>
      <c r="D6" s="1"/>
      <c r="E6" s="1"/>
      <c r="F6" s="1"/>
      <c r="G6" s="1"/>
      <c r="H6" s="1"/>
      <c r="I6" s="1"/>
      <c r="J6" s="1"/>
      <c r="K6" s="1"/>
      <c r="L6" s="1"/>
      <c r="M6" s="1"/>
      <c r="N6" s="1"/>
      <c r="O6" s="1"/>
      <c r="P6" s="1"/>
      <c r="Q6" s="1"/>
      <c r="S6" s="231"/>
      <c r="T6" t="s">
        <v>30</v>
      </c>
      <c r="U6" s="77">
        <f>ROUND(Spawners!DW42,0)</f>
        <v>690</v>
      </c>
      <c r="V6" s="19">
        <f>ROUND(Spawners!C11,-2)</f>
        <v>75200</v>
      </c>
      <c r="W6" s="33">
        <f>ROUND(Spawners!F11,-1)</f>
        <v>8630</v>
      </c>
      <c r="X6" s="33">
        <f>(W6+Y6)/2</f>
        <v>9320</v>
      </c>
      <c r="Y6" s="78">
        <f>ROUND(Spawners!H11,-1)</f>
        <v>10010</v>
      </c>
    </row>
    <row r="7" spans="1:28" x14ac:dyDescent="0.3">
      <c r="A7" s="1"/>
      <c r="B7" s="1"/>
      <c r="C7" s="1"/>
      <c r="D7" s="1"/>
      <c r="E7" s="1"/>
      <c r="F7" s="1"/>
      <c r="G7" s="1"/>
      <c r="H7" s="1"/>
      <c r="I7" s="1"/>
      <c r="J7" s="1"/>
      <c r="K7" s="1"/>
      <c r="L7" s="1"/>
      <c r="M7" s="1"/>
      <c r="N7" s="1"/>
      <c r="O7" s="1"/>
      <c r="P7" s="1"/>
      <c r="Q7" s="1"/>
      <c r="S7" s="231"/>
      <c r="T7" t="s">
        <v>31</v>
      </c>
      <c r="U7" s="77">
        <f>ROUND(Spawners!DX42,0)</f>
        <v>718</v>
      </c>
      <c r="V7" s="19">
        <f>ROUND(Spawners!C12,-2)</f>
        <v>50200</v>
      </c>
      <c r="W7" s="33">
        <f>ROUND(Spawners!F12,-1)</f>
        <v>3910</v>
      </c>
      <c r="X7" s="33">
        <f>(W7+Y7)/2</f>
        <v>4640</v>
      </c>
      <c r="Y7" s="78">
        <f>ROUND(Spawners!H12,-1)</f>
        <v>5370</v>
      </c>
    </row>
    <row r="8" spans="1:28" x14ac:dyDescent="0.3">
      <c r="A8" s="1"/>
      <c r="B8" s="1"/>
      <c r="C8" s="1"/>
      <c r="D8" s="1"/>
      <c r="E8" s="1"/>
      <c r="F8" s="1"/>
      <c r="G8" s="1"/>
      <c r="H8" s="1"/>
      <c r="I8" s="1"/>
      <c r="J8" s="1"/>
      <c r="K8" s="1"/>
      <c r="L8" s="1"/>
      <c r="M8" s="1"/>
      <c r="N8" s="1"/>
      <c r="O8" s="1"/>
      <c r="P8" s="1"/>
      <c r="Q8" s="1"/>
      <c r="S8" s="232"/>
      <c r="T8" t="s">
        <v>32</v>
      </c>
      <c r="U8" s="77">
        <f>ROUND(Spawners!DY42,0)</f>
        <v>177</v>
      </c>
      <c r="V8" s="19">
        <f>ROUND(Spawners!C13,-2)</f>
        <v>17600</v>
      </c>
      <c r="W8" s="33">
        <f>ROUND(Spawners!F13,-1)</f>
        <v>520</v>
      </c>
      <c r="X8" s="33">
        <f>(W8+Y8)/2</f>
        <v>2495</v>
      </c>
      <c r="Y8" s="78">
        <f>ROUND(Spawners!H13,-1)</f>
        <v>4470</v>
      </c>
    </row>
    <row r="9" spans="1:28" x14ac:dyDescent="0.3">
      <c r="A9" s="1"/>
      <c r="B9" s="1"/>
      <c r="C9" s="1"/>
      <c r="D9" s="1"/>
      <c r="E9" s="1"/>
      <c r="F9" s="1"/>
      <c r="G9" s="1"/>
      <c r="H9" s="1"/>
      <c r="I9" s="1"/>
      <c r="J9" s="1"/>
      <c r="K9" s="1"/>
      <c r="L9" s="1"/>
      <c r="M9" s="1"/>
      <c r="N9" s="1"/>
      <c r="O9" s="1"/>
      <c r="P9" s="1"/>
      <c r="Q9" s="1"/>
      <c r="S9" s="212" t="s">
        <v>4</v>
      </c>
      <c r="T9" s="213"/>
      <c r="U9" s="214">
        <f>SUM(U5:U8)</f>
        <v>2816</v>
      </c>
      <c r="V9" s="215">
        <f>SUM(V5:V8)</f>
        <v>220000</v>
      </c>
      <c r="W9" s="216">
        <f t="shared" ref="W9:Y9" si="0">SUM(W5:W8)</f>
        <v>16290</v>
      </c>
      <c r="X9" s="217">
        <f t="shared" si="0"/>
        <v>27805</v>
      </c>
      <c r="Y9" s="218">
        <f t="shared" si="0"/>
        <v>39320</v>
      </c>
    </row>
    <row r="10" spans="1:28" x14ac:dyDescent="0.3">
      <c r="A10" s="1"/>
      <c r="B10" s="1"/>
      <c r="C10" s="1"/>
      <c r="D10" s="1"/>
      <c r="E10" s="1"/>
      <c r="F10" s="1"/>
      <c r="G10" s="1"/>
      <c r="H10" s="1"/>
      <c r="I10" s="1"/>
      <c r="J10" s="1"/>
      <c r="K10" s="1"/>
      <c r="L10" s="1"/>
      <c r="M10" s="1"/>
      <c r="N10" s="1"/>
      <c r="O10" s="1"/>
      <c r="P10" s="1"/>
      <c r="Q10" s="1"/>
      <c r="S10" s="38"/>
      <c r="T10" s="1"/>
      <c r="U10" s="228"/>
      <c r="V10" s="229"/>
      <c r="W10" s="39"/>
      <c r="X10" s="38"/>
      <c r="Y10" s="38"/>
      <c r="Z10" s="38"/>
    </row>
    <row r="11" spans="1:28" x14ac:dyDescent="0.3">
      <c r="A11" s="1"/>
      <c r="B11" s="1"/>
      <c r="C11" s="1"/>
      <c r="D11" s="1"/>
      <c r="E11" s="1"/>
      <c r="F11" s="1"/>
      <c r="G11" s="1"/>
      <c r="H11" s="1"/>
      <c r="I11" s="1"/>
      <c r="J11" s="1"/>
      <c r="K11" s="1"/>
      <c r="L11" s="1"/>
      <c r="M11" s="1"/>
      <c r="N11" s="1"/>
      <c r="O11" s="1"/>
      <c r="P11" s="1"/>
      <c r="Q11" s="1"/>
      <c r="S11" s="20" t="s">
        <v>21</v>
      </c>
      <c r="T11" s="21"/>
      <c r="U11" s="22" t="s">
        <v>22</v>
      </c>
      <c r="V11" s="23"/>
      <c r="W11" s="23"/>
      <c r="X11" s="54" t="s">
        <v>23</v>
      </c>
      <c r="Y11" s="24" t="s">
        <v>326</v>
      </c>
    </row>
    <row r="12" spans="1:28" x14ac:dyDescent="0.3">
      <c r="A12" s="1"/>
      <c r="B12" s="1"/>
      <c r="C12" s="1"/>
      <c r="D12" s="1"/>
      <c r="E12" s="1"/>
      <c r="F12" s="1"/>
      <c r="G12" s="1"/>
      <c r="H12" s="1"/>
      <c r="I12" s="1"/>
      <c r="J12" s="1"/>
      <c r="K12" s="1"/>
      <c r="L12" s="1"/>
      <c r="M12" s="1"/>
      <c r="N12" s="1"/>
      <c r="O12" s="1"/>
      <c r="P12" s="1"/>
      <c r="Q12" s="1"/>
      <c r="S12" s="26" t="s">
        <v>24</v>
      </c>
      <c r="T12" s="27"/>
      <c r="U12" s="55" t="s">
        <v>25</v>
      </c>
      <c r="V12" s="55" t="s">
        <v>26</v>
      </c>
      <c r="W12" s="55" t="s">
        <v>27</v>
      </c>
      <c r="X12" s="55" t="s">
        <v>16</v>
      </c>
      <c r="Y12" s="109" t="s">
        <v>28</v>
      </c>
    </row>
    <row r="13" spans="1:28" x14ac:dyDescent="0.3">
      <c r="A13" s="1"/>
      <c r="B13" s="1"/>
      <c r="C13" s="1"/>
      <c r="D13" s="1"/>
      <c r="E13" s="1"/>
      <c r="F13" s="1"/>
      <c r="G13" s="1"/>
      <c r="H13" s="1"/>
      <c r="I13" s="1"/>
      <c r="J13" s="1"/>
      <c r="K13" s="1"/>
      <c r="L13" s="1"/>
      <c r="M13" s="1"/>
      <c r="N13" s="1"/>
      <c r="O13" s="1"/>
      <c r="P13" s="1"/>
      <c r="Q13" s="1"/>
      <c r="S13" s="42" t="s">
        <v>420</v>
      </c>
      <c r="T13" s="12"/>
      <c r="U13" s="64">
        <v>0</v>
      </c>
      <c r="V13" s="65">
        <v>0</v>
      </c>
      <c r="W13" s="64">
        <v>0</v>
      </c>
      <c r="X13" s="64">
        <v>0</v>
      </c>
      <c r="Y13" s="66">
        <v>0</v>
      </c>
    </row>
    <row r="14" spans="1:28" x14ac:dyDescent="0.3">
      <c r="A14" s="1"/>
      <c r="B14" s="1"/>
      <c r="C14" s="1"/>
      <c r="D14" s="1"/>
      <c r="E14" s="1"/>
      <c r="F14" s="1"/>
      <c r="G14" s="1"/>
      <c r="H14" s="1"/>
      <c r="I14" s="1"/>
      <c r="J14" s="1"/>
      <c r="K14" s="1"/>
      <c r="L14" s="1"/>
      <c r="M14" s="1"/>
      <c r="N14" s="1"/>
      <c r="O14" s="1"/>
      <c r="P14" s="1"/>
      <c r="Q14" s="1"/>
      <c r="S14" s="28" t="s">
        <v>421</v>
      </c>
      <c r="T14" s="15"/>
      <c r="U14" s="15"/>
      <c r="V14" s="67">
        <f>ROUND(Hatchery!S4,-5)</f>
        <v>600000</v>
      </c>
      <c r="W14" s="15">
        <v>0</v>
      </c>
      <c r="X14" s="15"/>
      <c r="Y14" s="179">
        <f>ROUND(547500,-4)</f>
        <v>550000</v>
      </c>
    </row>
    <row r="15" spans="1:28" x14ac:dyDescent="0.3">
      <c r="A15" s="1"/>
      <c r="B15" s="1"/>
      <c r="C15" s="1"/>
      <c r="D15" s="1"/>
      <c r="E15" s="1"/>
      <c r="F15" s="1"/>
      <c r="G15" s="1"/>
      <c r="H15" s="1"/>
      <c r="I15" s="1"/>
      <c r="J15" s="1"/>
      <c r="K15" s="1"/>
      <c r="L15" s="1"/>
      <c r="M15" s="1"/>
      <c r="N15" s="1"/>
      <c r="O15" s="1"/>
      <c r="P15" s="1"/>
      <c r="Q15" s="1"/>
      <c r="S15" s="110" t="s">
        <v>4</v>
      </c>
      <c r="T15" s="111"/>
      <c r="U15" s="112">
        <f>U13+U14</f>
        <v>0</v>
      </c>
      <c r="V15" s="112">
        <f t="shared" ref="V15" si="1">V13+V14</f>
        <v>600000</v>
      </c>
      <c r="W15" s="112">
        <v>0</v>
      </c>
      <c r="X15" s="112">
        <v>0</v>
      </c>
      <c r="Y15" s="113">
        <f>SUM(Y13:Y14)</f>
        <v>550000</v>
      </c>
    </row>
    <row r="16" spans="1:28" x14ac:dyDescent="0.3">
      <c r="A16" s="1"/>
      <c r="B16" s="1"/>
      <c r="C16" s="1"/>
      <c r="D16" s="1"/>
      <c r="E16" s="1"/>
      <c r="F16" s="1"/>
      <c r="G16" s="1"/>
      <c r="H16" s="1"/>
      <c r="I16" s="1"/>
      <c r="J16" s="1"/>
      <c r="K16" s="1"/>
      <c r="L16" s="1"/>
      <c r="M16" s="1"/>
      <c r="N16" s="1"/>
      <c r="O16" s="1"/>
      <c r="P16" s="1"/>
      <c r="Q16" s="1"/>
      <c r="S16" s="1"/>
      <c r="T16" s="1"/>
      <c r="U16" s="1"/>
      <c r="V16" s="41"/>
      <c r="W16" s="38"/>
      <c r="X16" s="38"/>
      <c r="Y16" s="40"/>
      <c r="Z16" s="40"/>
    </row>
    <row r="17" spans="1:33" x14ac:dyDescent="0.3">
      <c r="A17" s="1"/>
      <c r="B17" s="1"/>
      <c r="C17" s="1"/>
      <c r="D17" s="1"/>
      <c r="E17" s="1"/>
      <c r="F17" s="1"/>
      <c r="G17" s="1"/>
      <c r="H17" s="1"/>
      <c r="I17" s="1"/>
      <c r="J17" s="1"/>
      <c r="K17" s="1"/>
      <c r="L17" s="1"/>
      <c r="M17" s="1"/>
      <c r="N17" s="1"/>
      <c r="O17" s="1"/>
      <c r="P17" s="1"/>
      <c r="Q17" s="1"/>
      <c r="S17" s="34" t="s">
        <v>7</v>
      </c>
      <c r="T17" s="116"/>
      <c r="U17" s="117" t="s">
        <v>48</v>
      </c>
      <c r="V17" s="44"/>
      <c r="W17" s="44"/>
      <c r="X17" s="118"/>
      <c r="Y17" s="44" t="s">
        <v>8</v>
      </c>
      <c r="Z17" s="45"/>
      <c r="AA17" s="40"/>
      <c r="AB17" s="210"/>
      <c r="AC17" s="1"/>
      <c r="AD17" s="1"/>
      <c r="AE17" s="1"/>
      <c r="AF17" s="1"/>
      <c r="AG17" s="1"/>
    </row>
    <row r="18" spans="1:33" x14ac:dyDescent="0.3">
      <c r="A18" s="1"/>
      <c r="B18" s="1"/>
      <c r="C18" s="1"/>
      <c r="D18" s="1"/>
      <c r="E18" s="1"/>
      <c r="F18" s="1"/>
      <c r="G18" s="1"/>
      <c r="H18" s="1"/>
      <c r="I18" s="1"/>
      <c r="J18" s="1"/>
      <c r="K18" s="1"/>
      <c r="L18" s="1"/>
      <c r="M18" s="1"/>
      <c r="N18" s="1"/>
      <c r="O18" s="1"/>
      <c r="P18" s="1"/>
      <c r="Q18" s="1"/>
      <c r="S18" s="3"/>
      <c r="T18" s="4" t="s">
        <v>15</v>
      </c>
      <c r="U18" s="119" t="s">
        <v>352</v>
      </c>
      <c r="V18" s="5" t="s">
        <v>353</v>
      </c>
      <c r="W18" s="5" t="s">
        <v>49</v>
      </c>
      <c r="X18" s="6" t="s">
        <v>328</v>
      </c>
      <c r="Y18" s="5" t="s">
        <v>325</v>
      </c>
      <c r="Z18" s="6" t="s">
        <v>328</v>
      </c>
      <c r="AA18" s="40"/>
      <c r="AB18" s="210"/>
      <c r="AC18" s="1"/>
      <c r="AD18" s="1"/>
      <c r="AE18" s="1"/>
      <c r="AF18" s="1"/>
      <c r="AG18" s="1"/>
    </row>
    <row r="19" spans="1:33" x14ac:dyDescent="0.3">
      <c r="A19" s="1"/>
      <c r="B19" s="1"/>
      <c r="C19" s="1"/>
      <c r="D19" s="1"/>
      <c r="E19" s="1"/>
      <c r="F19" s="1"/>
      <c r="G19" s="1"/>
      <c r="H19" s="1"/>
      <c r="I19" s="1"/>
      <c r="J19" s="1"/>
      <c r="K19" s="1"/>
      <c r="L19" s="1"/>
      <c r="M19" s="1"/>
      <c r="N19" s="1"/>
      <c r="O19" s="1"/>
      <c r="P19" s="1"/>
      <c r="Q19" s="1"/>
      <c r="S19" s="233" t="s">
        <v>407</v>
      </c>
      <c r="T19" s="35" t="s">
        <v>42</v>
      </c>
      <c r="U19" s="120">
        <v>0</v>
      </c>
      <c r="V19" s="13" t="s">
        <v>43</v>
      </c>
      <c r="W19" s="13" t="s">
        <v>43</v>
      </c>
      <c r="X19" s="14" t="s">
        <v>43</v>
      </c>
      <c r="Y19" s="13" t="s">
        <v>43</v>
      </c>
      <c r="Z19" s="14" t="s">
        <v>43</v>
      </c>
      <c r="AA19" s="40"/>
      <c r="AB19" s="210"/>
      <c r="AC19" s="1"/>
      <c r="AD19" s="1"/>
      <c r="AE19" s="1"/>
      <c r="AF19" s="1"/>
      <c r="AG19" s="1"/>
    </row>
    <row r="20" spans="1:33" x14ac:dyDescent="0.3">
      <c r="A20" s="1"/>
      <c r="B20" s="1"/>
      <c r="C20" s="1"/>
      <c r="D20" s="1"/>
      <c r="E20" s="1"/>
      <c r="F20" s="1"/>
      <c r="G20" s="1"/>
      <c r="H20" s="1"/>
      <c r="I20" s="1"/>
      <c r="J20" s="1"/>
      <c r="K20" s="1"/>
      <c r="L20" s="1"/>
      <c r="M20" s="1"/>
      <c r="N20" s="1"/>
      <c r="O20" s="1"/>
      <c r="P20" s="1"/>
      <c r="Q20" s="1"/>
      <c r="S20" s="234"/>
      <c r="T20" s="36" t="s">
        <v>17</v>
      </c>
      <c r="U20" s="121">
        <f>ROUND(V20,3)</f>
        <v>7.0000000000000001E-3</v>
      </c>
      <c r="V20" s="125">
        <f>ROUND(Run!DA22,3)</f>
        <v>7.0000000000000001E-3</v>
      </c>
      <c r="W20" s="236" t="s">
        <v>44</v>
      </c>
      <c r="X20" s="226" t="s">
        <v>327</v>
      </c>
      <c r="Y20" s="18">
        <f>ROUND(Run!CQ22,-1)</f>
        <v>50</v>
      </c>
      <c r="Z20" s="223">
        <f>X40</f>
        <v>28000</v>
      </c>
      <c r="AA20" s="40"/>
      <c r="AB20" s="210"/>
      <c r="AC20" s="1"/>
      <c r="AD20" s="1"/>
      <c r="AE20" s="1"/>
      <c r="AF20" s="1"/>
      <c r="AG20" s="1"/>
    </row>
    <row r="21" spans="1:33" x14ac:dyDescent="0.3">
      <c r="A21" s="1"/>
      <c r="B21" s="1"/>
      <c r="C21" s="1"/>
      <c r="D21" s="1" t="s">
        <v>66</v>
      </c>
      <c r="E21" s="38">
        <f>U9</f>
        <v>2816</v>
      </c>
      <c r="F21" s="1"/>
      <c r="G21" s="1"/>
      <c r="H21" s="1"/>
      <c r="I21" s="1"/>
      <c r="J21" s="1"/>
      <c r="K21" s="1"/>
      <c r="L21" s="1"/>
      <c r="M21" s="1"/>
      <c r="N21" s="1"/>
      <c r="O21" s="1"/>
      <c r="P21" s="1"/>
      <c r="Q21" s="1"/>
      <c r="S21" s="234"/>
      <c r="T21" s="36" t="s">
        <v>18</v>
      </c>
      <c r="U21" s="121">
        <f>ROUND(V21,3)</f>
        <v>7.0000000000000001E-3</v>
      </c>
      <c r="V21" s="126">
        <f>ROUND(Run!CZ22,3)</f>
        <v>7.0000000000000001E-3</v>
      </c>
      <c r="W21" s="236"/>
      <c r="X21" s="227"/>
      <c r="Y21" s="18">
        <f>ROUND(Run!CP22,-1)</f>
        <v>50</v>
      </c>
      <c r="Z21" s="224"/>
      <c r="AA21" s="40"/>
      <c r="AB21" s="210"/>
      <c r="AC21" s="1"/>
      <c r="AD21" s="1"/>
      <c r="AE21" s="1"/>
      <c r="AF21" s="1"/>
      <c r="AG21" s="1"/>
    </row>
    <row r="22" spans="1:33" x14ac:dyDescent="0.3">
      <c r="A22" s="1"/>
      <c r="B22" s="1"/>
      <c r="C22" s="1"/>
      <c r="D22" s="1" t="s">
        <v>323</v>
      </c>
      <c r="E22" s="38">
        <f>W9</f>
        <v>16290</v>
      </c>
      <c r="F22" s="1"/>
      <c r="G22" s="1"/>
      <c r="H22" s="1"/>
      <c r="I22" s="1"/>
      <c r="J22" s="1"/>
      <c r="K22" s="1"/>
      <c r="L22" s="1"/>
      <c r="M22" s="1"/>
      <c r="N22" s="1"/>
      <c r="O22" s="1"/>
      <c r="P22" s="1"/>
      <c r="Q22" s="1"/>
      <c r="S22" s="234"/>
      <c r="T22" s="36" t="s">
        <v>242</v>
      </c>
      <c r="U22" s="121">
        <f>ROUND(V22,3)</f>
        <v>3.0000000000000001E-3</v>
      </c>
      <c r="V22" s="126">
        <f>ROUND(Run!CY22,3)</f>
        <v>3.0000000000000001E-3</v>
      </c>
      <c r="W22" s="146"/>
      <c r="X22" s="227"/>
      <c r="Y22" s="18">
        <f>ROUND(Run!CO22,-1)</f>
        <v>20</v>
      </c>
      <c r="Z22" s="224"/>
      <c r="AA22" s="40"/>
      <c r="AB22" s="210"/>
      <c r="AC22" s="1"/>
      <c r="AD22" s="1"/>
      <c r="AE22" s="1"/>
      <c r="AF22" s="1"/>
      <c r="AG22" s="1"/>
    </row>
    <row r="23" spans="1:33" x14ac:dyDescent="0.3">
      <c r="A23" s="1"/>
      <c r="B23" s="1"/>
      <c r="C23" s="1"/>
      <c r="D23" s="1" t="s">
        <v>324</v>
      </c>
      <c r="E23" s="38">
        <f>X9</f>
        <v>27805</v>
      </c>
      <c r="F23" s="1"/>
      <c r="G23" s="1"/>
      <c r="H23" s="1"/>
      <c r="I23" s="1"/>
      <c r="J23" s="1"/>
      <c r="K23" s="1"/>
      <c r="L23" s="1"/>
      <c r="M23" s="1"/>
      <c r="N23" s="1"/>
      <c r="O23" s="1"/>
      <c r="P23" s="1"/>
      <c r="Q23" s="1"/>
      <c r="S23" s="234"/>
      <c r="T23" s="37" t="s">
        <v>243</v>
      </c>
      <c r="U23" s="121">
        <f>ROUND(V23,3)</f>
        <v>0.01</v>
      </c>
      <c r="V23" s="190">
        <f>ROUND(Run!CX22,3)</f>
        <v>0.01</v>
      </c>
      <c r="W23" s="178" t="s">
        <v>384</v>
      </c>
      <c r="X23" s="227"/>
      <c r="Y23" s="8">
        <f>ROUND(Run!CN22,-1)</f>
        <v>70</v>
      </c>
      <c r="Z23" s="225"/>
      <c r="AB23" s="210"/>
      <c r="AC23" s="1"/>
      <c r="AD23" s="1"/>
      <c r="AE23" s="1"/>
      <c r="AF23" s="1"/>
      <c r="AG23" s="1"/>
    </row>
    <row r="24" spans="1:33" x14ac:dyDescent="0.3">
      <c r="A24" s="1"/>
      <c r="B24" s="1"/>
      <c r="C24" s="1"/>
      <c r="D24" s="1" t="s">
        <v>50</v>
      </c>
      <c r="E24" s="38">
        <f>Y9</f>
        <v>39320</v>
      </c>
      <c r="F24" s="1"/>
      <c r="G24" s="1"/>
      <c r="H24" s="1"/>
      <c r="I24" s="1"/>
      <c r="J24" s="1"/>
      <c r="K24" s="1"/>
      <c r="L24" s="1"/>
      <c r="M24" s="1"/>
      <c r="N24" s="1"/>
      <c r="O24" s="1"/>
      <c r="P24" s="1"/>
      <c r="Q24" s="1"/>
      <c r="S24" s="235"/>
      <c r="T24" s="9" t="s">
        <v>1</v>
      </c>
      <c r="U24" s="122">
        <f>SUM(U19:U23)</f>
        <v>2.7000000000000003E-2</v>
      </c>
      <c r="V24" s="189">
        <f>SUM(V20:V23)</f>
        <v>2.7000000000000003E-2</v>
      </c>
      <c r="W24" s="10"/>
      <c r="X24" s="123" t="str">
        <f>X20</f>
        <v>10-40%</v>
      </c>
      <c r="Y24" s="11">
        <f>SUM(Y20:Y23)</f>
        <v>190</v>
      </c>
      <c r="Z24" s="208">
        <f>Z20</f>
        <v>28000</v>
      </c>
      <c r="AA24" s="38"/>
      <c r="AB24" s="210"/>
      <c r="AC24" s="1"/>
      <c r="AD24" s="1"/>
      <c r="AE24" s="1"/>
      <c r="AF24" s="1"/>
      <c r="AG24" s="1"/>
    </row>
    <row r="25" spans="1:33" x14ac:dyDescent="0.3">
      <c r="A25" s="1"/>
      <c r="B25" s="1"/>
      <c r="C25" s="1"/>
      <c r="D25" s="1" t="s">
        <v>11</v>
      </c>
      <c r="E25" s="38">
        <f>V9</f>
        <v>220000</v>
      </c>
      <c r="F25" s="1"/>
      <c r="G25" s="1"/>
      <c r="H25" s="1"/>
      <c r="I25" s="1"/>
      <c r="J25" s="1"/>
      <c r="K25" s="1"/>
      <c r="L25" s="1"/>
      <c r="M25" s="1"/>
      <c r="N25" s="1"/>
      <c r="O25" s="1"/>
      <c r="P25" s="1"/>
      <c r="Q25" s="1"/>
      <c r="S25" s="1"/>
      <c r="T25" s="1"/>
      <c r="U25" s="1"/>
      <c r="V25" s="1"/>
      <c r="W25" s="1"/>
      <c r="X25" s="1"/>
      <c r="Y25" s="1"/>
    </row>
    <row r="26" spans="1:33" x14ac:dyDescent="0.3">
      <c r="A26" s="1"/>
      <c r="B26" s="1"/>
      <c r="C26" s="1"/>
      <c r="D26" s="1"/>
      <c r="E26" s="1"/>
      <c r="F26" s="1"/>
      <c r="G26" s="1"/>
      <c r="H26" s="1"/>
      <c r="I26" s="1"/>
      <c r="J26" s="1"/>
      <c r="K26" s="1"/>
      <c r="L26" s="1"/>
      <c r="M26" s="1"/>
      <c r="N26" s="1"/>
      <c r="O26" s="1"/>
      <c r="P26" s="1"/>
      <c r="Q26" s="1"/>
      <c r="S26" s="180" t="s">
        <v>46</v>
      </c>
      <c r="T26" s="181"/>
      <c r="U26" s="182" t="s">
        <v>422</v>
      </c>
      <c r="V26" s="183"/>
      <c r="W26" s="183" t="s">
        <v>19</v>
      </c>
      <c r="X26" s="184"/>
      <c r="Y26" s="1"/>
    </row>
    <row r="27" spans="1:33" x14ac:dyDescent="0.3">
      <c r="A27" s="1"/>
      <c r="B27" s="1"/>
      <c r="C27" s="1"/>
      <c r="D27" s="1"/>
      <c r="E27" s="1"/>
      <c r="F27" s="1"/>
      <c r="G27" s="1"/>
      <c r="H27" s="1"/>
      <c r="I27" s="1"/>
      <c r="J27" s="1"/>
      <c r="K27" s="1"/>
      <c r="L27" s="1"/>
      <c r="M27" s="1"/>
      <c r="N27" s="1"/>
      <c r="O27" s="1"/>
      <c r="P27" s="1"/>
      <c r="Q27" s="1"/>
      <c r="S27" s="187"/>
      <c r="T27" s="188"/>
      <c r="U27" s="185" t="s">
        <v>423</v>
      </c>
      <c r="V27" s="68" t="s">
        <v>12</v>
      </c>
      <c r="W27" s="68" t="s">
        <v>13</v>
      </c>
      <c r="X27" s="186" t="s">
        <v>14</v>
      </c>
      <c r="Y27" s="1"/>
      <c r="AB27" s="163" t="s">
        <v>408</v>
      </c>
    </row>
    <row r="28" spans="1:33" x14ac:dyDescent="0.3">
      <c r="A28" s="1"/>
      <c r="B28" s="1"/>
      <c r="C28" s="1"/>
      <c r="D28" s="1"/>
      <c r="E28" s="1"/>
      <c r="F28" s="1"/>
      <c r="G28" s="1"/>
      <c r="H28" s="1"/>
      <c r="I28" s="1"/>
      <c r="J28" s="1"/>
      <c r="K28" s="1"/>
      <c r="L28" s="1"/>
      <c r="M28" s="1"/>
      <c r="N28" s="1"/>
      <c r="O28" s="1"/>
      <c r="P28" s="1"/>
      <c r="Q28" s="1"/>
      <c r="S28" s="16" t="s">
        <v>3</v>
      </c>
      <c r="T28" s="12"/>
      <c r="U28" s="127">
        <f>U29+U30</f>
        <v>6300</v>
      </c>
      <c r="V28" s="127">
        <f>V29+V30</f>
        <v>36000</v>
      </c>
      <c r="W28" s="127">
        <f>W29+W30</f>
        <v>70000</v>
      </c>
      <c r="X28" s="128">
        <f>X29+X30</f>
        <v>114000</v>
      </c>
      <c r="Y28" s="1"/>
    </row>
    <row r="29" spans="1:33" x14ac:dyDescent="0.3">
      <c r="A29" s="1"/>
      <c r="B29" s="1"/>
      <c r="C29" s="1"/>
      <c r="D29" s="1"/>
      <c r="E29" s="1"/>
      <c r="F29" s="1"/>
      <c r="G29" s="1"/>
      <c r="H29" s="1"/>
      <c r="I29" s="1"/>
      <c r="J29" s="1"/>
      <c r="K29" s="1"/>
      <c r="L29" s="1"/>
      <c r="M29" s="1"/>
      <c r="N29" s="1"/>
      <c r="O29" s="1"/>
      <c r="P29" s="1"/>
      <c r="Q29" s="1"/>
      <c r="S29" s="7"/>
      <c r="T29" t="s">
        <v>351</v>
      </c>
      <c r="U29" s="18">
        <f>ROUND(Run!CU22,-2)</f>
        <v>6300</v>
      </c>
      <c r="V29" s="18">
        <f>ROUND(Conv!H7,-3)</f>
        <v>36000</v>
      </c>
      <c r="W29" s="18">
        <f>ROUND(Conv!H8,-3)</f>
        <v>70000</v>
      </c>
      <c r="X29" s="19">
        <f>ROUND(Conv!H9,-3)</f>
        <v>114000</v>
      </c>
      <c r="Y29" s="1"/>
    </row>
    <row r="30" spans="1:33" x14ac:dyDescent="0.3">
      <c r="A30" s="1"/>
      <c r="B30" s="1"/>
      <c r="C30" s="1"/>
      <c r="D30" s="1"/>
      <c r="E30" s="1"/>
      <c r="F30" s="1"/>
      <c r="G30" s="1"/>
      <c r="H30" s="1"/>
      <c r="I30" s="1"/>
      <c r="J30" s="1"/>
      <c r="K30" s="1"/>
      <c r="L30" s="1"/>
      <c r="M30" s="1"/>
      <c r="N30" s="1"/>
      <c r="O30" s="1"/>
      <c r="P30" s="1"/>
      <c r="Q30" s="1"/>
      <c r="S30" s="7"/>
      <c r="T30" t="s">
        <v>2</v>
      </c>
      <c r="U30" s="18">
        <v>0</v>
      </c>
      <c r="V30" s="18">
        <v>0</v>
      </c>
      <c r="W30" s="18">
        <v>0</v>
      </c>
      <c r="X30" s="19">
        <v>0</v>
      </c>
      <c r="Y30" s="1"/>
    </row>
    <row r="31" spans="1:33" x14ac:dyDescent="0.3">
      <c r="A31" s="1"/>
      <c r="B31" s="1"/>
      <c r="C31" s="1"/>
      <c r="D31" s="1"/>
      <c r="E31" s="1"/>
      <c r="F31" s="1"/>
      <c r="G31" s="1"/>
      <c r="H31" s="1"/>
      <c r="I31" s="1"/>
      <c r="J31" s="1"/>
      <c r="K31" s="1"/>
      <c r="L31" s="1"/>
      <c r="M31" s="1"/>
      <c r="N31" s="1"/>
      <c r="O31" s="1"/>
      <c r="P31" s="1"/>
      <c r="Q31" s="1"/>
      <c r="S31" s="28"/>
      <c r="T31" s="15" t="s">
        <v>20</v>
      </c>
      <c r="U31" s="29">
        <f>U30/U28</f>
        <v>0</v>
      </c>
      <c r="V31" s="29">
        <f t="shared" ref="V31:X31" si="2">V30/V28</f>
        <v>0</v>
      </c>
      <c r="W31" s="29">
        <f t="shared" si="2"/>
        <v>0</v>
      </c>
      <c r="X31" s="30">
        <f t="shared" si="2"/>
        <v>0</v>
      </c>
      <c r="Y31" s="1"/>
    </row>
    <row r="32" spans="1:33" x14ac:dyDescent="0.3">
      <c r="A32" s="1"/>
      <c r="B32" s="1"/>
      <c r="C32" s="1"/>
      <c r="D32" s="1"/>
      <c r="E32" s="1"/>
      <c r="F32" s="1"/>
      <c r="G32" s="1"/>
      <c r="H32" s="1"/>
      <c r="I32" s="1"/>
      <c r="J32" s="1"/>
      <c r="K32" s="1"/>
      <c r="L32" s="1"/>
      <c r="M32" s="1"/>
      <c r="N32" s="1"/>
      <c r="O32" s="1"/>
      <c r="P32" s="1"/>
      <c r="Q32" s="1"/>
      <c r="S32" s="115" t="s">
        <v>45</v>
      </c>
      <c r="T32" s="12"/>
      <c r="U32" s="127">
        <f>U33+U34</f>
        <v>5500</v>
      </c>
      <c r="V32" s="127">
        <f>V33+V34</f>
        <v>32000</v>
      </c>
      <c r="W32" s="127">
        <f>W33+W34</f>
        <v>54000</v>
      </c>
      <c r="X32" s="128">
        <f>X33+X34</f>
        <v>76000</v>
      </c>
      <c r="Y32" s="1"/>
      <c r="AB32" s="163" t="s">
        <v>425</v>
      </c>
    </row>
    <row r="33" spans="1:25" x14ac:dyDescent="0.3">
      <c r="A33" s="1"/>
      <c r="B33" s="1"/>
      <c r="C33" s="1"/>
      <c r="D33" s="1"/>
      <c r="E33" s="1"/>
      <c r="F33" s="1"/>
      <c r="G33" s="1"/>
      <c r="H33" s="1"/>
      <c r="I33" s="1"/>
      <c r="J33" s="1"/>
      <c r="K33" s="1"/>
      <c r="L33" s="1"/>
      <c r="M33" s="1"/>
      <c r="N33" s="1"/>
      <c r="O33" s="1"/>
      <c r="P33" s="1"/>
      <c r="Q33" s="1"/>
      <c r="S33" s="7"/>
      <c r="T33" t="s">
        <v>351</v>
      </c>
      <c r="U33" s="18">
        <f>ROUND(Run!CI22,-2)</f>
        <v>5500</v>
      </c>
      <c r="V33" s="18">
        <f>ROUND(Conv!D7,-3)</f>
        <v>32000</v>
      </c>
      <c r="W33" s="18">
        <f>ROUND(Conv!D8,-3)</f>
        <v>54000</v>
      </c>
      <c r="X33" s="19">
        <f>ROUND(Conv!D9,-3)</f>
        <v>76000</v>
      </c>
      <c r="Y33" s="1"/>
    </row>
    <row r="34" spans="1:25" x14ac:dyDescent="0.3">
      <c r="A34" s="1"/>
      <c r="B34" s="1"/>
      <c r="C34" s="1"/>
      <c r="D34" s="1"/>
      <c r="E34" s="1"/>
      <c r="F34" s="1"/>
      <c r="G34" s="1"/>
      <c r="H34" s="1"/>
      <c r="I34" s="1"/>
      <c r="J34" s="1"/>
      <c r="K34" s="1"/>
      <c r="L34" s="1"/>
      <c r="M34" s="1"/>
      <c r="N34" s="1"/>
      <c r="O34" s="1"/>
      <c r="P34" s="1"/>
      <c r="Q34" s="1"/>
      <c r="S34" s="7"/>
      <c r="T34" t="s">
        <v>2</v>
      </c>
      <c r="U34" s="18">
        <v>0</v>
      </c>
      <c r="V34" s="18">
        <v>0</v>
      </c>
      <c r="W34" s="18">
        <v>0</v>
      </c>
      <c r="X34" s="19">
        <v>0</v>
      </c>
      <c r="Y34" s="1"/>
    </row>
    <row r="35" spans="1:25" x14ac:dyDescent="0.3">
      <c r="A35" s="1"/>
      <c r="B35" s="1"/>
      <c r="C35" s="1"/>
      <c r="D35" s="1"/>
      <c r="E35" s="1"/>
      <c r="F35" s="1"/>
      <c r="G35" s="1"/>
      <c r="H35" s="1"/>
      <c r="I35" s="1"/>
      <c r="J35" s="1"/>
      <c r="K35" s="1"/>
      <c r="L35" s="1"/>
      <c r="M35" s="1"/>
      <c r="N35" s="1"/>
      <c r="O35" s="1"/>
      <c r="P35" s="1"/>
      <c r="Q35" s="1"/>
      <c r="S35" s="28"/>
      <c r="T35" s="15" t="s">
        <v>20</v>
      </c>
      <c r="U35" s="29">
        <f>U34/U32</f>
        <v>0</v>
      </c>
      <c r="V35" s="29">
        <f t="shared" ref="V35" si="3">V34/V32</f>
        <v>0</v>
      </c>
      <c r="W35" s="29">
        <f t="shared" ref="W35" si="4">W34/W32</f>
        <v>0</v>
      </c>
      <c r="X35" s="30">
        <f t="shared" ref="X35" si="5">X34/X32</f>
        <v>0</v>
      </c>
      <c r="Y35" s="1"/>
    </row>
    <row r="36" spans="1:25" x14ac:dyDescent="0.3">
      <c r="A36" s="1"/>
      <c r="B36" s="1"/>
      <c r="C36" s="1"/>
      <c r="D36" s="1"/>
      <c r="E36" s="1"/>
      <c r="F36" s="1"/>
      <c r="G36" s="1"/>
      <c r="H36" s="1"/>
      <c r="I36" s="1"/>
      <c r="J36" s="1"/>
      <c r="K36" s="1"/>
      <c r="L36" s="1"/>
      <c r="M36" s="1"/>
      <c r="N36" s="1"/>
      <c r="O36" s="1"/>
      <c r="P36" s="1"/>
      <c r="Q36" s="1"/>
      <c r="S36" s="25" t="s">
        <v>385</v>
      </c>
      <c r="U36" s="129">
        <f>U37+U38</f>
        <v>200</v>
      </c>
      <c r="V36" s="127">
        <f>V37+V38</f>
        <v>1000</v>
      </c>
      <c r="W36" s="127">
        <f>W37+W38</f>
        <v>10000</v>
      </c>
      <c r="X36" s="128">
        <f>X37+X38</f>
        <v>28000</v>
      </c>
      <c r="Y36" s="1"/>
    </row>
    <row r="37" spans="1:25" x14ac:dyDescent="0.3">
      <c r="A37" s="1"/>
      <c r="B37" s="1"/>
      <c r="C37" s="1"/>
      <c r="D37" s="1"/>
      <c r="E37" s="1"/>
      <c r="F37" s="1"/>
      <c r="G37" s="1"/>
      <c r="H37" s="1"/>
      <c r="I37" s="1"/>
      <c r="J37" s="1"/>
      <c r="K37" s="1"/>
      <c r="L37" s="1"/>
      <c r="M37" s="1"/>
      <c r="N37" s="1"/>
      <c r="O37" s="1"/>
      <c r="P37" s="1"/>
      <c r="Q37" s="1"/>
      <c r="S37" s="7"/>
      <c r="T37" t="s">
        <v>351</v>
      </c>
      <c r="U37" s="18">
        <f>ROUND(Run!CR22,-2)</f>
        <v>200</v>
      </c>
      <c r="V37" s="18">
        <f>ROUND(Conv!F7,-3)</f>
        <v>1000</v>
      </c>
      <c r="W37" s="18">
        <f>ROUND(Conv!F8,-3)</f>
        <v>10000</v>
      </c>
      <c r="X37" s="19">
        <f>ROUND(Conv!F9,-3)</f>
        <v>28000</v>
      </c>
      <c r="Y37" s="1"/>
    </row>
    <row r="38" spans="1:25" x14ac:dyDescent="0.3">
      <c r="A38" s="1"/>
      <c r="B38" s="1"/>
      <c r="C38" s="1"/>
      <c r="D38" s="1"/>
      <c r="E38" s="1"/>
      <c r="F38" s="1"/>
      <c r="G38" s="1"/>
      <c r="H38" s="1"/>
      <c r="I38" s="1"/>
      <c r="J38" s="1"/>
      <c r="K38" s="1"/>
      <c r="L38" s="1"/>
      <c r="M38" s="1"/>
      <c r="N38" s="1"/>
      <c r="O38" s="1"/>
      <c r="P38" s="1"/>
      <c r="Q38" s="1"/>
      <c r="R38" s="2"/>
      <c r="S38" s="7"/>
      <c r="T38" t="s">
        <v>2</v>
      </c>
      <c r="U38" s="18">
        <v>0</v>
      </c>
      <c r="V38" s="18">
        <v>0</v>
      </c>
      <c r="W38" s="18">
        <v>0</v>
      </c>
      <c r="X38" s="19">
        <v>0</v>
      </c>
      <c r="Y38" s="1"/>
    </row>
    <row r="39" spans="1:25" x14ac:dyDescent="0.3">
      <c r="A39" s="1"/>
      <c r="B39" s="1"/>
      <c r="C39" s="1"/>
      <c r="D39" s="1"/>
      <c r="E39" s="1"/>
      <c r="F39" s="1"/>
      <c r="G39" s="1"/>
      <c r="H39" s="1"/>
      <c r="I39" s="1"/>
      <c r="J39" s="1"/>
      <c r="K39" s="1"/>
      <c r="L39" s="1"/>
      <c r="M39" s="1"/>
      <c r="N39" s="1"/>
      <c r="O39" s="1"/>
      <c r="P39" s="1"/>
      <c r="Q39" s="1"/>
      <c r="S39" s="28"/>
      <c r="T39" s="15" t="s">
        <v>20</v>
      </c>
      <c r="U39" s="29">
        <f>U38/U36</f>
        <v>0</v>
      </c>
      <c r="V39" s="29">
        <f t="shared" ref="V39" si="6">V38/V36</f>
        <v>0</v>
      </c>
      <c r="W39" s="29">
        <f t="shared" ref="W39" si="7">W38/W36</f>
        <v>0</v>
      </c>
      <c r="X39" s="30">
        <f t="shared" ref="X39" si="8">X38/X36</f>
        <v>0</v>
      </c>
      <c r="Y39" s="1"/>
    </row>
    <row r="40" spans="1:25" x14ac:dyDescent="0.3">
      <c r="A40" s="1"/>
      <c r="P40" s="1"/>
      <c r="Q40" s="1"/>
      <c r="S40" s="25" t="s">
        <v>386</v>
      </c>
      <c r="U40" s="129">
        <f>U41+U42</f>
        <v>200</v>
      </c>
      <c r="V40" s="127">
        <f>V41+V42</f>
        <v>1000</v>
      </c>
      <c r="W40" s="127">
        <f>W41+W42</f>
        <v>10000</v>
      </c>
      <c r="X40" s="128">
        <f>X41+X42</f>
        <v>28000</v>
      </c>
      <c r="Y40" s="1"/>
    </row>
    <row r="41" spans="1:25" x14ac:dyDescent="0.3">
      <c r="A41" s="1"/>
      <c r="P41" s="1"/>
      <c r="Q41" s="1"/>
      <c r="S41" s="7"/>
      <c r="T41" t="s">
        <v>351</v>
      </c>
      <c r="U41" s="18">
        <f>ROUND(Run!CR22,-2)</f>
        <v>200</v>
      </c>
      <c r="V41" s="18">
        <f>ROUND(Conv!M7,-3)</f>
        <v>1000</v>
      </c>
      <c r="W41" s="18">
        <f>ROUND(Conv!M8,-3)</f>
        <v>10000</v>
      </c>
      <c r="X41" s="19">
        <f>ROUND(Conv!M9,-3)</f>
        <v>28000</v>
      </c>
      <c r="Y41" s="1"/>
    </row>
    <row r="42" spans="1:25" ht="15" customHeight="1" x14ac:dyDescent="0.3">
      <c r="A42" s="1"/>
      <c r="P42" s="1"/>
      <c r="Q42" s="1"/>
      <c r="S42" s="7"/>
      <c r="T42" t="s">
        <v>2</v>
      </c>
      <c r="U42" s="18">
        <v>0</v>
      </c>
      <c r="V42" s="18">
        <v>0</v>
      </c>
      <c r="W42" s="18">
        <v>0</v>
      </c>
      <c r="X42" s="19">
        <v>0</v>
      </c>
      <c r="Y42" s="1"/>
    </row>
    <row r="43" spans="1:25" x14ac:dyDescent="0.3">
      <c r="A43" s="1"/>
      <c r="P43" s="1"/>
      <c r="Q43" s="1"/>
      <c r="S43" s="28"/>
      <c r="T43" s="15" t="s">
        <v>20</v>
      </c>
      <c r="U43" s="29">
        <f>U42/U40</f>
        <v>0</v>
      </c>
      <c r="V43" s="29">
        <f t="shared" ref="V43" si="9">V42/V40</f>
        <v>0</v>
      </c>
      <c r="W43" s="29">
        <f t="shared" ref="W43" si="10">W42/W40</f>
        <v>0</v>
      </c>
      <c r="X43" s="30">
        <f t="shared" ref="X43" si="11">X42/X40</f>
        <v>0</v>
      </c>
      <c r="Y43" s="1"/>
    </row>
    <row r="44" spans="1:25" x14ac:dyDescent="0.3">
      <c r="A44" s="1"/>
      <c r="P44" s="1"/>
      <c r="Q44" s="1"/>
      <c r="S44" s="1"/>
      <c r="T44" s="1"/>
      <c r="U44" s="1"/>
      <c r="V44" s="1"/>
      <c r="W44" s="1"/>
      <c r="X44" s="1"/>
      <c r="Y44" s="1"/>
    </row>
    <row r="45" spans="1:25" x14ac:dyDescent="0.3">
      <c r="A45" s="1"/>
      <c r="P45" s="1"/>
      <c r="Q45" s="1"/>
      <c r="Y45" s="1"/>
    </row>
    <row r="46" spans="1:25" x14ac:dyDescent="0.3">
      <c r="A46" s="1"/>
      <c r="P46" s="1"/>
      <c r="Q46" s="1"/>
    </row>
    <row r="47" spans="1:25" x14ac:dyDescent="0.3">
      <c r="A47" s="1"/>
      <c r="P47" s="1"/>
      <c r="Q47" s="1"/>
    </row>
    <row r="48" spans="1:25" x14ac:dyDescent="0.3">
      <c r="A48" s="1"/>
      <c r="B48" s="1"/>
      <c r="C48" s="1"/>
      <c r="D48" s="1"/>
      <c r="E48" s="1"/>
      <c r="F48" s="1"/>
      <c r="G48" s="1"/>
      <c r="H48" s="1"/>
      <c r="I48" s="1"/>
      <c r="J48" s="1"/>
      <c r="K48" s="1"/>
      <c r="L48" s="1"/>
      <c r="M48" s="1"/>
      <c r="N48" s="1"/>
      <c r="O48" s="1"/>
      <c r="P48" s="1"/>
      <c r="Q48" s="1"/>
    </row>
    <row r="49" spans="1:17" ht="15" customHeight="1" x14ac:dyDescent="0.3">
      <c r="A49" s="1"/>
      <c r="B49" s="1"/>
      <c r="C49" s="1"/>
      <c r="D49" s="1"/>
      <c r="E49" s="1"/>
      <c r="F49" s="1"/>
      <c r="G49" s="1"/>
      <c r="H49" s="1"/>
      <c r="I49" s="1"/>
      <c r="J49" s="1"/>
      <c r="K49" s="1"/>
      <c r="L49" s="1"/>
      <c r="M49" s="1"/>
      <c r="N49" s="1"/>
      <c r="O49" s="1"/>
      <c r="P49" s="1"/>
      <c r="Q49" s="1"/>
    </row>
    <row r="50" spans="1:17" x14ac:dyDescent="0.3">
      <c r="A50" s="1"/>
      <c r="B50" s="1"/>
      <c r="C50" s="1"/>
      <c r="D50" s="1"/>
      <c r="E50" s="1"/>
      <c r="F50" s="1"/>
      <c r="G50" s="1"/>
      <c r="H50" s="1"/>
      <c r="I50" s="1"/>
      <c r="J50" s="1"/>
      <c r="K50" s="1"/>
      <c r="L50" s="1"/>
      <c r="M50" s="1"/>
      <c r="N50" s="1"/>
      <c r="O50" s="1"/>
      <c r="P50" s="1"/>
      <c r="Q50" s="1"/>
    </row>
    <row r="51" spans="1:17" x14ac:dyDescent="0.3">
      <c r="A51" s="1"/>
      <c r="B51" s="1"/>
      <c r="C51" s="1"/>
      <c r="D51" s="1"/>
      <c r="E51" s="1"/>
      <c r="F51" s="1"/>
      <c r="G51" s="1"/>
      <c r="H51" s="1"/>
      <c r="I51" s="1"/>
      <c r="J51" s="1"/>
      <c r="K51" s="1"/>
      <c r="L51" s="1"/>
      <c r="M51" s="1"/>
      <c r="N51" s="1"/>
      <c r="O51" s="1"/>
      <c r="P51" s="1"/>
      <c r="Q51" s="1"/>
    </row>
    <row r="52" spans="1:17" x14ac:dyDescent="0.3">
      <c r="A52" s="1"/>
      <c r="B52" s="1"/>
      <c r="C52" s="1"/>
      <c r="D52" s="1"/>
      <c r="E52" s="1"/>
      <c r="F52" s="1"/>
      <c r="G52" s="1"/>
      <c r="H52" s="1"/>
      <c r="I52" s="1"/>
      <c r="J52" s="1"/>
      <c r="K52" s="1"/>
      <c r="L52" s="1"/>
      <c r="M52" s="1"/>
      <c r="N52" s="1"/>
      <c r="O52" s="1"/>
      <c r="P52" s="1"/>
      <c r="Q52" s="1"/>
    </row>
    <row r="53" spans="1:17" x14ac:dyDescent="0.3">
      <c r="A53" s="1"/>
      <c r="B53" s="1"/>
      <c r="C53" s="1"/>
      <c r="D53" s="1"/>
      <c r="E53" s="1"/>
      <c r="F53" s="1"/>
      <c r="G53" s="1"/>
      <c r="H53" s="1"/>
      <c r="I53" s="1"/>
      <c r="J53" s="1"/>
      <c r="K53" s="1"/>
      <c r="L53" s="1"/>
      <c r="M53" s="1"/>
      <c r="N53" s="1"/>
      <c r="O53" s="1"/>
      <c r="P53" s="1"/>
      <c r="Q53" s="1"/>
    </row>
    <row r="54" spans="1:17" x14ac:dyDescent="0.3">
      <c r="A54" s="1"/>
      <c r="B54" s="1"/>
      <c r="C54" s="1"/>
      <c r="D54" s="1"/>
      <c r="E54" s="1"/>
      <c r="F54" s="1"/>
      <c r="G54" s="1"/>
      <c r="H54" s="1"/>
      <c r="I54" s="1"/>
      <c r="J54" s="1"/>
      <c r="K54" s="1"/>
      <c r="L54" s="1"/>
      <c r="M54" s="1"/>
      <c r="N54" s="1"/>
      <c r="O54" s="1"/>
      <c r="P54" s="1"/>
      <c r="Q54" s="1"/>
    </row>
    <row r="55" spans="1:17" x14ac:dyDescent="0.3">
      <c r="A55" s="1"/>
      <c r="B55" s="1"/>
      <c r="C55" s="1"/>
      <c r="D55" s="1"/>
      <c r="E55" s="1"/>
      <c r="F55" s="1"/>
      <c r="G55" s="1"/>
      <c r="H55" s="1"/>
      <c r="I55" s="1"/>
      <c r="J55" s="1"/>
      <c r="K55" s="1"/>
      <c r="L55" s="1"/>
      <c r="M55" s="1"/>
      <c r="N55" s="1"/>
      <c r="O55" s="1"/>
      <c r="P55" s="1"/>
      <c r="Q55" s="1"/>
    </row>
    <row r="56" spans="1:17" x14ac:dyDescent="0.3">
      <c r="A56" s="1"/>
      <c r="B56" s="1"/>
      <c r="C56" s="1"/>
      <c r="D56" s="1"/>
      <c r="E56" s="1"/>
      <c r="F56" s="1"/>
      <c r="G56" s="1"/>
      <c r="H56" s="1"/>
      <c r="I56" s="1"/>
      <c r="J56" s="1"/>
      <c r="K56" s="1"/>
      <c r="L56" s="1"/>
      <c r="M56" s="1"/>
      <c r="N56" s="1"/>
      <c r="O56" s="1"/>
      <c r="P56" s="1"/>
      <c r="Q56" s="1"/>
    </row>
    <row r="57" spans="1:17" x14ac:dyDescent="0.3">
      <c r="A57" s="1"/>
      <c r="B57" s="1"/>
      <c r="C57" s="1"/>
      <c r="D57" s="1"/>
      <c r="E57" s="1"/>
      <c r="F57" s="1"/>
      <c r="G57" s="1"/>
      <c r="H57" s="1"/>
      <c r="I57" s="1"/>
      <c r="J57" s="1"/>
      <c r="K57" s="1"/>
      <c r="L57" s="1"/>
      <c r="M57" s="1"/>
      <c r="N57" s="1"/>
      <c r="O57" s="1"/>
      <c r="P57" s="1"/>
      <c r="Q57" s="1"/>
    </row>
    <row r="58" spans="1:17" x14ac:dyDescent="0.3">
      <c r="A58" s="1"/>
      <c r="B58" s="1"/>
      <c r="C58" s="1"/>
      <c r="D58" s="1"/>
      <c r="E58" s="1"/>
      <c r="F58" s="1"/>
      <c r="G58" s="1"/>
      <c r="H58" s="1"/>
      <c r="I58" s="1"/>
      <c r="J58" s="1"/>
      <c r="K58" s="1"/>
      <c r="L58" s="1"/>
      <c r="M58" s="1"/>
      <c r="N58" s="1"/>
      <c r="O58" s="1"/>
      <c r="P58" s="1"/>
      <c r="Q58" s="1"/>
    </row>
    <row r="59" spans="1:17" x14ac:dyDescent="0.3">
      <c r="A59" s="1"/>
      <c r="B59" s="1"/>
      <c r="C59" s="1"/>
      <c r="D59" s="1"/>
      <c r="E59" s="1"/>
      <c r="F59" s="1"/>
      <c r="G59" s="1"/>
      <c r="H59" s="1"/>
      <c r="I59" s="1"/>
      <c r="J59" s="1"/>
      <c r="K59" s="1"/>
      <c r="L59" s="1"/>
      <c r="M59" s="1"/>
      <c r="N59" s="1"/>
      <c r="O59" s="1"/>
      <c r="P59" s="1"/>
      <c r="Q59" s="1"/>
    </row>
    <row r="60" spans="1:17" x14ac:dyDescent="0.3">
      <c r="A60" s="1"/>
      <c r="B60" s="1"/>
      <c r="C60" s="1"/>
      <c r="D60" s="1"/>
      <c r="E60" s="1"/>
      <c r="F60" s="1"/>
      <c r="G60" s="1"/>
      <c r="H60" s="1"/>
      <c r="I60" s="1"/>
      <c r="J60" s="1"/>
      <c r="K60" s="1"/>
      <c r="L60" s="1"/>
      <c r="M60" s="1"/>
      <c r="N60" s="1"/>
      <c r="O60" s="1"/>
      <c r="P60" s="1"/>
      <c r="Q60" s="1"/>
    </row>
    <row r="61" spans="1:17" x14ac:dyDescent="0.3">
      <c r="A61" s="1"/>
      <c r="B61" s="1"/>
      <c r="C61" s="1"/>
      <c r="D61" s="1"/>
      <c r="E61" s="1"/>
      <c r="F61" s="1"/>
      <c r="G61" s="1"/>
      <c r="H61" s="1"/>
      <c r="I61" s="1"/>
      <c r="J61" s="1"/>
      <c r="K61" s="1"/>
      <c r="L61" s="1"/>
      <c r="M61" s="1"/>
      <c r="N61" s="1"/>
      <c r="O61" s="1"/>
      <c r="P61" s="1"/>
      <c r="Q61" s="1"/>
    </row>
    <row r="62" spans="1:17" x14ac:dyDescent="0.3">
      <c r="A62" s="1"/>
      <c r="B62" s="1"/>
      <c r="C62" s="1"/>
      <c r="D62" s="1"/>
      <c r="E62" s="1"/>
      <c r="F62" s="1"/>
      <c r="G62" s="1"/>
      <c r="H62" s="1"/>
      <c r="I62" s="1"/>
      <c r="J62" s="1"/>
      <c r="K62" s="1"/>
      <c r="L62" s="1"/>
      <c r="M62" s="1"/>
      <c r="N62" s="1"/>
      <c r="O62" s="1"/>
      <c r="P62" s="1"/>
      <c r="Q62" s="1"/>
    </row>
    <row r="63" spans="1:17" x14ac:dyDescent="0.3">
      <c r="A63" s="1"/>
      <c r="B63" s="1"/>
      <c r="C63" s="1"/>
      <c r="D63" s="1"/>
      <c r="E63" s="1"/>
      <c r="F63" s="1"/>
      <c r="G63" s="1"/>
      <c r="H63" s="1"/>
      <c r="I63" s="1"/>
      <c r="J63" s="1"/>
      <c r="K63" s="1"/>
      <c r="L63" s="1"/>
      <c r="M63" s="1"/>
      <c r="N63" s="1"/>
      <c r="O63" s="1"/>
      <c r="P63" s="1"/>
      <c r="Q63" s="1"/>
    </row>
    <row r="64" spans="1:17" x14ac:dyDescent="0.3">
      <c r="A64" s="1"/>
      <c r="B64" s="1"/>
      <c r="C64" s="1"/>
      <c r="D64" s="1"/>
      <c r="E64" s="1"/>
      <c r="F64" s="1"/>
      <c r="G64" s="1"/>
      <c r="H64" s="1"/>
      <c r="I64" s="1"/>
      <c r="J64" s="1"/>
      <c r="K64" s="1"/>
      <c r="L64" s="1"/>
      <c r="M64" s="1"/>
      <c r="N64" s="1"/>
      <c r="O64" s="1"/>
      <c r="P64" s="1"/>
      <c r="Q64" s="1"/>
    </row>
    <row r="65" spans="1:28" x14ac:dyDescent="0.3">
      <c r="A65" s="1"/>
      <c r="B65" s="1"/>
      <c r="C65" s="1"/>
      <c r="D65" s="1"/>
      <c r="E65" s="1"/>
      <c r="F65" s="1"/>
      <c r="G65" s="1"/>
      <c r="H65" s="1"/>
      <c r="I65" s="1"/>
      <c r="J65" s="1"/>
      <c r="K65" s="1"/>
      <c r="L65" s="1"/>
      <c r="M65" s="1"/>
      <c r="N65" s="1"/>
      <c r="O65" s="1"/>
      <c r="P65" s="1"/>
      <c r="Q65" s="1"/>
    </row>
    <row r="66" spans="1:28" ht="15" customHeight="1" x14ac:dyDescent="0.3">
      <c r="A66" s="1"/>
      <c r="B66" s="1"/>
      <c r="C66" s="1"/>
      <c r="D66" s="1"/>
      <c r="E66" s="1"/>
      <c r="F66" s="1"/>
      <c r="G66" s="1"/>
      <c r="H66" s="1"/>
      <c r="I66" s="1"/>
      <c r="J66" s="1"/>
      <c r="K66" s="1"/>
      <c r="L66" s="1"/>
      <c r="M66" s="1"/>
      <c r="N66" s="1"/>
      <c r="O66" s="1"/>
      <c r="P66" s="1"/>
      <c r="Q66" s="1"/>
    </row>
    <row r="67" spans="1:28" x14ac:dyDescent="0.3">
      <c r="A67" s="1"/>
      <c r="B67" s="1"/>
      <c r="C67" s="1"/>
      <c r="D67" s="1"/>
      <c r="E67" s="1"/>
      <c r="F67" s="1"/>
      <c r="G67" s="1"/>
      <c r="H67" s="1"/>
      <c r="I67" s="1"/>
      <c r="J67" s="1"/>
      <c r="K67" s="1"/>
      <c r="L67" s="1"/>
      <c r="M67" s="1"/>
      <c r="N67" s="1"/>
      <c r="O67" s="1"/>
      <c r="P67" s="1"/>
      <c r="Q67" s="1"/>
    </row>
    <row r="68" spans="1:28" s="206" customFormat="1" ht="18" x14ac:dyDescent="0.35">
      <c r="A68" s="203"/>
      <c r="B68" s="203"/>
      <c r="C68" s="203"/>
      <c r="D68" s="203"/>
      <c r="E68" s="204" t="s">
        <v>4</v>
      </c>
      <c r="F68" s="205">
        <f>U24</f>
        <v>2.7000000000000003E-2</v>
      </c>
      <c r="G68" s="203"/>
      <c r="H68" s="203"/>
      <c r="I68" s="203"/>
      <c r="J68" s="203"/>
      <c r="K68" s="220" t="s">
        <v>424</v>
      </c>
      <c r="L68" s="221"/>
      <c r="M68" s="222"/>
      <c r="N68" s="207">
        <v>0</v>
      </c>
      <c r="O68" s="203"/>
      <c r="P68" s="203"/>
      <c r="Q68" s="203"/>
      <c r="R68" s="203"/>
      <c r="Z68" s="203"/>
      <c r="AA68" s="203"/>
      <c r="AB68" s="211"/>
    </row>
    <row r="69" spans="1:28" x14ac:dyDescent="0.3">
      <c r="A69" s="1"/>
      <c r="B69" s="1"/>
      <c r="C69" s="1"/>
      <c r="D69" s="1"/>
      <c r="E69" s="1"/>
      <c r="F69" s="1"/>
      <c r="G69" s="1"/>
      <c r="H69" s="1"/>
      <c r="I69" s="1"/>
      <c r="J69" s="1"/>
      <c r="K69" s="1"/>
      <c r="L69" s="1"/>
      <c r="M69" s="1"/>
      <c r="N69" s="1"/>
      <c r="O69" s="1"/>
      <c r="P69" s="1"/>
      <c r="Q69" s="1"/>
    </row>
    <row r="70" spans="1:28" x14ac:dyDescent="0.3">
      <c r="A70" s="1"/>
      <c r="B70" s="1"/>
      <c r="C70" s="1"/>
      <c r="D70" s="1"/>
      <c r="E70" s="1"/>
      <c r="F70" s="1"/>
      <c r="G70" s="1"/>
      <c r="H70" s="1"/>
      <c r="I70" s="1"/>
      <c r="J70" s="1"/>
      <c r="K70" s="1"/>
      <c r="L70" s="1"/>
      <c r="M70" s="1"/>
      <c r="N70" s="1"/>
      <c r="O70" s="1"/>
      <c r="P70" s="1"/>
      <c r="Q70" s="1"/>
    </row>
  </sheetData>
  <mergeCells count="7">
    <mergeCell ref="K68:M68"/>
    <mergeCell ref="Z20:Z23"/>
    <mergeCell ref="X20:X23"/>
    <mergeCell ref="U10:V10"/>
    <mergeCell ref="S5:S8"/>
    <mergeCell ref="S19:S24"/>
    <mergeCell ref="W20:W21"/>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B174"/>
  <sheetViews>
    <sheetView topLeftCell="DJ9" workbookViewId="0">
      <selection activeCell="DW42" sqref="DW42"/>
    </sheetView>
  </sheetViews>
  <sheetFormatPr defaultRowHeight="14.4" x14ac:dyDescent="0.3"/>
  <cols>
    <col min="1" max="1" width="17.109375" customWidth="1"/>
    <col min="2" max="2" width="10" customWidth="1"/>
    <col min="3" max="3" width="11" customWidth="1"/>
    <col min="6" max="6" width="10.88671875" customWidth="1"/>
    <col min="7" max="7" width="10.44140625" customWidth="1"/>
    <col min="8" max="8" width="12.44140625" customWidth="1"/>
    <col min="9" max="9" width="9.88671875" customWidth="1"/>
    <col min="10" max="10" width="9.109375" customWidth="1"/>
    <col min="80" max="80" width="16.88671875" customWidth="1"/>
    <col min="81" max="81" width="11.33203125" customWidth="1"/>
    <col min="82" max="82" width="10.88671875" customWidth="1"/>
    <col min="83" max="90" width="8.109375" customWidth="1"/>
    <col min="93" max="93" width="12.44140625" customWidth="1"/>
    <col min="94" max="94" width="21.33203125" customWidth="1"/>
    <col min="95" max="95" width="19.88671875" customWidth="1"/>
    <col min="96" max="96" width="19.33203125" customWidth="1"/>
    <col min="97" max="97" width="15.44140625" customWidth="1"/>
    <col min="116" max="116" width="10" customWidth="1"/>
    <col min="117" max="117" width="10.109375" customWidth="1"/>
    <col min="127" max="127" width="11.6640625" customWidth="1"/>
    <col min="128" max="128" width="11" customWidth="1"/>
    <col min="129" max="129" width="10.6640625" customWidth="1"/>
    <col min="131" max="131" width="10.33203125" customWidth="1"/>
    <col min="132" max="132" width="9.5546875" bestFit="1" customWidth="1"/>
  </cols>
  <sheetData>
    <row r="1" spans="1:115" x14ac:dyDescent="0.3">
      <c r="AL1" t="s">
        <v>62</v>
      </c>
    </row>
    <row r="2" spans="1:115" x14ac:dyDescent="0.3">
      <c r="AW2" t="s">
        <v>139</v>
      </c>
      <c r="BM2" t="s">
        <v>157</v>
      </c>
    </row>
    <row r="3" spans="1:115" x14ac:dyDescent="0.3">
      <c r="AW3" t="s">
        <v>143</v>
      </c>
      <c r="BM3" t="s">
        <v>156</v>
      </c>
      <c r="CO3" t="s">
        <v>132</v>
      </c>
      <c r="CU3" t="s">
        <v>164</v>
      </c>
      <c r="DA3" t="s">
        <v>164</v>
      </c>
    </row>
    <row r="4" spans="1:115" x14ac:dyDescent="0.3">
      <c r="CO4" t="s">
        <v>133</v>
      </c>
      <c r="CP4" t="s">
        <v>134</v>
      </c>
    </row>
    <row r="5" spans="1:115" x14ac:dyDescent="0.3">
      <c r="AW5" s="43" t="s">
        <v>140</v>
      </c>
      <c r="CB5" t="s">
        <v>136</v>
      </c>
      <c r="CV5" s="237" t="s">
        <v>263</v>
      </c>
      <c r="CW5" s="237"/>
      <c r="CX5" s="237"/>
      <c r="CY5" s="237"/>
      <c r="CZ5" s="32"/>
      <c r="DB5" s="237" t="s">
        <v>165</v>
      </c>
      <c r="DC5" s="237"/>
      <c r="DD5" s="237"/>
      <c r="DE5" s="237"/>
      <c r="DF5" s="32"/>
    </row>
    <row r="6" spans="1:115" x14ac:dyDescent="0.3">
      <c r="CC6" s="237" t="s">
        <v>128</v>
      </c>
      <c r="CD6" s="237"/>
      <c r="CE6" s="237" t="s">
        <v>129</v>
      </c>
      <c r="CF6" s="237"/>
      <c r="CG6" s="237"/>
      <c r="CH6" s="237" t="s">
        <v>130</v>
      </c>
      <c r="CI6" s="237"/>
      <c r="CJ6" s="237"/>
      <c r="CK6" s="237" t="s">
        <v>131</v>
      </c>
      <c r="CL6" s="237"/>
      <c r="CM6" s="62" t="s">
        <v>1</v>
      </c>
      <c r="CN6" s="62"/>
      <c r="CO6" t="s">
        <v>135</v>
      </c>
      <c r="CU6" t="s">
        <v>166</v>
      </c>
      <c r="CV6" s="62" t="s">
        <v>167</v>
      </c>
      <c r="CW6" s="62" t="s">
        <v>168</v>
      </c>
      <c r="CX6" s="62" t="s">
        <v>1</v>
      </c>
      <c r="CY6" s="62" t="s">
        <v>169</v>
      </c>
      <c r="CZ6" s="62"/>
      <c r="DA6" t="s">
        <v>166</v>
      </c>
      <c r="DB6" s="62" t="s">
        <v>167</v>
      </c>
      <c r="DC6" s="62" t="s">
        <v>168</v>
      </c>
      <c r="DD6" s="62" t="s">
        <v>1</v>
      </c>
      <c r="DE6" s="62" t="s">
        <v>169</v>
      </c>
      <c r="DF6" s="62"/>
      <c r="DH6" s="62" t="s">
        <v>188</v>
      </c>
      <c r="DI6" s="62" t="s">
        <v>189</v>
      </c>
      <c r="DJ6" s="62" t="s">
        <v>168</v>
      </c>
      <c r="DK6" s="62" t="s">
        <v>1</v>
      </c>
    </row>
    <row r="7" spans="1:115" x14ac:dyDescent="0.3">
      <c r="F7" s="237" t="s">
        <v>5</v>
      </c>
      <c r="G7" s="237"/>
      <c r="H7" s="237"/>
      <c r="I7" s="237"/>
      <c r="BL7" s="62"/>
      <c r="BM7" s="62"/>
      <c r="BN7" s="62"/>
      <c r="BO7" s="62"/>
      <c r="BP7" s="62"/>
      <c r="BQ7" s="62"/>
      <c r="BR7" s="62"/>
      <c r="BS7" s="62"/>
      <c r="BT7" s="62"/>
      <c r="BU7" s="62"/>
      <c r="BV7" s="62"/>
      <c r="BW7" s="62"/>
      <c r="BX7" s="62"/>
      <c r="BY7" s="62"/>
      <c r="BZ7" s="62"/>
      <c r="CA7" s="62"/>
      <c r="CB7" s="62" t="s">
        <v>126</v>
      </c>
      <c r="CC7" s="62" t="s">
        <v>91</v>
      </c>
      <c r="CD7" s="62" t="s">
        <v>138</v>
      </c>
      <c r="CE7" s="62" t="s">
        <v>91</v>
      </c>
      <c r="CF7" s="62" t="s">
        <v>137</v>
      </c>
      <c r="CG7" s="62" t="s">
        <v>138</v>
      </c>
      <c r="CH7" s="62" t="s">
        <v>91</v>
      </c>
      <c r="CI7" s="62" t="s">
        <v>137</v>
      </c>
      <c r="CJ7" s="62" t="s">
        <v>138</v>
      </c>
      <c r="CK7" s="62" t="s">
        <v>91</v>
      </c>
      <c r="CL7" s="62" t="s">
        <v>138</v>
      </c>
      <c r="CM7" s="62" t="s">
        <v>91</v>
      </c>
      <c r="CN7" s="62"/>
      <c r="CO7" s="62" t="s">
        <v>126</v>
      </c>
      <c r="CP7" s="62" t="s">
        <v>128</v>
      </c>
      <c r="CQ7" s="62" t="s">
        <v>129</v>
      </c>
      <c r="CR7" s="62" t="s">
        <v>130</v>
      </c>
      <c r="CS7" s="62" t="s">
        <v>131</v>
      </c>
      <c r="DH7" s="62"/>
      <c r="DI7" s="62"/>
      <c r="DJ7" s="62"/>
      <c r="DK7" s="62"/>
    </row>
    <row r="8" spans="1:115" x14ac:dyDescent="0.3">
      <c r="B8" s="237" t="s">
        <v>5</v>
      </c>
      <c r="C8" s="237"/>
      <c r="D8" t="s">
        <v>33</v>
      </c>
      <c r="E8" t="s">
        <v>37</v>
      </c>
      <c r="F8" s="32" t="s">
        <v>145</v>
      </c>
      <c r="G8" s="32" t="s">
        <v>149</v>
      </c>
      <c r="H8" s="32" t="s">
        <v>147</v>
      </c>
      <c r="I8" s="32" t="s">
        <v>152</v>
      </c>
      <c r="CB8">
        <v>1980</v>
      </c>
      <c r="CD8">
        <v>3232</v>
      </c>
      <c r="CF8">
        <v>4039</v>
      </c>
      <c r="CG8">
        <v>4741</v>
      </c>
      <c r="CI8">
        <v>2964</v>
      </c>
      <c r="CJ8">
        <v>2964</v>
      </c>
      <c r="CL8">
        <v>281</v>
      </c>
      <c r="CO8">
        <v>1992</v>
      </c>
      <c r="CP8">
        <v>0.11</v>
      </c>
      <c r="CQ8">
        <v>0.15</v>
      </c>
      <c r="CR8">
        <v>0</v>
      </c>
      <c r="CS8">
        <v>0</v>
      </c>
      <c r="CU8" t="s">
        <v>170</v>
      </c>
      <c r="CV8" s="69">
        <v>5</v>
      </c>
      <c r="CW8" s="69">
        <v>97</v>
      </c>
      <c r="CX8">
        <f t="shared" ref="CX8:CX14" si="0">SUM(CV8:CW8)</f>
        <v>102</v>
      </c>
      <c r="CY8">
        <f>CX8</f>
        <v>102</v>
      </c>
      <c r="DA8" t="s">
        <v>170</v>
      </c>
      <c r="DB8" s="69">
        <v>13</v>
      </c>
      <c r="DC8" s="69">
        <v>304</v>
      </c>
      <c r="DD8">
        <f t="shared" ref="DD8:DD14" si="1">SUM(DB8:DC8)</f>
        <v>317</v>
      </c>
      <c r="DE8">
        <f>DD8</f>
        <v>317</v>
      </c>
      <c r="DH8" t="s">
        <v>262</v>
      </c>
      <c r="DI8" s="62">
        <f>CV15</f>
        <v>167</v>
      </c>
      <c r="DJ8" s="62">
        <f>CW15</f>
        <v>5307</v>
      </c>
      <c r="DK8">
        <f t="shared" ref="DK8:DK19" si="2">SUM(DI8:DJ8)</f>
        <v>5474</v>
      </c>
    </row>
    <row r="9" spans="1:115" x14ac:dyDescent="0.3">
      <c r="A9" t="s">
        <v>10</v>
      </c>
      <c r="B9" s="62" t="s">
        <v>33</v>
      </c>
      <c r="C9" s="62" t="s">
        <v>38</v>
      </c>
      <c r="D9" s="32" t="s">
        <v>34</v>
      </c>
      <c r="E9" s="32" t="s">
        <v>34</v>
      </c>
      <c r="F9" s="63" t="s">
        <v>146</v>
      </c>
      <c r="G9" s="32" t="s">
        <v>150</v>
      </c>
      <c r="H9" s="32" t="s">
        <v>148</v>
      </c>
      <c r="I9" s="32" t="s">
        <v>150</v>
      </c>
      <c r="CB9">
        <v>1981</v>
      </c>
      <c r="CD9">
        <v>2642</v>
      </c>
      <c r="CF9">
        <v>3500</v>
      </c>
      <c r="CG9">
        <v>4108</v>
      </c>
      <c r="CI9">
        <v>2374</v>
      </c>
      <c r="CJ9">
        <v>2374</v>
      </c>
      <c r="CL9">
        <v>193</v>
      </c>
      <c r="CO9">
        <v>1993</v>
      </c>
      <c r="CP9">
        <v>0.11</v>
      </c>
      <c r="CQ9">
        <v>0.16</v>
      </c>
      <c r="CR9">
        <v>0</v>
      </c>
      <c r="CS9">
        <v>0</v>
      </c>
      <c r="CU9" t="s">
        <v>171</v>
      </c>
      <c r="CV9" s="69">
        <v>14</v>
      </c>
      <c r="CW9" s="69">
        <v>283</v>
      </c>
      <c r="CX9">
        <f t="shared" si="0"/>
        <v>297</v>
      </c>
      <c r="CY9">
        <f t="shared" ref="CY9:CY14" si="3">CY8+CX9</f>
        <v>399</v>
      </c>
      <c r="DA9" t="s">
        <v>171</v>
      </c>
      <c r="DB9" s="69">
        <v>4</v>
      </c>
      <c r="DC9" s="69">
        <v>292</v>
      </c>
      <c r="DD9">
        <f t="shared" si="1"/>
        <v>296</v>
      </c>
      <c r="DE9">
        <f t="shared" ref="DE9:DE14" si="4">DE8+DD9</f>
        <v>613</v>
      </c>
      <c r="DH9" t="s">
        <v>225</v>
      </c>
      <c r="DI9">
        <f>CV27</f>
        <v>216</v>
      </c>
      <c r="DJ9">
        <f>CW27</f>
        <v>4699</v>
      </c>
      <c r="DK9">
        <f t="shared" si="2"/>
        <v>4915</v>
      </c>
    </row>
    <row r="10" spans="1:115" x14ac:dyDescent="0.3">
      <c r="A10" t="s">
        <v>29</v>
      </c>
      <c r="B10" s="33">
        <v>2456</v>
      </c>
      <c r="C10" s="33">
        <v>77000</v>
      </c>
      <c r="D10" s="32" t="s">
        <v>35</v>
      </c>
      <c r="E10" s="32" t="s">
        <v>39</v>
      </c>
      <c r="F10">
        <v>3226</v>
      </c>
      <c r="G10" s="32" t="s">
        <v>151</v>
      </c>
      <c r="H10">
        <v>19470</v>
      </c>
      <c r="I10" s="32" t="s">
        <v>158</v>
      </c>
      <c r="CB10">
        <v>1982</v>
      </c>
      <c r="CD10">
        <v>2321</v>
      </c>
      <c r="CF10">
        <v>3153</v>
      </c>
      <c r="CG10">
        <v>3701</v>
      </c>
      <c r="CI10">
        <v>2133</v>
      </c>
      <c r="CJ10">
        <v>2222</v>
      </c>
      <c r="CL10">
        <v>470</v>
      </c>
      <c r="CO10">
        <v>1994</v>
      </c>
      <c r="CP10">
        <v>0.11</v>
      </c>
      <c r="CQ10">
        <v>0.13</v>
      </c>
      <c r="CR10">
        <v>0</v>
      </c>
      <c r="CS10">
        <v>0</v>
      </c>
      <c r="CU10" t="s">
        <v>172</v>
      </c>
      <c r="CV10">
        <v>44</v>
      </c>
      <c r="CW10">
        <v>938</v>
      </c>
      <c r="CX10">
        <f t="shared" si="0"/>
        <v>982</v>
      </c>
      <c r="CY10">
        <f t="shared" si="3"/>
        <v>1381</v>
      </c>
      <c r="DA10" t="s">
        <v>172</v>
      </c>
      <c r="DB10">
        <v>4</v>
      </c>
      <c r="DC10">
        <v>678</v>
      </c>
      <c r="DD10">
        <f t="shared" si="1"/>
        <v>682</v>
      </c>
      <c r="DE10">
        <f t="shared" si="4"/>
        <v>1295</v>
      </c>
      <c r="DH10" t="s">
        <v>199</v>
      </c>
      <c r="DI10">
        <f>CV39</f>
        <v>135</v>
      </c>
      <c r="DJ10">
        <f>CW39</f>
        <v>2678</v>
      </c>
      <c r="DK10">
        <f t="shared" si="2"/>
        <v>2813</v>
      </c>
    </row>
    <row r="11" spans="1:115" x14ac:dyDescent="0.3">
      <c r="A11" t="s">
        <v>30</v>
      </c>
      <c r="B11" s="33">
        <v>3668</v>
      </c>
      <c r="C11" s="33">
        <v>75240</v>
      </c>
      <c r="D11" s="32" t="s">
        <v>35</v>
      </c>
      <c r="E11" s="32" t="s">
        <v>39</v>
      </c>
      <c r="F11">
        <v>8632</v>
      </c>
      <c r="G11" s="32" t="s">
        <v>153</v>
      </c>
      <c r="H11">
        <v>10013</v>
      </c>
      <c r="I11" s="32" t="s">
        <v>158</v>
      </c>
      <c r="CB11">
        <v>1983</v>
      </c>
      <c r="CD11">
        <v>1590</v>
      </c>
      <c r="CF11">
        <v>3566</v>
      </c>
      <c r="CG11">
        <v>4185</v>
      </c>
      <c r="CI11">
        <v>1743</v>
      </c>
      <c r="CJ11">
        <v>1816</v>
      </c>
      <c r="CL11">
        <v>379</v>
      </c>
      <c r="CO11">
        <v>1995</v>
      </c>
      <c r="CP11">
        <v>0.11</v>
      </c>
      <c r="CQ11">
        <v>0.11</v>
      </c>
      <c r="CR11">
        <v>0</v>
      </c>
      <c r="CS11">
        <v>0</v>
      </c>
      <c r="CU11" t="s">
        <v>173</v>
      </c>
      <c r="CV11">
        <f>92+5</f>
        <v>97</v>
      </c>
      <c r="CW11">
        <f>1688+90</f>
        <v>1778</v>
      </c>
      <c r="CX11">
        <f t="shared" si="0"/>
        <v>1875</v>
      </c>
      <c r="CY11">
        <f t="shared" si="3"/>
        <v>3256</v>
      </c>
      <c r="DA11" t="s">
        <v>173</v>
      </c>
      <c r="DB11">
        <v>237</v>
      </c>
      <c r="DC11">
        <v>2244</v>
      </c>
      <c r="DD11">
        <f t="shared" si="1"/>
        <v>2481</v>
      </c>
      <c r="DE11">
        <f t="shared" si="4"/>
        <v>3776</v>
      </c>
      <c r="DH11" t="s">
        <v>198</v>
      </c>
      <c r="DI11">
        <f>CV51</f>
        <v>92</v>
      </c>
      <c r="DJ11">
        <f>CW51</f>
        <v>7245</v>
      </c>
      <c r="DK11">
        <f t="shared" si="2"/>
        <v>7337</v>
      </c>
    </row>
    <row r="12" spans="1:115" x14ac:dyDescent="0.3">
      <c r="A12" t="s">
        <v>31</v>
      </c>
      <c r="B12" s="33">
        <v>2715</v>
      </c>
      <c r="C12" s="33">
        <v>50160</v>
      </c>
      <c r="D12" s="32" t="s">
        <v>35</v>
      </c>
      <c r="E12" s="32" t="s">
        <v>39</v>
      </c>
      <c r="F12">
        <v>3912</v>
      </c>
      <c r="G12" s="32" t="s">
        <v>154</v>
      </c>
      <c r="H12">
        <v>5371</v>
      </c>
      <c r="I12" s="32" t="s">
        <v>158</v>
      </c>
      <c r="CB12">
        <v>1984</v>
      </c>
      <c r="CD12">
        <v>2244</v>
      </c>
      <c r="CF12">
        <v>3568</v>
      </c>
      <c r="CG12">
        <v>4188</v>
      </c>
      <c r="CI12">
        <v>2794</v>
      </c>
      <c r="CJ12">
        <v>3537</v>
      </c>
      <c r="CL12">
        <v>407</v>
      </c>
      <c r="CO12">
        <v>1996</v>
      </c>
      <c r="CP12">
        <v>0.11</v>
      </c>
      <c r="CQ12">
        <v>0.11</v>
      </c>
      <c r="CR12">
        <v>0</v>
      </c>
      <c r="CS12">
        <v>0</v>
      </c>
      <c r="CU12" t="s">
        <v>174</v>
      </c>
      <c r="CV12">
        <v>3</v>
      </c>
      <c r="CW12">
        <v>1021</v>
      </c>
      <c r="CX12">
        <f t="shared" si="0"/>
        <v>1024</v>
      </c>
      <c r="CY12">
        <f t="shared" si="3"/>
        <v>4280</v>
      </c>
      <c r="DA12" t="s">
        <v>174</v>
      </c>
      <c r="DB12">
        <v>0</v>
      </c>
      <c r="DC12">
        <v>1353</v>
      </c>
      <c r="DD12">
        <f t="shared" si="1"/>
        <v>1353</v>
      </c>
      <c r="DE12">
        <f t="shared" si="4"/>
        <v>5129</v>
      </c>
      <c r="DH12" t="s">
        <v>197</v>
      </c>
      <c r="DI12">
        <f>CV63</f>
        <v>118</v>
      </c>
      <c r="DJ12">
        <f>CW63</f>
        <v>7323</v>
      </c>
      <c r="DK12">
        <f t="shared" si="2"/>
        <v>7441</v>
      </c>
    </row>
    <row r="13" spans="1:115" x14ac:dyDescent="0.3">
      <c r="A13" t="s">
        <v>32</v>
      </c>
      <c r="B13" s="33">
        <v>416</v>
      </c>
      <c r="C13" s="33">
        <v>17600</v>
      </c>
      <c r="D13" s="32" t="s">
        <v>36</v>
      </c>
      <c r="E13" s="32" t="s">
        <v>36</v>
      </c>
      <c r="F13">
        <v>522</v>
      </c>
      <c r="G13" s="32" t="s">
        <v>155</v>
      </c>
      <c r="H13">
        <v>4471</v>
      </c>
      <c r="I13" s="32" t="s">
        <v>158</v>
      </c>
      <c r="CB13">
        <v>1985</v>
      </c>
      <c r="CD13">
        <v>3129</v>
      </c>
      <c r="CF13">
        <v>5935</v>
      </c>
      <c r="CG13">
        <v>6966</v>
      </c>
      <c r="CI13">
        <v>3588</v>
      </c>
      <c r="CJ13">
        <v>4032</v>
      </c>
      <c r="CL13">
        <v>555</v>
      </c>
      <c r="CO13">
        <v>1997</v>
      </c>
      <c r="CP13">
        <v>0.11</v>
      </c>
      <c r="CQ13">
        <v>0.09</v>
      </c>
      <c r="CR13">
        <v>0</v>
      </c>
      <c r="CS13">
        <v>0</v>
      </c>
      <c r="CU13" t="s">
        <v>175</v>
      </c>
      <c r="CV13">
        <v>2</v>
      </c>
      <c r="CW13">
        <v>689</v>
      </c>
      <c r="CX13">
        <f t="shared" si="0"/>
        <v>691</v>
      </c>
      <c r="CY13">
        <f t="shared" si="3"/>
        <v>4971</v>
      </c>
      <c r="DA13" t="s">
        <v>175</v>
      </c>
      <c r="DB13">
        <v>0</v>
      </c>
      <c r="DC13">
        <v>1643</v>
      </c>
      <c r="DD13">
        <f t="shared" si="1"/>
        <v>1643</v>
      </c>
      <c r="DE13">
        <f t="shared" si="4"/>
        <v>6772</v>
      </c>
      <c r="DH13" t="s">
        <v>190</v>
      </c>
      <c r="DI13">
        <f>DB15</f>
        <v>258</v>
      </c>
      <c r="DJ13">
        <f>DC15</f>
        <v>7358</v>
      </c>
      <c r="DK13">
        <f t="shared" si="2"/>
        <v>7616</v>
      </c>
    </row>
    <row r="14" spans="1:115" x14ac:dyDescent="0.3">
      <c r="CB14">
        <v>1986</v>
      </c>
      <c r="CD14">
        <v>2944</v>
      </c>
      <c r="CF14">
        <v>3935</v>
      </c>
      <c r="CG14">
        <v>4618</v>
      </c>
      <c r="CI14">
        <v>2832</v>
      </c>
      <c r="CJ14">
        <v>3147</v>
      </c>
      <c r="CL14">
        <v>459</v>
      </c>
      <c r="CO14">
        <v>1998</v>
      </c>
      <c r="CP14">
        <v>0.11</v>
      </c>
      <c r="CQ14">
        <v>0.3</v>
      </c>
      <c r="CR14">
        <v>0</v>
      </c>
      <c r="CS14">
        <v>0</v>
      </c>
      <c r="CU14" t="s">
        <v>176</v>
      </c>
      <c r="CV14">
        <v>2</v>
      </c>
      <c r="CW14">
        <v>501</v>
      </c>
      <c r="CX14">
        <f t="shared" si="0"/>
        <v>503</v>
      </c>
      <c r="CY14">
        <f t="shared" si="3"/>
        <v>5474</v>
      </c>
      <c r="DA14" t="s">
        <v>176</v>
      </c>
      <c r="DB14">
        <v>0</v>
      </c>
      <c r="DC14">
        <v>844</v>
      </c>
      <c r="DD14">
        <f t="shared" si="1"/>
        <v>844</v>
      </c>
      <c r="DE14">
        <f t="shared" si="4"/>
        <v>7616</v>
      </c>
      <c r="DH14" t="s">
        <v>191</v>
      </c>
      <c r="DI14">
        <f>DB27</f>
        <v>146</v>
      </c>
      <c r="DJ14">
        <f>DC27</f>
        <v>4798</v>
      </c>
      <c r="DK14">
        <f t="shared" si="2"/>
        <v>4944</v>
      </c>
    </row>
    <row r="15" spans="1:115" x14ac:dyDescent="0.3">
      <c r="B15" s="72" t="s">
        <v>210</v>
      </c>
      <c r="C15" s="62" t="s">
        <v>211</v>
      </c>
      <c r="F15" s="237" t="s">
        <v>214</v>
      </c>
      <c r="G15" s="237"/>
      <c r="H15" s="237" t="s">
        <v>147</v>
      </c>
      <c r="I15" s="237"/>
      <c r="CB15">
        <v>1987</v>
      </c>
      <c r="CD15">
        <v>2487</v>
      </c>
      <c r="CF15">
        <v>3854</v>
      </c>
      <c r="CG15">
        <v>4523</v>
      </c>
      <c r="CI15">
        <v>2451</v>
      </c>
      <c r="CJ15">
        <v>2636</v>
      </c>
      <c r="CL15">
        <v>481</v>
      </c>
      <c r="CO15">
        <v>1999</v>
      </c>
      <c r="CP15">
        <v>0.01</v>
      </c>
      <c r="CQ15">
        <v>0.27</v>
      </c>
      <c r="CR15">
        <v>0</v>
      </c>
      <c r="CS15">
        <v>0</v>
      </c>
      <c r="CU15" s="43" t="s">
        <v>1</v>
      </c>
      <c r="CV15" s="43">
        <f>SUM(CV8:CV14)</f>
        <v>167</v>
      </c>
      <c r="CW15" s="43">
        <f>SUM(CW8:CW14)</f>
        <v>5307</v>
      </c>
      <c r="CX15" s="43">
        <f>SUM(CX8:CX14)</f>
        <v>5474</v>
      </c>
      <c r="DA15" s="43" t="s">
        <v>1</v>
      </c>
      <c r="DB15" s="43">
        <f>SUM(DB8:DB14)</f>
        <v>258</v>
      </c>
      <c r="DC15" s="43">
        <f>SUM(DC8:DC14)</f>
        <v>7358</v>
      </c>
      <c r="DD15" s="43">
        <f>SUM(DD8:DD14)</f>
        <v>7616</v>
      </c>
      <c r="DH15" t="s">
        <v>192</v>
      </c>
      <c r="DI15">
        <f>DB39</f>
        <v>15</v>
      </c>
      <c r="DJ15">
        <f>DC39</f>
        <v>5334</v>
      </c>
      <c r="DK15">
        <f t="shared" si="2"/>
        <v>5349</v>
      </c>
    </row>
    <row r="16" spans="1:115" x14ac:dyDescent="0.3">
      <c r="B16" s="237" t="s">
        <v>212</v>
      </c>
      <c r="C16" s="237"/>
      <c r="F16" s="237" t="s">
        <v>212</v>
      </c>
      <c r="G16" s="237"/>
      <c r="H16" s="237" t="s">
        <v>212</v>
      </c>
      <c r="I16" s="237"/>
      <c r="CB16">
        <v>1988</v>
      </c>
      <c r="CD16">
        <v>2757</v>
      </c>
      <c r="CF16">
        <v>2082</v>
      </c>
      <c r="CG16">
        <v>2444</v>
      </c>
      <c r="CI16">
        <v>2994</v>
      </c>
      <c r="CJ16">
        <v>3185</v>
      </c>
      <c r="CL16">
        <v>439</v>
      </c>
      <c r="CO16">
        <v>2000</v>
      </c>
      <c r="CP16">
        <v>0</v>
      </c>
      <c r="CQ16">
        <v>0.12</v>
      </c>
      <c r="CR16">
        <v>0</v>
      </c>
      <c r="CS16">
        <v>0</v>
      </c>
      <c r="DH16" t="s">
        <v>193</v>
      </c>
      <c r="DI16">
        <f>DB51</f>
        <v>21</v>
      </c>
      <c r="DJ16">
        <f>DC51</f>
        <v>4484</v>
      </c>
      <c r="DK16">
        <f t="shared" si="2"/>
        <v>4505</v>
      </c>
    </row>
    <row r="17" spans="80:132" x14ac:dyDescent="0.3">
      <c r="CB17">
        <v>1989</v>
      </c>
      <c r="CD17">
        <v>2206</v>
      </c>
      <c r="CF17">
        <v>4026</v>
      </c>
      <c r="CG17">
        <v>4725</v>
      </c>
      <c r="CI17">
        <v>1627</v>
      </c>
      <c r="CJ17">
        <v>1695</v>
      </c>
      <c r="CL17">
        <v>183</v>
      </c>
      <c r="CO17">
        <v>2001</v>
      </c>
      <c r="CP17">
        <v>0</v>
      </c>
      <c r="CQ17">
        <v>0</v>
      </c>
      <c r="CR17">
        <v>0</v>
      </c>
      <c r="CS17">
        <v>0</v>
      </c>
      <c r="CV17" s="237" t="s">
        <v>264</v>
      </c>
      <c r="CW17" s="237"/>
      <c r="CX17" s="237"/>
      <c r="CY17" s="237"/>
      <c r="CZ17" s="32"/>
      <c r="DB17" s="237" t="s">
        <v>177</v>
      </c>
      <c r="DC17" s="237"/>
      <c r="DD17" s="237"/>
      <c r="DE17" s="237"/>
      <c r="DF17" s="32"/>
      <c r="DH17" t="s">
        <v>194</v>
      </c>
      <c r="DI17">
        <f>DB63</f>
        <v>242</v>
      </c>
      <c r="DJ17">
        <f>DC63</f>
        <v>5536</v>
      </c>
      <c r="DK17">
        <f t="shared" si="2"/>
        <v>5778</v>
      </c>
    </row>
    <row r="18" spans="80:132" x14ac:dyDescent="0.3">
      <c r="CB18">
        <v>1990</v>
      </c>
      <c r="CD18">
        <v>1879</v>
      </c>
      <c r="CF18">
        <v>2972</v>
      </c>
      <c r="CG18">
        <v>3488</v>
      </c>
      <c r="CI18">
        <v>1982</v>
      </c>
      <c r="CJ18">
        <v>1982</v>
      </c>
      <c r="CL18">
        <v>321</v>
      </c>
      <c r="CO18">
        <v>2002</v>
      </c>
      <c r="CP18">
        <v>0</v>
      </c>
      <c r="CQ18">
        <v>0</v>
      </c>
      <c r="CR18">
        <v>0</v>
      </c>
      <c r="CS18">
        <v>0</v>
      </c>
      <c r="CU18" t="s">
        <v>166</v>
      </c>
      <c r="CV18" s="62" t="s">
        <v>167</v>
      </c>
      <c r="CW18" s="62" t="s">
        <v>168</v>
      </c>
      <c r="CX18" s="62" t="s">
        <v>1</v>
      </c>
      <c r="CY18" s="62" t="s">
        <v>169</v>
      </c>
      <c r="CZ18" s="62"/>
      <c r="DA18" t="s">
        <v>166</v>
      </c>
      <c r="DB18" s="62" t="s">
        <v>167</v>
      </c>
      <c r="DC18" s="62" t="s">
        <v>168</v>
      </c>
      <c r="DD18" s="62" t="s">
        <v>1</v>
      </c>
      <c r="DE18" s="62" t="s">
        <v>169</v>
      </c>
      <c r="DF18" s="62"/>
      <c r="DH18" t="s">
        <v>195</v>
      </c>
      <c r="DI18">
        <f>DB75</f>
        <v>4</v>
      </c>
      <c r="DJ18">
        <f>DC75</f>
        <v>817</v>
      </c>
      <c r="DK18">
        <f t="shared" si="2"/>
        <v>821</v>
      </c>
    </row>
    <row r="19" spans="80:132" x14ac:dyDescent="0.3">
      <c r="CB19">
        <v>1991</v>
      </c>
      <c r="CD19">
        <v>1398</v>
      </c>
      <c r="CF19">
        <v>2933</v>
      </c>
      <c r="CG19">
        <v>3443</v>
      </c>
      <c r="CI19">
        <v>2319</v>
      </c>
      <c r="CJ19">
        <v>2319</v>
      </c>
      <c r="CL19">
        <v>309</v>
      </c>
      <c r="CO19">
        <v>2003</v>
      </c>
      <c r="CP19">
        <v>0</v>
      </c>
      <c r="CQ19">
        <v>0</v>
      </c>
      <c r="CR19">
        <v>0</v>
      </c>
      <c r="CS19">
        <v>0</v>
      </c>
      <c r="DH19" t="s">
        <v>196</v>
      </c>
      <c r="DI19">
        <f>DB87</f>
        <v>4</v>
      </c>
      <c r="DJ19">
        <f>DC87</f>
        <v>1825</v>
      </c>
      <c r="DK19">
        <f t="shared" si="2"/>
        <v>1829</v>
      </c>
    </row>
    <row r="20" spans="80:132" x14ac:dyDescent="0.3">
      <c r="CB20">
        <v>1992</v>
      </c>
      <c r="CC20" s="33">
        <v>1689</v>
      </c>
      <c r="CD20" s="33">
        <v>1898</v>
      </c>
      <c r="CE20" s="33">
        <v>2116</v>
      </c>
      <c r="CF20" s="33">
        <v>2116</v>
      </c>
      <c r="CG20" s="33">
        <v>2484</v>
      </c>
      <c r="CH20" s="33">
        <v>2269</v>
      </c>
      <c r="CI20" s="33">
        <v>2269</v>
      </c>
      <c r="CJ20" s="33">
        <v>2269</v>
      </c>
      <c r="CK20">
        <v>119</v>
      </c>
      <c r="CL20">
        <v>119</v>
      </c>
      <c r="CO20">
        <v>2004</v>
      </c>
      <c r="CP20">
        <v>0</v>
      </c>
      <c r="CQ20">
        <v>0</v>
      </c>
      <c r="CR20">
        <v>0</v>
      </c>
      <c r="CS20">
        <v>0</v>
      </c>
      <c r="CU20" t="s">
        <v>170</v>
      </c>
      <c r="CV20">
        <v>4</v>
      </c>
      <c r="CW20">
        <v>131</v>
      </c>
      <c r="CX20">
        <f t="shared" ref="CX20:CX26" si="5">SUM(CV20:CW20)</f>
        <v>135</v>
      </c>
      <c r="CY20">
        <f>CX20</f>
        <v>135</v>
      </c>
      <c r="DA20" t="s">
        <v>170</v>
      </c>
      <c r="DB20">
        <v>1</v>
      </c>
      <c r="DC20">
        <v>139</v>
      </c>
      <c r="DD20">
        <f t="shared" ref="DD20:DD26" si="6">SUM(DB20:DC20)</f>
        <v>140</v>
      </c>
      <c r="DE20">
        <f>DD20</f>
        <v>140</v>
      </c>
    </row>
    <row r="21" spans="80:132" x14ac:dyDescent="0.3">
      <c r="CB21">
        <v>1993</v>
      </c>
      <c r="CC21">
        <v>514</v>
      </c>
      <c r="CD21">
        <v>577</v>
      </c>
      <c r="CE21" s="33">
        <v>2305</v>
      </c>
      <c r="CF21" s="33">
        <v>2305</v>
      </c>
      <c r="CG21" s="33">
        <v>2754</v>
      </c>
      <c r="CH21" s="33">
        <v>1290</v>
      </c>
      <c r="CI21" s="33">
        <v>1290</v>
      </c>
      <c r="CJ21" s="33">
        <v>1290</v>
      </c>
      <c r="CK21">
        <v>39</v>
      </c>
      <c r="CL21">
        <v>39</v>
      </c>
      <c r="CO21">
        <v>2005</v>
      </c>
      <c r="CP21">
        <v>0</v>
      </c>
      <c r="CQ21">
        <v>0</v>
      </c>
      <c r="CR21">
        <v>0</v>
      </c>
      <c r="CS21">
        <v>0</v>
      </c>
      <c r="CU21" t="s">
        <v>171</v>
      </c>
      <c r="CV21">
        <v>19</v>
      </c>
      <c r="CW21">
        <v>610</v>
      </c>
      <c r="CX21">
        <f t="shared" si="5"/>
        <v>629</v>
      </c>
      <c r="CY21">
        <f t="shared" ref="CY21:CY26" si="7">CY20+CX21</f>
        <v>764</v>
      </c>
      <c r="DA21" t="s">
        <v>171</v>
      </c>
      <c r="DB21">
        <v>4</v>
      </c>
      <c r="DC21">
        <v>318</v>
      </c>
      <c r="DD21">
        <f t="shared" si="6"/>
        <v>322</v>
      </c>
      <c r="DE21">
        <f t="shared" ref="DE21:DE26" si="8">DE20+DD21</f>
        <v>462</v>
      </c>
      <c r="DG21" t="s">
        <v>231</v>
      </c>
      <c r="DH21" t="s">
        <v>209</v>
      </c>
      <c r="DI21">
        <f>AVERAGE(DI10:DI19)</f>
        <v>103.5</v>
      </c>
      <c r="DJ21">
        <f>AVERAGE(DJ10:DJ19)</f>
        <v>4739.8</v>
      </c>
      <c r="DK21">
        <f>AVERAGE(DK10:DK19)</f>
        <v>4843.3</v>
      </c>
    </row>
    <row r="22" spans="80:132" x14ac:dyDescent="0.3">
      <c r="CB22">
        <v>1994</v>
      </c>
      <c r="CC22" s="33">
        <v>2066</v>
      </c>
      <c r="CD22" s="33">
        <v>2321</v>
      </c>
      <c r="CE22" s="33">
        <v>2273</v>
      </c>
      <c r="CF22" s="33">
        <v>2273</v>
      </c>
      <c r="CG22" s="33">
        <v>2619</v>
      </c>
      <c r="CH22" s="33">
        <v>2045</v>
      </c>
      <c r="CI22" s="33">
        <v>2045</v>
      </c>
      <c r="CJ22" s="33">
        <v>2045</v>
      </c>
      <c r="CK22">
        <v>161</v>
      </c>
      <c r="CL22">
        <v>161</v>
      </c>
      <c r="CO22">
        <v>2006</v>
      </c>
      <c r="CP22">
        <v>0</v>
      </c>
      <c r="CQ22">
        <v>0</v>
      </c>
      <c r="CR22">
        <v>0</v>
      </c>
      <c r="CS22">
        <v>0</v>
      </c>
      <c r="CU22" t="s">
        <v>172</v>
      </c>
      <c r="CV22">
        <v>24</v>
      </c>
      <c r="CW22">
        <v>529</v>
      </c>
      <c r="CX22">
        <f t="shared" si="5"/>
        <v>553</v>
      </c>
      <c r="CY22">
        <f t="shared" si="7"/>
        <v>1317</v>
      </c>
      <c r="DA22" t="s">
        <v>172</v>
      </c>
      <c r="DB22">
        <v>15</v>
      </c>
      <c r="DC22">
        <v>415</v>
      </c>
      <c r="DD22">
        <f t="shared" si="6"/>
        <v>430</v>
      </c>
      <c r="DE22">
        <f t="shared" si="8"/>
        <v>892</v>
      </c>
      <c r="DG22" t="s">
        <v>231</v>
      </c>
      <c r="DH22" t="s">
        <v>267</v>
      </c>
      <c r="DI22">
        <f>AVERAGE(DI8:DI17)</f>
        <v>141</v>
      </c>
      <c r="DJ22">
        <f>AVERAGE(DJ8:DJ17)</f>
        <v>5476.2</v>
      </c>
      <c r="DK22">
        <f>AVERAGE(DK8:DK17)</f>
        <v>5617.2</v>
      </c>
      <c r="DL22" s="62"/>
      <c r="DM22" s="62"/>
    </row>
    <row r="23" spans="80:132" x14ac:dyDescent="0.3">
      <c r="CB23">
        <v>1995</v>
      </c>
      <c r="CC23">
        <v>799</v>
      </c>
      <c r="CD23">
        <v>898</v>
      </c>
      <c r="CE23" s="33">
        <v>1560</v>
      </c>
      <c r="CF23" s="33">
        <v>1560</v>
      </c>
      <c r="CG23" s="33">
        <v>1755</v>
      </c>
      <c r="CH23" s="33">
        <v>1569</v>
      </c>
      <c r="CI23" s="33">
        <v>1569</v>
      </c>
      <c r="CJ23" s="33">
        <v>1569</v>
      </c>
      <c r="CK23">
        <v>109</v>
      </c>
      <c r="CL23">
        <v>109</v>
      </c>
      <c r="CO23">
        <v>2007</v>
      </c>
      <c r="CP23">
        <v>0</v>
      </c>
      <c r="CQ23">
        <v>0</v>
      </c>
      <c r="CR23">
        <v>0</v>
      </c>
      <c r="CS23">
        <v>0</v>
      </c>
      <c r="CU23" t="s">
        <v>173</v>
      </c>
      <c r="CV23">
        <v>169</v>
      </c>
      <c r="CW23">
        <v>1111</v>
      </c>
      <c r="CX23">
        <f t="shared" si="5"/>
        <v>1280</v>
      </c>
      <c r="CY23">
        <f t="shared" si="7"/>
        <v>2597</v>
      </c>
      <c r="DA23" t="s">
        <v>173</v>
      </c>
      <c r="DB23">
        <v>117</v>
      </c>
      <c r="DC23">
        <v>595</v>
      </c>
      <c r="DD23">
        <f t="shared" si="6"/>
        <v>712</v>
      </c>
      <c r="DE23">
        <f t="shared" si="8"/>
        <v>1604</v>
      </c>
      <c r="DL23" s="62" t="s">
        <v>32</v>
      </c>
      <c r="DM23" s="62" t="s">
        <v>1</v>
      </c>
    </row>
    <row r="24" spans="80:132" x14ac:dyDescent="0.3">
      <c r="CB24">
        <v>1996</v>
      </c>
      <c r="CC24">
        <v>354</v>
      </c>
      <c r="CD24">
        <v>398</v>
      </c>
      <c r="CE24" s="33">
        <v>2180</v>
      </c>
      <c r="CF24" s="33">
        <v>2180</v>
      </c>
      <c r="CG24" s="33">
        <v>2452</v>
      </c>
      <c r="CH24" s="33">
        <v>1211</v>
      </c>
      <c r="CI24" s="33">
        <v>1211</v>
      </c>
      <c r="CJ24" s="33">
        <v>1211</v>
      </c>
      <c r="CK24">
        <v>195</v>
      </c>
      <c r="CL24">
        <v>195</v>
      </c>
      <c r="CO24">
        <v>2008</v>
      </c>
      <c r="CP24">
        <v>0</v>
      </c>
      <c r="CQ24">
        <v>0</v>
      </c>
      <c r="CR24">
        <v>0</v>
      </c>
      <c r="CS24">
        <v>0</v>
      </c>
      <c r="CU24" t="s">
        <v>174</v>
      </c>
      <c r="CV24">
        <v>0</v>
      </c>
      <c r="CW24">
        <v>948</v>
      </c>
      <c r="CX24">
        <f t="shared" si="5"/>
        <v>948</v>
      </c>
      <c r="CY24">
        <f t="shared" si="7"/>
        <v>3545</v>
      </c>
      <c r="DA24" t="s">
        <v>174</v>
      </c>
      <c r="DB24">
        <v>1</v>
      </c>
      <c r="DC24">
        <v>2007</v>
      </c>
      <c r="DD24">
        <f t="shared" si="6"/>
        <v>2008</v>
      </c>
      <c r="DE24">
        <f t="shared" si="8"/>
        <v>3612</v>
      </c>
      <c r="DI24" s="62" t="s">
        <v>202</v>
      </c>
      <c r="DJ24" s="62" t="s">
        <v>204</v>
      </c>
      <c r="DK24" s="62" t="s">
        <v>206</v>
      </c>
      <c r="DL24" s="70">
        <f>CK49</f>
        <v>4.4086658444925667E-2</v>
      </c>
    </row>
    <row r="25" spans="80:132" x14ac:dyDescent="0.3">
      <c r="CB25">
        <v>1997</v>
      </c>
      <c r="CC25">
        <v>525</v>
      </c>
      <c r="CD25">
        <v>590</v>
      </c>
      <c r="CE25" s="33">
        <v>1919</v>
      </c>
      <c r="CF25" s="33">
        <v>1919</v>
      </c>
      <c r="CG25" s="33">
        <v>-99</v>
      </c>
      <c r="CH25">
        <v>979</v>
      </c>
      <c r="CI25">
        <v>979</v>
      </c>
      <c r="CJ25">
        <v>979</v>
      </c>
      <c r="CK25">
        <v>253</v>
      </c>
      <c r="CL25">
        <v>253</v>
      </c>
      <c r="CO25">
        <v>2009</v>
      </c>
      <c r="CP25" s="62" t="s">
        <v>127</v>
      </c>
      <c r="CQ25" s="62" t="s">
        <v>127</v>
      </c>
      <c r="CR25" s="62" t="s">
        <v>127</v>
      </c>
      <c r="CS25" s="62" t="s">
        <v>127</v>
      </c>
      <c r="CU25" t="s">
        <v>175</v>
      </c>
      <c r="CV25">
        <v>0</v>
      </c>
      <c r="CW25">
        <v>1066</v>
      </c>
      <c r="CX25">
        <f t="shared" si="5"/>
        <v>1066</v>
      </c>
      <c r="CY25">
        <f t="shared" si="7"/>
        <v>4611</v>
      </c>
      <c r="DA25" t="s">
        <v>175</v>
      </c>
      <c r="DB25">
        <v>8</v>
      </c>
      <c r="DC25">
        <v>981</v>
      </c>
      <c r="DD25">
        <f t="shared" si="6"/>
        <v>989</v>
      </c>
      <c r="DE25">
        <f t="shared" si="8"/>
        <v>4601</v>
      </c>
      <c r="DI25" s="62" t="s">
        <v>203</v>
      </c>
      <c r="DJ25" s="62" t="s">
        <v>205</v>
      </c>
      <c r="DK25" s="62" t="s">
        <v>205</v>
      </c>
    </row>
    <row r="26" spans="80:132" x14ac:dyDescent="0.3">
      <c r="CB26">
        <v>1998</v>
      </c>
      <c r="CC26" s="33">
        <v>1256</v>
      </c>
      <c r="CD26" s="33">
        <v>1411</v>
      </c>
      <c r="CE26" s="33">
        <v>1970</v>
      </c>
      <c r="CF26" s="33">
        <v>1970</v>
      </c>
      <c r="CG26" s="33">
        <v>1410</v>
      </c>
      <c r="CH26" s="33">
        <v>1043</v>
      </c>
      <c r="CI26" s="33">
        <v>1043</v>
      </c>
      <c r="CJ26" s="33">
        <v>1043</v>
      </c>
      <c r="CK26">
        <v>358</v>
      </c>
      <c r="CL26">
        <v>358</v>
      </c>
      <c r="CO26">
        <v>2010</v>
      </c>
      <c r="CP26" s="62" t="s">
        <v>127</v>
      </c>
      <c r="CQ26" s="62" t="s">
        <v>127</v>
      </c>
      <c r="CR26" s="62" t="s">
        <v>127</v>
      </c>
      <c r="CS26" s="62" t="s">
        <v>127</v>
      </c>
      <c r="CU26" t="s">
        <v>176</v>
      </c>
      <c r="CV26">
        <v>0</v>
      </c>
      <c r="CW26">
        <v>304</v>
      </c>
      <c r="CX26">
        <f t="shared" si="5"/>
        <v>304</v>
      </c>
      <c r="CY26">
        <f t="shared" si="7"/>
        <v>4915</v>
      </c>
      <c r="DA26" t="s">
        <v>176</v>
      </c>
      <c r="DB26">
        <v>0</v>
      </c>
      <c r="DC26">
        <v>343</v>
      </c>
      <c r="DD26">
        <f t="shared" si="6"/>
        <v>343</v>
      </c>
      <c r="DE26">
        <f t="shared" si="8"/>
        <v>4944</v>
      </c>
      <c r="DH26" t="s">
        <v>207</v>
      </c>
      <c r="DI26" s="70">
        <f>CC49</f>
        <v>0.22760951261907769</v>
      </c>
      <c r="DJ26" s="70">
        <f>CE49</f>
        <v>0.42451373581021379</v>
      </c>
      <c r="DK26" s="70">
        <f>CH49</f>
        <v>0.30379009312578298</v>
      </c>
      <c r="DL26">
        <f t="shared" ref="DL26:DL35" si="9">ROUND($DL$24*DK10,0)</f>
        <v>124</v>
      </c>
      <c r="DM26">
        <f t="shared" ref="DM26:DM35" si="10">SUM(DI26:DL26)</f>
        <v>124.95591334155507</v>
      </c>
    </row>
    <row r="27" spans="80:132" x14ac:dyDescent="0.3">
      <c r="CB27">
        <v>1999</v>
      </c>
      <c r="CC27" s="33">
        <v>1079</v>
      </c>
      <c r="CD27" s="33">
        <v>1090</v>
      </c>
      <c r="CE27" s="33">
        <v>2211</v>
      </c>
      <c r="CF27" s="33">
        <v>2211</v>
      </c>
      <c r="CG27" s="33">
        <v>1111</v>
      </c>
      <c r="CH27" s="33">
        <v>1748</v>
      </c>
      <c r="CI27" s="33">
        <v>1748</v>
      </c>
      <c r="CJ27" s="33">
        <v>1748</v>
      </c>
      <c r="CK27">
        <v>264</v>
      </c>
      <c r="CL27">
        <v>264</v>
      </c>
      <c r="CO27">
        <v>2011</v>
      </c>
      <c r="CP27" s="62" t="s">
        <v>127</v>
      </c>
      <c r="CQ27" s="62" t="s">
        <v>127</v>
      </c>
      <c r="CR27" s="62" t="s">
        <v>127</v>
      </c>
      <c r="CS27" s="62" t="s">
        <v>127</v>
      </c>
      <c r="CU27" s="43" t="s">
        <v>1</v>
      </c>
      <c r="CV27" s="43">
        <f>SUM(CV20:CV26)</f>
        <v>216</v>
      </c>
      <c r="CW27" s="43">
        <f>SUM(CW20:CW26)</f>
        <v>4699</v>
      </c>
      <c r="CX27" s="43">
        <f>SUM(CX20:CX26)</f>
        <v>4915</v>
      </c>
      <c r="DA27" s="43" t="s">
        <v>1</v>
      </c>
      <c r="DB27" s="43">
        <f>SUM(DB20:DB26)</f>
        <v>146</v>
      </c>
      <c r="DC27" s="43">
        <f>SUM(DC20:DC26)</f>
        <v>4798</v>
      </c>
      <c r="DD27" s="43">
        <f>SUM(DD20:DD26)</f>
        <v>4944</v>
      </c>
      <c r="DL27">
        <f t="shared" si="9"/>
        <v>323</v>
      </c>
      <c r="DM27">
        <f t="shared" si="10"/>
        <v>323</v>
      </c>
    </row>
    <row r="28" spans="80:132" x14ac:dyDescent="0.3">
      <c r="CB28">
        <v>2000</v>
      </c>
      <c r="CC28" s="33">
        <v>1898</v>
      </c>
      <c r="CD28" s="33">
        <v>1898</v>
      </c>
      <c r="CE28" s="33">
        <v>2437</v>
      </c>
      <c r="CF28" s="33">
        <v>2437</v>
      </c>
      <c r="CG28" s="33">
        <v>1431</v>
      </c>
      <c r="CH28" s="33">
        <v>1608</v>
      </c>
      <c r="CI28" s="33">
        <v>1608</v>
      </c>
      <c r="CJ28" s="33">
        <v>1608</v>
      </c>
      <c r="CK28">
        <v>225</v>
      </c>
      <c r="CL28">
        <v>225</v>
      </c>
      <c r="CO28">
        <v>2012</v>
      </c>
      <c r="CP28" s="62" t="s">
        <v>127</v>
      </c>
      <c r="CQ28" s="62" t="s">
        <v>127</v>
      </c>
      <c r="CR28" s="62" t="s">
        <v>127</v>
      </c>
      <c r="CS28" s="62" t="s">
        <v>127</v>
      </c>
      <c r="DH28" t="s">
        <v>199</v>
      </c>
      <c r="DI28">
        <f t="shared" ref="DI28:DI37" si="11">ROUND($DI$26*DK10,0)</f>
        <v>640</v>
      </c>
      <c r="DJ28">
        <f t="shared" ref="DJ28:DJ37" si="12">ROUND($DJ$26*DK10,0)</f>
        <v>1194</v>
      </c>
      <c r="DK28">
        <f>ROUND($DK$26*DK10,0)</f>
        <v>855</v>
      </c>
      <c r="DL28">
        <f t="shared" si="9"/>
        <v>328</v>
      </c>
      <c r="DM28">
        <f t="shared" si="10"/>
        <v>3017</v>
      </c>
    </row>
    <row r="29" spans="80:132" x14ac:dyDescent="0.3">
      <c r="CB29">
        <v>2001</v>
      </c>
      <c r="CC29" s="33">
        <v>1654</v>
      </c>
      <c r="CD29" s="33">
        <v>1654</v>
      </c>
      <c r="CE29" s="33">
        <v>3375</v>
      </c>
      <c r="CF29" s="33">
        <v>3375</v>
      </c>
      <c r="CG29" s="33">
        <v>3641</v>
      </c>
      <c r="CH29" s="33">
        <v>3268</v>
      </c>
      <c r="CI29" s="33">
        <v>3268</v>
      </c>
      <c r="CJ29" s="33">
        <v>3268</v>
      </c>
      <c r="CK29">
        <v>446</v>
      </c>
      <c r="CL29">
        <v>446</v>
      </c>
      <c r="CO29">
        <v>2013</v>
      </c>
      <c r="CP29" s="62" t="s">
        <v>127</v>
      </c>
      <c r="CQ29" s="62" t="s">
        <v>127</v>
      </c>
      <c r="CR29" s="62" t="s">
        <v>127</v>
      </c>
      <c r="CS29" s="62" t="s">
        <v>127</v>
      </c>
      <c r="CV29" s="237" t="s">
        <v>265</v>
      </c>
      <c r="CW29" s="237"/>
      <c r="CX29" s="237"/>
      <c r="CY29" s="237"/>
      <c r="CZ29" s="32"/>
      <c r="DB29" s="237" t="s">
        <v>178</v>
      </c>
      <c r="DC29" s="237"/>
      <c r="DD29" s="237"/>
      <c r="DE29" s="237"/>
      <c r="DF29" s="32"/>
      <c r="DH29" t="s">
        <v>198</v>
      </c>
      <c r="DI29">
        <f t="shared" si="11"/>
        <v>1670</v>
      </c>
      <c r="DJ29">
        <f t="shared" si="12"/>
        <v>3115</v>
      </c>
      <c r="DK29">
        <f>ROUND($DK$26*DK11,0)</f>
        <v>2229</v>
      </c>
      <c r="DL29">
        <f t="shared" si="9"/>
        <v>336</v>
      </c>
      <c r="DM29">
        <f t="shared" si="10"/>
        <v>7350</v>
      </c>
    </row>
    <row r="30" spans="80:132" x14ac:dyDescent="0.3">
      <c r="CB30">
        <v>2002</v>
      </c>
      <c r="CC30" s="33">
        <v>2476</v>
      </c>
      <c r="CD30" s="33">
        <v>2476</v>
      </c>
      <c r="CE30" s="33">
        <v>3227</v>
      </c>
      <c r="CF30" s="33">
        <v>3227</v>
      </c>
      <c r="CG30" s="33">
        <v>2694</v>
      </c>
      <c r="CH30" s="33">
        <v>2282</v>
      </c>
      <c r="CI30" s="33">
        <v>2282</v>
      </c>
      <c r="CJ30" s="33">
        <v>2282</v>
      </c>
      <c r="CK30">
        <v>351</v>
      </c>
      <c r="CL30">
        <v>351</v>
      </c>
      <c r="CO30">
        <v>2014</v>
      </c>
      <c r="CP30" s="62" t="s">
        <v>127</v>
      </c>
      <c r="CQ30" s="62" t="s">
        <v>127</v>
      </c>
      <c r="CR30" s="62" t="s">
        <v>127</v>
      </c>
      <c r="CS30" s="62" t="s">
        <v>127</v>
      </c>
      <c r="CU30" t="s">
        <v>166</v>
      </c>
      <c r="CV30" s="62" t="s">
        <v>167</v>
      </c>
      <c r="CW30" s="62" t="s">
        <v>168</v>
      </c>
      <c r="CX30" s="62" t="s">
        <v>1</v>
      </c>
      <c r="CY30" s="62" t="s">
        <v>169</v>
      </c>
      <c r="CZ30" s="62"/>
      <c r="DA30" t="s">
        <v>166</v>
      </c>
      <c r="DB30" s="62" t="s">
        <v>167</v>
      </c>
      <c r="DC30" s="62" t="s">
        <v>168</v>
      </c>
      <c r="DD30" s="62" t="s">
        <v>1</v>
      </c>
      <c r="DE30" s="62" t="s">
        <v>169</v>
      </c>
      <c r="DF30" s="62"/>
      <c r="DH30" t="s">
        <v>197</v>
      </c>
      <c r="DI30">
        <f t="shared" si="11"/>
        <v>1694</v>
      </c>
      <c r="DJ30">
        <f t="shared" si="12"/>
        <v>3159</v>
      </c>
      <c r="DK30">
        <f>ROUND($DK$26*DK12,0)-1</f>
        <v>2260</v>
      </c>
      <c r="DL30">
        <f t="shared" si="9"/>
        <v>218</v>
      </c>
      <c r="DM30">
        <f t="shared" si="10"/>
        <v>7331</v>
      </c>
    </row>
    <row r="31" spans="80:132" x14ac:dyDescent="0.3">
      <c r="CB31">
        <v>2003</v>
      </c>
      <c r="CC31" s="33">
        <v>1707</v>
      </c>
      <c r="CD31" s="33">
        <v>1707</v>
      </c>
      <c r="CE31" s="33">
        <v>4013</v>
      </c>
      <c r="CF31" s="33">
        <v>4013</v>
      </c>
      <c r="CG31" s="33">
        <v>1261</v>
      </c>
      <c r="CH31" s="33">
        <v>2033</v>
      </c>
      <c r="CI31" s="33">
        <v>2033</v>
      </c>
      <c r="CJ31" s="33">
        <v>2033</v>
      </c>
      <c r="CK31">
        <v>458</v>
      </c>
      <c r="CL31">
        <v>458</v>
      </c>
      <c r="CO31">
        <v>2015</v>
      </c>
      <c r="CP31" s="62" t="s">
        <v>127</v>
      </c>
      <c r="CQ31" s="62" t="s">
        <v>127</v>
      </c>
      <c r="CR31" s="62" t="s">
        <v>127</v>
      </c>
      <c r="CS31" s="62" t="s">
        <v>127</v>
      </c>
      <c r="DH31" t="s">
        <v>190</v>
      </c>
      <c r="DI31">
        <f t="shared" si="11"/>
        <v>1733</v>
      </c>
      <c r="DJ31">
        <f t="shared" si="12"/>
        <v>3233</v>
      </c>
      <c r="DK31">
        <f t="shared" ref="DK31:DK37" si="13">ROUND($DK$26*DK13,0)</f>
        <v>2314</v>
      </c>
      <c r="DL31">
        <f t="shared" si="9"/>
        <v>236</v>
      </c>
      <c r="DM31">
        <f t="shared" si="10"/>
        <v>7516</v>
      </c>
      <c r="DU31" s="62" t="s">
        <v>188</v>
      </c>
      <c r="DV31" s="62" t="s">
        <v>29</v>
      </c>
      <c r="DW31" s="62" t="s">
        <v>216</v>
      </c>
      <c r="DX31" s="62" t="s">
        <v>215</v>
      </c>
      <c r="DY31" s="62" t="s">
        <v>32</v>
      </c>
      <c r="DZ31" s="62" t="s">
        <v>1</v>
      </c>
      <c r="EA31" s="62" t="s">
        <v>217</v>
      </c>
      <c r="EB31" s="62" t="s">
        <v>218</v>
      </c>
    </row>
    <row r="32" spans="80:132" x14ac:dyDescent="0.3">
      <c r="CB32">
        <v>2004</v>
      </c>
      <c r="CC32" s="33">
        <v>1987</v>
      </c>
      <c r="CD32" s="33">
        <v>1987</v>
      </c>
      <c r="CE32" s="33">
        <v>3863</v>
      </c>
      <c r="CF32" s="33">
        <v>3863</v>
      </c>
      <c r="CG32" s="33">
        <v>3147</v>
      </c>
      <c r="CH32" s="33">
        <v>3546</v>
      </c>
      <c r="CI32" s="33">
        <v>3546</v>
      </c>
      <c r="CJ32" s="33">
        <v>3546</v>
      </c>
      <c r="CK32">
        <v>684</v>
      </c>
      <c r="CL32">
        <v>684</v>
      </c>
      <c r="CO32">
        <v>2016</v>
      </c>
      <c r="CP32" s="62" t="s">
        <v>127</v>
      </c>
      <c r="CQ32" s="62" t="s">
        <v>127</v>
      </c>
      <c r="CR32" s="62" t="s">
        <v>127</v>
      </c>
      <c r="CS32" s="62" t="s">
        <v>127</v>
      </c>
      <c r="CU32" t="s">
        <v>170</v>
      </c>
      <c r="CV32">
        <v>14</v>
      </c>
      <c r="CW32">
        <v>140</v>
      </c>
      <c r="CX32">
        <f t="shared" ref="CX32:CX38" si="14">SUM(CV32:CW32)</f>
        <v>154</v>
      </c>
      <c r="CY32">
        <f>CX32</f>
        <v>154</v>
      </c>
      <c r="DA32" t="s">
        <v>170</v>
      </c>
      <c r="DB32">
        <v>12</v>
      </c>
      <c r="DC32">
        <v>76</v>
      </c>
      <c r="DD32">
        <f t="shared" ref="DD32:DD38" si="15">SUM(DB32:DC32)</f>
        <v>88</v>
      </c>
      <c r="DE32">
        <f>DD32</f>
        <v>88</v>
      </c>
      <c r="DH32" t="s">
        <v>191</v>
      </c>
      <c r="DI32">
        <f t="shared" si="11"/>
        <v>1125</v>
      </c>
      <c r="DJ32">
        <f t="shared" si="12"/>
        <v>2099</v>
      </c>
      <c r="DK32">
        <f t="shared" si="13"/>
        <v>1502</v>
      </c>
      <c r="DL32">
        <f t="shared" si="9"/>
        <v>199</v>
      </c>
      <c r="DM32">
        <f t="shared" si="10"/>
        <v>4925</v>
      </c>
      <c r="DU32">
        <v>2007</v>
      </c>
      <c r="DV32">
        <v>1047</v>
      </c>
      <c r="DW32">
        <v>661</v>
      </c>
      <c r="DX32">
        <v>1314</v>
      </c>
      <c r="DY32">
        <v>216</v>
      </c>
      <c r="DZ32">
        <f>SUM(DV32:DY32)</f>
        <v>3238</v>
      </c>
    </row>
    <row r="33" spans="49:132" x14ac:dyDescent="0.3">
      <c r="CB33">
        <v>2005</v>
      </c>
      <c r="CC33" s="33">
        <v>1388</v>
      </c>
      <c r="CD33" s="33">
        <v>1388</v>
      </c>
      <c r="CE33" s="33">
        <v>1650</v>
      </c>
      <c r="CF33" s="33">
        <v>1650</v>
      </c>
      <c r="CG33" s="33">
        <v>1677</v>
      </c>
      <c r="CH33" s="33">
        <v>1519</v>
      </c>
      <c r="CI33" s="33">
        <v>1519</v>
      </c>
      <c r="CJ33" s="33">
        <v>1519</v>
      </c>
      <c r="CK33">
        <v>140</v>
      </c>
      <c r="CL33">
        <v>140</v>
      </c>
      <c r="CO33">
        <v>2017</v>
      </c>
      <c r="CP33" s="62" t="s">
        <v>127</v>
      </c>
      <c r="CQ33" s="62" t="s">
        <v>127</v>
      </c>
      <c r="CR33" s="62" t="s">
        <v>127</v>
      </c>
      <c r="CS33" s="62" t="s">
        <v>127</v>
      </c>
      <c r="CT33" s="33"/>
      <c r="CU33" t="s">
        <v>171</v>
      </c>
      <c r="CV33">
        <v>77</v>
      </c>
      <c r="CW33">
        <v>0</v>
      </c>
      <c r="CX33">
        <f t="shared" si="14"/>
        <v>77</v>
      </c>
      <c r="CY33">
        <f t="shared" ref="CY33:CY38" si="16">CY32+CX33</f>
        <v>231</v>
      </c>
      <c r="DA33" t="s">
        <v>171</v>
      </c>
      <c r="DB33">
        <v>1</v>
      </c>
      <c r="DC33">
        <v>117</v>
      </c>
      <c r="DD33">
        <f t="shared" si="15"/>
        <v>118</v>
      </c>
      <c r="DE33">
        <f t="shared" ref="DE33:DE38" si="17">DE32+DD33</f>
        <v>206</v>
      </c>
      <c r="DH33" t="s">
        <v>192</v>
      </c>
      <c r="DI33">
        <f t="shared" si="11"/>
        <v>1217</v>
      </c>
      <c r="DJ33">
        <f t="shared" si="12"/>
        <v>2271</v>
      </c>
      <c r="DK33">
        <f t="shared" si="13"/>
        <v>1625</v>
      </c>
      <c r="DL33">
        <f t="shared" si="9"/>
        <v>255</v>
      </c>
      <c r="DM33">
        <f t="shared" si="10"/>
        <v>5368</v>
      </c>
      <c r="DU33">
        <v>2008</v>
      </c>
      <c r="DV33">
        <v>913</v>
      </c>
      <c r="DW33">
        <v>374</v>
      </c>
      <c r="DX33">
        <v>953</v>
      </c>
      <c r="DY33">
        <v>297</v>
      </c>
      <c r="DZ33">
        <f t="shared" ref="DZ33:DZ42" si="18">SUM(DV33:DY33)</f>
        <v>2537</v>
      </c>
      <c r="EB33" s="73"/>
    </row>
    <row r="34" spans="49:132" x14ac:dyDescent="0.3">
      <c r="CB34">
        <v>2006</v>
      </c>
      <c r="CC34" s="33">
        <v>1433</v>
      </c>
      <c r="CD34" s="33">
        <v>1433</v>
      </c>
      <c r="CE34" s="33">
        <v>2965</v>
      </c>
      <c r="CF34" s="33">
        <v>2965</v>
      </c>
      <c r="CG34" s="33">
        <v>-99</v>
      </c>
      <c r="CH34" s="33">
        <v>1805</v>
      </c>
      <c r="CI34" s="33">
        <v>1805</v>
      </c>
      <c r="CJ34" s="33">
        <v>1805</v>
      </c>
      <c r="CK34">
        <v>257</v>
      </c>
      <c r="CL34">
        <v>257</v>
      </c>
      <c r="CO34">
        <v>2018</v>
      </c>
      <c r="CP34" s="62" t="s">
        <v>127</v>
      </c>
      <c r="CQ34" s="62" t="s">
        <v>127</v>
      </c>
      <c r="CR34" s="62" t="s">
        <v>127</v>
      </c>
      <c r="CS34" s="62" t="s">
        <v>127</v>
      </c>
      <c r="CU34" t="s">
        <v>172</v>
      </c>
      <c r="CV34">
        <v>19</v>
      </c>
      <c r="CW34">
        <v>291</v>
      </c>
      <c r="CX34">
        <f t="shared" si="14"/>
        <v>310</v>
      </c>
      <c r="CY34">
        <f t="shared" si="16"/>
        <v>541</v>
      </c>
      <c r="DA34" t="s">
        <v>172</v>
      </c>
      <c r="DB34">
        <v>2</v>
      </c>
      <c r="DC34">
        <v>500</v>
      </c>
      <c r="DD34">
        <f t="shared" si="15"/>
        <v>502</v>
      </c>
      <c r="DE34">
        <f t="shared" si="17"/>
        <v>708</v>
      </c>
      <c r="DH34" t="s">
        <v>193</v>
      </c>
      <c r="DI34">
        <f t="shared" si="11"/>
        <v>1025</v>
      </c>
      <c r="DJ34">
        <f t="shared" si="12"/>
        <v>1912</v>
      </c>
      <c r="DK34">
        <f t="shared" si="13"/>
        <v>1369</v>
      </c>
      <c r="DL34">
        <f t="shared" si="9"/>
        <v>36</v>
      </c>
      <c r="DM34">
        <f t="shared" si="10"/>
        <v>4342</v>
      </c>
      <c r="DU34">
        <v>2009</v>
      </c>
      <c r="DV34">
        <v>846</v>
      </c>
      <c r="DW34">
        <v>351</v>
      </c>
      <c r="DX34">
        <v>81</v>
      </c>
      <c r="DY34">
        <v>36</v>
      </c>
      <c r="DZ34">
        <f t="shared" si="18"/>
        <v>1314</v>
      </c>
      <c r="EA34">
        <f t="shared" ref="EA34:EA41" si="19">DM26</f>
        <v>124.95591334155507</v>
      </c>
      <c r="EB34" s="73">
        <f t="shared" ref="EB34:EB41" si="20">DZ34/EA34</f>
        <v>10.515708819704324</v>
      </c>
    </row>
    <row r="35" spans="49:132" x14ac:dyDescent="0.3">
      <c r="CB35">
        <v>2007</v>
      </c>
      <c r="CC35" s="33">
        <v>1341</v>
      </c>
      <c r="CD35" s="33">
        <v>1341</v>
      </c>
      <c r="CE35" s="33">
        <v>2863</v>
      </c>
      <c r="CF35" s="33">
        <v>2863</v>
      </c>
      <c r="CG35" s="33">
        <v>-99</v>
      </c>
      <c r="CH35" s="33">
        <v>1535</v>
      </c>
      <c r="CI35" s="33">
        <v>1535</v>
      </c>
      <c r="CJ35" s="33">
        <v>1535</v>
      </c>
      <c r="CK35">
        <v>245</v>
      </c>
      <c r="CL35">
        <v>245</v>
      </c>
      <c r="CU35" t="s">
        <v>173</v>
      </c>
      <c r="CV35">
        <v>24</v>
      </c>
      <c r="CW35">
        <v>444</v>
      </c>
      <c r="CX35">
        <f t="shared" si="14"/>
        <v>468</v>
      </c>
      <c r="CY35">
        <f t="shared" si="16"/>
        <v>1009</v>
      </c>
      <c r="DA35" t="s">
        <v>173</v>
      </c>
      <c r="DB35">
        <v>0</v>
      </c>
      <c r="DC35">
        <v>320</v>
      </c>
      <c r="DD35">
        <f t="shared" si="15"/>
        <v>320</v>
      </c>
      <c r="DE35">
        <f t="shared" si="17"/>
        <v>1028</v>
      </c>
      <c r="DH35" t="s">
        <v>194</v>
      </c>
      <c r="DI35">
        <f t="shared" si="11"/>
        <v>1315</v>
      </c>
      <c r="DJ35">
        <f t="shared" si="12"/>
        <v>2453</v>
      </c>
      <c r="DK35">
        <f t="shared" si="13"/>
        <v>1755</v>
      </c>
      <c r="DL35">
        <f t="shared" si="9"/>
        <v>81</v>
      </c>
      <c r="DM35">
        <f t="shared" si="10"/>
        <v>5604</v>
      </c>
      <c r="DU35">
        <v>2010</v>
      </c>
      <c r="DV35">
        <v>2120</v>
      </c>
      <c r="DW35">
        <v>1437</v>
      </c>
      <c r="DX35">
        <v>393</v>
      </c>
      <c r="DY35">
        <v>143</v>
      </c>
      <c r="DZ35">
        <f t="shared" si="18"/>
        <v>4093</v>
      </c>
      <c r="EA35">
        <f t="shared" si="19"/>
        <v>323</v>
      </c>
      <c r="EB35" s="73">
        <f t="shared" si="20"/>
        <v>12.671826625386997</v>
      </c>
    </row>
    <row r="36" spans="49:132" x14ac:dyDescent="0.3">
      <c r="CB36">
        <v>2008</v>
      </c>
      <c r="CC36" s="33">
        <v>1273</v>
      </c>
      <c r="CD36" s="33">
        <v>1273</v>
      </c>
      <c r="CE36" s="33">
        <v>2789</v>
      </c>
      <c r="CF36" s="33">
        <v>2789</v>
      </c>
      <c r="CG36" s="33">
        <v>-99</v>
      </c>
      <c r="CH36" s="33">
        <v>1534</v>
      </c>
      <c r="CI36" s="33">
        <v>1534</v>
      </c>
      <c r="CJ36" s="33">
        <v>1534</v>
      </c>
      <c r="CK36">
        <v>236</v>
      </c>
      <c r="CL36">
        <v>236</v>
      </c>
      <c r="CU36" t="s">
        <v>174</v>
      </c>
      <c r="CV36">
        <v>1</v>
      </c>
      <c r="CW36">
        <v>940</v>
      </c>
      <c r="CX36">
        <f t="shared" si="14"/>
        <v>941</v>
      </c>
      <c r="CY36">
        <f t="shared" si="16"/>
        <v>1950</v>
      </c>
      <c r="DA36" t="s">
        <v>174</v>
      </c>
      <c r="DB36">
        <v>0</v>
      </c>
      <c r="DC36">
        <v>2013</v>
      </c>
      <c r="DD36">
        <f t="shared" si="15"/>
        <v>2013</v>
      </c>
      <c r="DE36">
        <f t="shared" si="17"/>
        <v>3041</v>
      </c>
      <c r="DH36" t="s">
        <v>195</v>
      </c>
      <c r="DI36">
        <f t="shared" si="11"/>
        <v>187</v>
      </c>
      <c r="DJ36">
        <f t="shared" si="12"/>
        <v>349</v>
      </c>
      <c r="DK36">
        <f t="shared" si="13"/>
        <v>249</v>
      </c>
      <c r="DU36">
        <v>2011</v>
      </c>
      <c r="DV36">
        <v>1560</v>
      </c>
      <c r="DW36">
        <v>1335</v>
      </c>
      <c r="DX36">
        <v>1109</v>
      </c>
      <c r="DY36">
        <v>180</v>
      </c>
      <c r="DZ36">
        <f t="shared" si="18"/>
        <v>4184</v>
      </c>
      <c r="EA36">
        <f t="shared" si="19"/>
        <v>3017</v>
      </c>
      <c r="EB36" s="73">
        <f t="shared" si="20"/>
        <v>1.3868080875041431</v>
      </c>
    </row>
    <row r="37" spans="49:132" x14ac:dyDescent="0.3">
      <c r="CB37">
        <v>2009</v>
      </c>
      <c r="CC37" s="62" t="s">
        <v>127</v>
      </c>
      <c r="CD37" s="62"/>
      <c r="CE37" s="62" t="s">
        <v>127</v>
      </c>
      <c r="CF37" s="62"/>
      <c r="CG37" s="62">
        <v>-99</v>
      </c>
      <c r="CH37" s="62" t="s">
        <v>127</v>
      </c>
      <c r="CI37" s="62"/>
      <c r="CJ37" s="62">
        <v>192</v>
      </c>
      <c r="CK37" s="62" t="s">
        <v>127</v>
      </c>
      <c r="CL37" s="62"/>
      <c r="CU37" t="s">
        <v>175</v>
      </c>
      <c r="CV37">
        <v>0</v>
      </c>
      <c r="CW37">
        <v>528</v>
      </c>
      <c r="CX37">
        <f t="shared" si="14"/>
        <v>528</v>
      </c>
      <c r="CY37">
        <f t="shared" si="16"/>
        <v>2478</v>
      </c>
      <c r="DA37" t="s">
        <v>175</v>
      </c>
      <c r="DB37">
        <v>0</v>
      </c>
      <c r="DC37">
        <v>1625</v>
      </c>
      <c r="DD37">
        <f t="shared" si="15"/>
        <v>1625</v>
      </c>
      <c r="DE37">
        <f t="shared" si="17"/>
        <v>4666</v>
      </c>
      <c r="DH37" t="s">
        <v>196</v>
      </c>
      <c r="DI37">
        <f t="shared" si="11"/>
        <v>416</v>
      </c>
      <c r="DJ37">
        <f t="shared" si="12"/>
        <v>776</v>
      </c>
      <c r="DK37">
        <f t="shared" si="13"/>
        <v>556</v>
      </c>
      <c r="DL37" s="69">
        <f>GEOMEAN(DL26:DL35)</f>
        <v>178.91166614262698</v>
      </c>
      <c r="DM37" s="62" t="s">
        <v>209</v>
      </c>
      <c r="DU37">
        <v>2012</v>
      </c>
      <c r="DV37">
        <v>1779</v>
      </c>
      <c r="DW37">
        <v>1141</v>
      </c>
      <c r="DX37">
        <v>1107</v>
      </c>
      <c r="DY37">
        <v>278</v>
      </c>
      <c r="DZ37">
        <f t="shared" si="18"/>
        <v>4305</v>
      </c>
      <c r="EA37">
        <f t="shared" si="19"/>
        <v>7350</v>
      </c>
      <c r="EB37" s="73">
        <f t="shared" si="20"/>
        <v>0.58571428571428574</v>
      </c>
    </row>
    <row r="38" spans="49:132" x14ac:dyDescent="0.3">
      <c r="CB38">
        <v>2010</v>
      </c>
      <c r="CC38" s="62" t="s">
        <v>127</v>
      </c>
      <c r="CD38" s="62"/>
      <c r="CE38" s="62" t="s">
        <v>127</v>
      </c>
      <c r="CF38" s="62"/>
      <c r="CG38" s="62">
        <v>1164</v>
      </c>
      <c r="CH38" s="62" t="s">
        <v>127</v>
      </c>
      <c r="CI38" s="62"/>
      <c r="CJ38" s="62">
        <v>426</v>
      </c>
      <c r="CK38" s="62" t="s">
        <v>127</v>
      </c>
      <c r="CL38" s="62"/>
      <c r="CU38" t="s">
        <v>176</v>
      </c>
      <c r="CV38">
        <v>0</v>
      </c>
      <c r="CW38">
        <v>335</v>
      </c>
      <c r="CX38">
        <f t="shared" si="14"/>
        <v>335</v>
      </c>
      <c r="CY38">
        <f t="shared" si="16"/>
        <v>2813</v>
      </c>
      <c r="DA38" t="s">
        <v>176</v>
      </c>
      <c r="DB38">
        <v>0</v>
      </c>
      <c r="DC38">
        <v>683</v>
      </c>
      <c r="DD38">
        <f t="shared" si="15"/>
        <v>683</v>
      </c>
      <c r="DE38">
        <f t="shared" si="17"/>
        <v>5349</v>
      </c>
      <c r="DL38" s="69">
        <f>GEOMEAN(DL26:DL33)</f>
        <v>241.37922316059306</v>
      </c>
      <c r="DM38" s="62" t="s">
        <v>219</v>
      </c>
      <c r="DU38">
        <v>2013</v>
      </c>
      <c r="DV38">
        <v>944</v>
      </c>
      <c r="DW38">
        <v>652</v>
      </c>
      <c r="DX38">
        <v>1139</v>
      </c>
      <c r="DY38">
        <v>95</v>
      </c>
      <c r="DZ38">
        <f t="shared" si="18"/>
        <v>2830</v>
      </c>
      <c r="EA38">
        <f t="shared" si="19"/>
        <v>7331</v>
      </c>
      <c r="EB38" s="73">
        <f t="shared" si="20"/>
        <v>0.38603191924703317</v>
      </c>
    </row>
    <row r="39" spans="49:132" x14ac:dyDescent="0.3">
      <c r="CB39">
        <v>2011</v>
      </c>
      <c r="CC39" s="62" t="s">
        <v>127</v>
      </c>
      <c r="CD39" s="62"/>
      <c r="CE39" s="62" t="s">
        <v>127</v>
      </c>
      <c r="CF39" s="62"/>
      <c r="CG39" s="62">
        <v>1418</v>
      </c>
      <c r="CH39" s="62" t="s">
        <v>127</v>
      </c>
      <c r="CI39" s="62"/>
      <c r="CJ39" s="62">
        <v>315</v>
      </c>
      <c r="CK39" s="62" t="s">
        <v>127</v>
      </c>
      <c r="CL39" s="62"/>
      <c r="CU39" s="43" t="s">
        <v>1</v>
      </c>
      <c r="CV39" s="43">
        <f>SUM(CV32:CV38)</f>
        <v>135</v>
      </c>
      <c r="CW39" s="43">
        <f>SUM(CW32:CW38)</f>
        <v>2678</v>
      </c>
      <c r="CX39" s="43">
        <f>SUM(CX32:CX38)</f>
        <v>2813</v>
      </c>
      <c r="CY39" s="43"/>
      <c r="CZ39" s="43"/>
      <c r="DA39" s="43" t="s">
        <v>1</v>
      </c>
      <c r="DB39" s="43">
        <f>SUM(DB32:DB38)</f>
        <v>15</v>
      </c>
      <c r="DC39" s="43">
        <f>SUM(DC32:DC38)</f>
        <v>5334</v>
      </c>
      <c r="DD39" s="43">
        <f>SUM(DD32:DD38)</f>
        <v>5349</v>
      </c>
      <c r="DE39" s="43"/>
      <c r="DF39" s="43"/>
      <c r="DH39" t="s">
        <v>208</v>
      </c>
      <c r="DI39" s="69">
        <f>GEOMEAN(DI28:DI37)</f>
        <v>923.34416063299</v>
      </c>
      <c r="DJ39" s="69">
        <f>GEOMEAN(DJ28:DJ37)</f>
        <v>1722.5505934971429</v>
      </c>
      <c r="DK39" s="69">
        <f>GEOMEAN(DK28:DK37)</f>
        <v>1232.544472134251</v>
      </c>
      <c r="DU39">
        <v>2014</v>
      </c>
      <c r="DV39">
        <v>1126</v>
      </c>
      <c r="DW39">
        <v>819</v>
      </c>
      <c r="DX39">
        <v>833</v>
      </c>
      <c r="DY39">
        <v>267</v>
      </c>
      <c r="DZ39">
        <f t="shared" si="18"/>
        <v>3045</v>
      </c>
      <c r="EA39">
        <f t="shared" si="19"/>
        <v>7516</v>
      </c>
      <c r="EB39" s="73">
        <f t="shared" si="20"/>
        <v>0.40513571048430014</v>
      </c>
    </row>
    <row r="40" spans="49:132" x14ac:dyDescent="0.3">
      <c r="CB40">
        <v>2012</v>
      </c>
      <c r="CC40" s="62" t="s">
        <v>127</v>
      </c>
      <c r="CD40" s="62"/>
      <c r="CE40" s="62" t="s">
        <v>127</v>
      </c>
      <c r="CF40" s="62"/>
      <c r="CG40" s="62">
        <v>1894</v>
      </c>
      <c r="CH40" s="62" t="s">
        <v>127</v>
      </c>
      <c r="CI40" s="62"/>
      <c r="CJ40" s="62">
        <v>327</v>
      </c>
      <c r="CK40" s="62" t="s">
        <v>127</v>
      </c>
      <c r="CL40" s="62"/>
      <c r="DH40" t="s">
        <v>208</v>
      </c>
      <c r="DI40" s="69">
        <f>GEOMEAN(DI28:DI35)</f>
        <v>1245.4825339909478</v>
      </c>
      <c r="DJ40" s="69">
        <f>GEOMEAN(DJ28:DJ35)</f>
        <v>2323.4273090737788</v>
      </c>
      <c r="DK40" s="69">
        <f>GEOMEAN(DK28:DK35)</f>
        <v>1662.8151796854881</v>
      </c>
      <c r="DU40">
        <v>2015</v>
      </c>
      <c r="DV40">
        <v>1107</v>
      </c>
      <c r="DW40">
        <v>412</v>
      </c>
      <c r="DX40">
        <v>828</v>
      </c>
      <c r="DY40">
        <v>219</v>
      </c>
      <c r="DZ40">
        <f t="shared" si="18"/>
        <v>2566</v>
      </c>
      <c r="EA40">
        <f t="shared" si="19"/>
        <v>4925</v>
      </c>
      <c r="EB40" s="73">
        <f t="shared" si="20"/>
        <v>0.52101522842639592</v>
      </c>
    </row>
    <row r="41" spans="49:132" x14ac:dyDescent="0.3">
      <c r="CB41">
        <v>2013</v>
      </c>
      <c r="CC41" s="62" t="s">
        <v>127</v>
      </c>
      <c r="CD41" s="62"/>
      <c r="CE41" s="62" t="s">
        <v>127</v>
      </c>
      <c r="CF41" s="62"/>
      <c r="CG41" s="62">
        <v>727</v>
      </c>
      <c r="CH41" s="62" t="s">
        <v>127</v>
      </c>
      <c r="CI41" s="62"/>
      <c r="CJ41" s="62">
        <v>286</v>
      </c>
      <c r="CK41" s="62" t="s">
        <v>127</v>
      </c>
      <c r="CL41" s="62"/>
      <c r="CV41" s="237" t="s">
        <v>266</v>
      </c>
      <c r="CW41" s="237"/>
      <c r="CX41" s="237"/>
      <c r="CY41" s="237"/>
      <c r="CZ41" s="32"/>
      <c r="DB41" s="237" t="s">
        <v>179</v>
      </c>
      <c r="DC41" s="237"/>
      <c r="DD41" s="237"/>
      <c r="DE41" s="237"/>
      <c r="DF41" s="32"/>
      <c r="DU41">
        <v>2016</v>
      </c>
      <c r="DV41">
        <v>1427</v>
      </c>
      <c r="DW41">
        <v>587</v>
      </c>
      <c r="DX41">
        <v>949</v>
      </c>
      <c r="DY41">
        <v>331</v>
      </c>
      <c r="DZ41">
        <f t="shared" si="18"/>
        <v>3294</v>
      </c>
      <c r="EA41">
        <f t="shared" si="19"/>
        <v>5368</v>
      </c>
      <c r="EB41" s="73">
        <f t="shared" si="20"/>
        <v>0.61363636363636365</v>
      </c>
    </row>
    <row r="42" spans="49:132" x14ac:dyDescent="0.3">
      <c r="CB42">
        <v>2014</v>
      </c>
      <c r="CC42" s="62" t="s">
        <v>127</v>
      </c>
      <c r="CD42" s="62"/>
      <c r="CE42" s="62" t="s">
        <v>127</v>
      </c>
      <c r="CF42" s="62"/>
      <c r="CG42" s="62">
        <v>1072</v>
      </c>
      <c r="CH42" s="62" t="s">
        <v>127</v>
      </c>
      <c r="CI42" s="62"/>
      <c r="CJ42" s="62">
        <v>215</v>
      </c>
      <c r="CK42" s="62" t="s">
        <v>127</v>
      </c>
      <c r="CL42" s="62"/>
      <c r="CU42" t="s">
        <v>166</v>
      </c>
      <c r="CV42" s="62" t="s">
        <v>167</v>
      </c>
      <c r="CW42" s="62" t="s">
        <v>168</v>
      </c>
      <c r="CX42" s="62" t="s">
        <v>1</v>
      </c>
      <c r="CY42" s="62" t="s">
        <v>169</v>
      </c>
      <c r="CZ42" s="62"/>
      <c r="DA42" t="s">
        <v>166</v>
      </c>
      <c r="DB42" s="62" t="s">
        <v>167</v>
      </c>
      <c r="DC42" s="62" t="s">
        <v>168</v>
      </c>
      <c r="DD42" s="62" t="s">
        <v>1</v>
      </c>
      <c r="DE42" s="62" t="s">
        <v>169</v>
      </c>
      <c r="DF42" s="62"/>
      <c r="DU42" t="s">
        <v>208</v>
      </c>
      <c r="DV42" s="69">
        <f>GEOMEAN(DV32:DV41)</f>
        <v>1230.9789340567281</v>
      </c>
      <c r="DW42" s="69">
        <f t="shared" ref="DW42:DY42" si="21">GEOMEAN(DW32:DW41)</f>
        <v>690.18746441333872</v>
      </c>
      <c r="DX42" s="69">
        <f t="shared" si="21"/>
        <v>718.14315887323119</v>
      </c>
      <c r="DY42" s="69">
        <f t="shared" si="21"/>
        <v>177.11987681972158</v>
      </c>
      <c r="DZ42" s="69">
        <f t="shared" si="18"/>
        <v>2816.4294341630193</v>
      </c>
    </row>
    <row r="43" spans="49:132" x14ac:dyDescent="0.3">
      <c r="CB43">
        <v>2015</v>
      </c>
      <c r="CC43" s="62" t="s">
        <v>127</v>
      </c>
      <c r="CD43" s="62"/>
      <c r="CE43" s="62" t="s">
        <v>127</v>
      </c>
      <c r="CF43" s="62"/>
      <c r="CG43" s="62"/>
      <c r="CH43" s="62" t="s">
        <v>127</v>
      </c>
      <c r="CI43" s="62"/>
      <c r="CJ43" s="62"/>
      <c r="CK43" s="62" t="s">
        <v>127</v>
      </c>
      <c r="CL43" s="62"/>
    </row>
    <row r="44" spans="49:132" x14ac:dyDescent="0.3">
      <c r="CB44">
        <v>2016</v>
      </c>
      <c r="CC44" s="62" t="s">
        <v>127</v>
      </c>
      <c r="CD44" s="62"/>
      <c r="CE44" s="62" t="s">
        <v>127</v>
      </c>
      <c r="CF44" s="62"/>
      <c r="CG44" s="62"/>
      <c r="CH44" s="62" t="s">
        <v>127</v>
      </c>
      <c r="CI44" s="62"/>
      <c r="CJ44" s="62"/>
      <c r="CK44" s="62" t="s">
        <v>127</v>
      </c>
      <c r="CL44" s="62"/>
      <c r="CU44" t="s">
        <v>170</v>
      </c>
      <c r="CV44">
        <v>6</v>
      </c>
      <c r="CW44">
        <v>108</v>
      </c>
      <c r="CX44">
        <f t="shared" ref="CX44:CX50" si="22">SUM(CV44:CW44)</f>
        <v>114</v>
      </c>
      <c r="CY44">
        <f>CX44</f>
        <v>114</v>
      </c>
      <c r="DA44" t="s">
        <v>170</v>
      </c>
      <c r="DB44">
        <v>6</v>
      </c>
      <c r="DC44">
        <v>65</v>
      </c>
      <c r="DD44">
        <f t="shared" ref="DD44:DD50" si="23">SUM(DB44:DC44)</f>
        <v>71</v>
      </c>
      <c r="DE44">
        <f>DD44</f>
        <v>71</v>
      </c>
    </row>
    <row r="45" spans="49:132" x14ac:dyDescent="0.3">
      <c r="CB45">
        <v>2017</v>
      </c>
      <c r="CC45" s="62" t="s">
        <v>127</v>
      </c>
      <c r="CD45" s="62"/>
      <c r="CE45" s="62" t="s">
        <v>127</v>
      </c>
      <c r="CF45" s="62"/>
      <c r="CG45" s="62"/>
      <c r="CH45" s="62" t="s">
        <v>127</v>
      </c>
      <c r="CI45" s="62"/>
      <c r="CJ45" s="62"/>
      <c r="CK45" s="62" t="s">
        <v>127</v>
      </c>
      <c r="CL45" s="62"/>
      <c r="CU45" t="s">
        <v>171</v>
      </c>
      <c r="CV45">
        <v>23</v>
      </c>
      <c r="CW45">
        <v>428</v>
      </c>
      <c r="CX45">
        <f t="shared" si="22"/>
        <v>451</v>
      </c>
      <c r="CY45">
        <f t="shared" ref="CY45:CY50" si="24">CY44+CX45</f>
        <v>565</v>
      </c>
      <c r="DA45" t="s">
        <v>171</v>
      </c>
      <c r="DB45">
        <v>1</v>
      </c>
      <c r="DC45">
        <v>184</v>
      </c>
      <c r="DD45">
        <f t="shared" si="23"/>
        <v>185</v>
      </c>
      <c r="DE45">
        <f t="shared" ref="DE45:DE50" si="25">DE44+DD45</f>
        <v>256</v>
      </c>
    </row>
    <row r="46" spans="49:132" x14ac:dyDescent="0.3">
      <c r="CB46">
        <v>2018</v>
      </c>
      <c r="CC46" s="62" t="s">
        <v>127</v>
      </c>
      <c r="CD46" s="62"/>
      <c r="CE46" s="62" t="s">
        <v>127</v>
      </c>
      <c r="CF46" s="62"/>
      <c r="CG46" s="62"/>
      <c r="CH46" s="62" t="s">
        <v>127</v>
      </c>
      <c r="CI46" s="62"/>
      <c r="CJ46" s="62"/>
      <c r="CK46" s="62" t="s">
        <v>127</v>
      </c>
      <c r="CL46" s="62"/>
      <c r="CU46" t="s">
        <v>172</v>
      </c>
      <c r="CV46">
        <v>37</v>
      </c>
      <c r="CW46">
        <v>1376</v>
      </c>
      <c r="CX46">
        <f t="shared" si="22"/>
        <v>1413</v>
      </c>
      <c r="CY46">
        <f t="shared" si="24"/>
        <v>1978</v>
      </c>
      <c r="DA46" t="s">
        <v>172</v>
      </c>
      <c r="DB46">
        <v>2</v>
      </c>
      <c r="DC46">
        <v>792</v>
      </c>
      <c r="DD46">
        <f t="shared" si="23"/>
        <v>794</v>
      </c>
      <c r="DE46">
        <f t="shared" si="25"/>
        <v>1050</v>
      </c>
    </row>
    <row r="47" spans="49:132" x14ac:dyDescent="0.3">
      <c r="CU47" t="s">
        <v>173</v>
      </c>
      <c r="CV47">
        <v>25</v>
      </c>
      <c r="CW47">
        <v>995</v>
      </c>
      <c r="CX47">
        <f t="shared" si="22"/>
        <v>1020</v>
      </c>
      <c r="CY47">
        <f t="shared" si="24"/>
        <v>2998</v>
      </c>
      <c r="DA47" t="s">
        <v>173</v>
      </c>
      <c r="DB47">
        <v>12</v>
      </c>
      <c r="DC47">
        <v>1351</v>
      </c>
      <c r="DD47">
        <f t="shared" si="23"/>
        <v>1363</v>
      </c>
      <c r="DE47">
        <f t="shared" si="25"/>
        <v>2413</v>
      </c>
    </row>
    <row r="48" spans="49:132" x14ac:dyDescent="0.3">
      <c r="AW48" s="43" t="s">
        <v>141</v>
      </c>
      <c r="CB48" t="s">
        <v>200</v>
      </c>
      <c r="CC48" s="33">
        <f>AVERAGE(CC20:CC36)</f>
        <v>1378.7647058823529</v>
      </c>
      <c r="CE48" s="33">
        <f>AVERAGE(CE20:CE36)</f>
        <v>2571.5294117647059</v>
      </c>
      <c r="CH48" s="33">
        <f>AVERAGE(CH20:CH36)</f>
        <v>1840.2352941176471</v>
      </c>
      <c r="CK48" s="69">
        <f>AVERAGE(CK20:CK36)</f>
        <v>267.05882352941177</v>
      </c>
      <c r="CM48" s="33">
        <f>SUM(CC48:CK48)</f>
        <v>6057.5882352941171</v>
      </c>
      <c r="CU48" t="s">
        <v>174</v>
      </c>
      <c r="CV48">
        <v>0</v>
      </c>
      <c r="CW48">
        <v>1775</v>
      </c>
      <c r="CX48">
        <f t="shared" si="22"/>
        <v>1775</v>
      </c>
      <c r="CY48">
        <f t="shared" si="24"/>
        <v>4773</v>
      </c>
      <c r="DA48" t="s">
        <v>174</v>
      </c>
      <c r="DB48">
        <v>0</v>
      </c>
      <c r="DC48">
        <v>1047</v>
      </c>
      <c r="DD48">
        <f t="shared" si="23"/>
        <v>1047</v>
      </c>
      <c r="DE48">
        <f t="shared" si="25"/>
        <v>3460</v>
      </c>
    </row>
    <row r="49" spans="80:110" x14ac:dyDescent="0.3">
      <c r="CB49" t="s">
        <v>201</v>
      </c>
      <c r="CC49" s="70">
        <f>CC48/CM48</f>
        <v>0.22760951261907769</v>
      </c>
      <c r="CE49" s="70">
        <f>CE48/CM48</f>
        <v>0.42451373581021379</v>
      </c>
      <c r="CH49" s="70">
        <f>CH48/CM48</f>
        <v>0.30379009312578298</v>
      </c>
      <c r="CK49" s="70">
        <f>CK48/CM48</f>
        <v>4.4086658444925667E-2</v>
      </c>
      <c r="CM49" s="70">
        <f>SUM(CC49:CK49)</f>
        <v>1.0000000000000002</v>
      </c>
      <c r="CU49" t="s">
        <v>175</v>
      </c>
      <c r="CV49">
        <v>1</v>
      </c>
      <c r="CW49">
        <v>1984</v>
      </c>
      <c r="CX49">
        <f t="shared" si="22"/>
        <v>1985</v>
      </c>
      <c r="CY49">
        <f t="shared" si="24"/>
        <v>6758</v>
      </c>
      <c r="DA49" t="s">
        <v>175</v>
      </c>
      <c r="DB49">
        <v>0</v>
      </c>
      <c r="DC49">
        <v>750</v>
      </c>
      <c r="DD49">
        <f t="shared" si="23"/>
        <v>750</v>
      </c>
      <c r="DE49">
        <f t="shared" si="25"/>
        <v>4210</v>
      </c>
    </row>
    <row r="50" spans="80:110" x14ac:dyDescent="0.3">
      <c r="CU50" t="s">
        <v>176</v>
      </c>
      <c r="CV50">
        <v>0</v>
      </c>
      <c r="CW50">
        <v>579</v>
      </c>
      <c r="CX50">
        <f t="shared" si="22"/>
        <v>579</v>
      </c>
      <c r="CY50">
        <f t="shared" si="24"/>
        <v>7337</v>
      </c>
      <c r="DA50" t="s">
        <v>176</v>
      </c>
      <c r="DB50">
        <v>0</v>
      </c>
      <c r="DC50">
        <v>295</v>
      </c>
      <c r="DD50">
        <f t="shared" si="23"/>
        <v>295</v>
      </c>
      <c r="DE50">
        <f t="shared" si="25"/>
        <v>4505</v>
      </c>
    </row>
    <row r="51" spans="80:110" x14ac:dyDescent="0.3">
      <c r="CU51" s="43" t="s">
        <v>1</v>
      </c>
      <c r="CV51" s="43">
        <f>SUM(CV44:CV50)</f>
        <v>92</v>
      </c>
      <c r="CW51" s="43">
        <f>SUM(CW44:CW50)</f>
        <v>7245</v>
      </c>
      <c r="CX51" s="43">
        <f>SUM(CX44:CX50)</f>
        <v>7337</v>
      </c>
      <c r="CY51" s="43"/>
      <c r="CZ51" s="43"/>
      <c r="DA51" s="43" t="s">
        <v>1</v>
      </c>
      <c r="DB51" s="43">
        <f>SUM(DB44:DB50)</f>
        <v>21</v>
      </c>
      <c r="DC51" s="43">
        <f>SUM(DC44:DC50)</f>
        <v>4484</v>
      </c>
      <c r="DD51" s="43">
        <f>SUM(DD44:DD50)</f>
        <v>4505</v>
      </c>
      <c r="DE51" s="43"/>
      <c r="DF51" s="43"/>
    </row>
    <row r="53" spans="80:110" x14ac:dyDescent="0.3">
      <c r="CV53" s="237" t="s">
        <v>268</v>
      </c>
      <c r="CW53" s="237"/>
      <c r="CX53" s="237"/>
      <c r="CY53" s="237"/>
      <c r="CZ53" s="32"/>
      <c r="DB53" s="237" t="s">
        <v>180</v>
      </c>
      <c r="DC53" s="237"/>
      <c r="DD53" s="237"/>
      <c r="DE53" s="237"/>
      <c r="DF53" s="32"/>
    </row>
    <row r="54" spans="80:110" x14ac:dyDescent="0.3">
      <c r="CU54" t="s">
        <v>166</v>
      </c>
      <c r="CV54" s="62" t="s">
        <v>167</v>
      </c>
      <c r="CW54" s="62" t="s">
        <v>168</v>
      </c>
      <c r="CX54" s="62" t="s">
        <v>1</v>
      </c>
      <c r="CY54" s="62" t="s">
        <v>169</v>
      </c>
      <c r="CZ54" s="62"/>
      <c r="DA54" t="s">
        <v>166</v>
      </c>
      <c r="DB54" s="62" t="s">
        <v>167</v>
      </c>
      <c r="DC54" s="62" t="s">
        <v>168</v>
      </c>
      <c r="DD54" s="62" t="s">
        <v>1</v>
      </c>
      <c r="DE54" s="62" t="s">
        <v>169</v>
      </c>
      <c r="DF54" s="62"/>
    </row>
    <row r="56" spans="80:110" x14ac:dyDescent="0.3">
      <c r="CU56" t="s">
        <v>170</v>
      </c>
      <c r="CV56">
        <v>38</v>
      </c>
      <c r="CW56">
        <v>345</v>
      </c>
      <c r="CX56">
        <f t="shared" ref="CX56:CX62" si="26">SUM(CV56:CW56)</f>
        <v>383</v>
      </c>
      <c r="CY56">
        <f>CX56</f>
        <v>383</v>
      </c>
      <c r="DA56" t="s">
        <v>170</v>
      </c>
      <c r="DB56">
        <v>18</v>
      </c>
      <c r="DC56">
        <v>59</v>
      </c>
      <c r="DD56">
        <f t="shared" ref="DD56:DD62" si="27">SUM(DB56:DC56)</f>
        <v>77</v>
      </c>
      <c r="DE56">
        <f>DD56</f>
        <v>77</v>
      </c>
    </row>
    <row r="57" spans="80:110" x14ac:dyDescent="0.3">
      <c r="CU57" t="s">
        <v>171</v>
      </c>
      <c r="CV57">
        <v>13</v>
      </c>
      <c r="CW57">
        <v>742</v>
      </c>
      <c r="CX57">
        <f t="shared" si="26"/>
        <v>755</v>
      </c>
      <c r="CY57">
        <f t="shared" ref="CY57:CY62" si="28">CY56+CX57</f>
        <v>1138</v>
      </c>
      <c r="DA57" t="s">
        <v>171</v>
      </c>
      <c r="DB57">
        <v>0</v>
      </c>
      <c r="DC57">
        <v>62</v>
      </c>
      <c r="DD57">
        <f t="shared" si="27"/>
        <v>62</v>
      </c>
      <c r="DE57">
        <f t="shared" ref="DE57:DE62" si="29">DE56+DD57</f>
        <v>139</v>
      </c>
    </row>
    <row r="58" spans="80:110" x14ac:dyDescent="0.3">
      <c r="CU58" t="s">
        <v>172</v>
      </c>
      <c r="CV58">
        <v>6</v>
      </c>
      <c r="CW58">
        <v>990</v>
      </c>
      <c r="CX58">
        <f t="shared" si="26"/>
        <v>996</v>
      </c>
      <c r="CY58">
        <f t="shared" si="28"/>
        <v>2134</v>
      </c>
      <c r="DA58" t="s">
        <v>172</v>
      </c>
      <c r="DB58">
        <v>80</v>
      </c>
      <c r="DC58">
        <v>1029</v>
      </c>
      <c r="DD58">
        <f t="shared" si="27"/>
        <v>1109</v>
      </c>
      <c r="DE58">
        <f t="shared" si="29"/>
        <v>1248</v>
      </c>
    </row>
    <row r="59" spans="80:110" x14ac:dyDescent="0.3">
      <c r="CU59" t="s">
        <v>173</v>
      </c>
      <c r="CV59">
        <v>61</v>
      </c>
      <c r="CW59">
        <v>951</v>
      </c>
      <c r="CX59">
        <f t="shared" si="26"/>
        <v>1012</v>
      </c>
      <c r="CY59">
        <f t="shared" si="28"/>
        <v>3146</v>
      </c>
      <c r="DA59" t="s">
        <v>173</v>
      </c>
      <c r="DB59">
        <v>144</v>
      </c>
      <c r="DC59">
        <v>1526</v>
      </c>
      <c r="DD59">
        <f t="shared" si="27"/>
        <v>1670</v>
      </c>
      <c r="DE59">
        <f t="shared" si="29"/>
        <v>2918</v>
      </c>
    </row>
    <row r="60" spans="80:110" x14ac:dyDescent="0.3">
      <c r="CU60" t="s">
        <v>174</v>
      </c>
      <c r="CV60">
        <v>0</v>
      </c>
      <c r="CW60">
        <v>2422</v>
      </c>
      <c r="CX60">
        <f t="shared" si="26"/>
        <v>2422</v>
      </c>
      <c r="CY60">
        <f t="shared" si="28"/>
        <v>5568</v>
      </c>
      <c r="DA60" t="s">
        <v>174</v>
      </c>
      <c r="DB60">
        <v>0</v>
      </c>
      <c r="DC60">
        <v>1388</v>
      </c>
      <c r="DD60">
        <f t="shared" si="27"/>
        <v>1388</v>
      </c>
      <c r="DE60">
        <f t="shared" si="29"/>
        <v>4306</v>
      </c>
    </row>
    <row r="61" spans="80:110" x14ac:dyDescent="0.3">
      <c r="CU61" t="s">
        <v>175</v>
      </c>
      <c r="CV61">
        <v>0</v>
      </c>
      <c r="CW61">
        <v>1084</v>
      </c>
      <c r="CX61">
        <f t="shared" si="26"/>
        <v>1084</v>
      </c>
      <c r="CY61">
        <f t="shared" si="28"/>
        <v>6652</v>
      </c>
      <c r="DA61" t="s">
        <v>175</v>
      </c>
      <c r="DB61">
        <v>0</v>
      </c>
      <c r="DC61">
        <v>895</v>
      </c>
      <c r="DD61">
        <f t="shared" si="27"/>
        <v>895</v>
      </c>
      <c r="DE61">
        <f t="shared" si="29"/>
        <v>5201</v>
      </c>
    </row>
    <row r="62" spans="80:110" x14ac:dyDescent="0.3">
      <c r="CU62" t="s">
        <v>176</v>
      </c>
      <c r="CV62">
        <v>0</v>
      </c>
      <c r="CW62">
        <v>789</v>
      </c>
      <c r="CX62">
        <f t="shared" si="26"/>
        <v>789</v>
      </c>
      <c r="CY62">
        <f t="shared" si="28"/>
        <v>7441</v>
      </c>
      <c r="DA62" t="s">
        <v>176</v>
      </c>
      <c r="DB62">
        <v>0</v>
      </c>
      <c r="DC62">
        <v>577</v>
      </c>
      <c r="DD62">
        <f t="shared" si="27"/>
        <v>577</v>
      </c>
      <c r="DE62">
        <f t="shared" si="29"/>
        <v>5778</v>
      </c>
    </row>
    <row r="63" spans="80:110" x14ac:dyDescent="0.3">
      <c r="CU63" s="43" t="s">
        <v>1</v>
      </c>
      <c r="CV63" s="43">
        <f>SUM(CV56:CV62)</f>
        <v>118</v>
      </c>
      <c r="CW63" s="43">
        <f>SUM(CW56:CW62)</f>
        <v>7323</v>
      </c>
      <c r="CX63" s="43">
        <f>SUM(CX56:CX62)</f>
        <v>7441</v>
      </c>
      <c r="CY63" s="43"/>
      <c r="CZ63" s="43"/>
      <c r="DA63" s="43" t="s">
        <v>1</v>
      </c>
      <c r="DB63" s="43">
        <f>SUM(DB56:DB62)</f>
        <v>242</v>
      </c>
      <c r="DC63" s="43">
        <f>SUM(DC56:DC62)</f>
        <v>5536</v>
      </c>
      <c r="DD63" s="43">
        <f>SUM(DD56:DD62)</f>
        <v>5778</v>
      </c>
      <c r="DE63" s="43"/>
      <c r="DF63" s="43"/>
    </row>
    <row r="65" spans="99:110" x14ac:dyDescent="0.3">
      <c r="CV65" s="237"/>
      <c r="CW65" s="237"/>
      <c r="CX65" s="237"/>
      <c r="CY65" s="237"/>
      <c r="CZ65" s="32"/>
      <c r="DB65" s="237" t="s">
        <v>181</v>
      </c>
      <c r="DC65" s="237"/>
      <c r="DD65" s="237"/>
      <c r="DE65" s="237"/>
      <c r="DF65" s="32"/>
    </row>
    <row r="66" spans="99:110" x14ac:dyDescent="0.3">
      <c r="CV66" s="62"/>
      <c r="CW66" s="62"/>
      <c r="CX66" s="62"/>
      <c r="CY66" s="62"/>
      <c r="CZ66" s="62"/>
      <c r="DA66" t="s">
        <v>166</v>
      </c>
      <c r="DB66" s="62" t="s">
        <v>167</v>
      </c>
      <c r="DC66" s="62" t="s">
        <v>168</v>
      </c>
      <c r="DD66" s="62" t="s">
        <v>1</v>
      </c>
      <c r="DE66" s="62" t="s">
        <v>169</v>
      </c>
      <c r="DF66" s="62"/>
    </row>
    <row r="68" spans="99:110" x14ac:dyDescent="0.3">
      <c r="DA68" t="s">
        <v>170</v>
      </c>
      <c r="DB68">
        <v>4</v>
      </c>
      <c r="DC68">
        <v>25</v>
      </c>
      <c r="DD68">
        <f t="shared" ref="DD68:DD74" si="30">SUM(DB68:DC68)</f>
        <v>29</v>
      </c>
      <c r="DE68">
        <f>DD68</f>
        <v>29</v>
      </c>
    </row>
    <row r="69" spans="99:110" x14ac:dyDescent="0.3">
      <c r="DA69" t="s">
        <v>171</v>
      </c>
      <c r="DB69">
        <v>0</v>
      </c>
      <c r="DC69">
        <v>102</v>
      </c>
      <c r="DD69">
        <f t="shared" si="30"/>
        <v>102</v>
      </c>
      <c r="DE69">
        <f t="shared" ref="DE69:DE74" si="31">DE68+DD69</f>
        <v>131</v>
      </c>
    </row>
    <row r="70" spans="99:110" x14ac:dyDescent="0.3">
      <c r="DA70" t="s">
        <v>172</v>
      </c>
      <c r="DB70">
        <v>0</v>
      </c>
      <c r="DC70">
        <v>109</v>
      </c>
      <c r="DD70">
        <f t="shared" si="30"/>
        <v>109</v>
      </c>
      <c r="DE70">
        <f t="shared" si="31"/>
        <v>240</v>
      </c>
    </row>
    <row r="71" spans="99:110" x14ac:dyDescent="0.3">
      <c r="DA71" t="s">
        <v>173</v>
      </c>
      <c r="DB71">
        <v>0</v>
      </c>
      <c r="DC71">
        <v>145</v>
      </c>
      <c r="DD71">
        <f t="shared" si="30"/>
        <v>145</v>
      </c>
      <c r="DE71">
        <f t="shared" si="31"/>
        <v>385</v>
      </c>
    </row>
    <row r="72" spans="99:110" x14ac:dyDescent="0.3">
      <c r="DA72" t="s">
        <v>174</v>
      </c>
      <c r="DB72">
        <v>0</v>
      </c>
      <c r="DC72">
        <v>245</v>
      </c>
      <c r="DD72">
        <f t="shared" si="30"/>
        <v>245</v>
      </c>
      <c r="DE72">
        <f t="shared" si="31"/>
        <v>630</v>
      </c>
    </row>
    <row r="73" spans="99:110" x14ac:dyDescent="0.3">
      <c r="DA73" t="s">
        <v>175</v>
      </c>
      <c r="DB73">
        <v>0</v>
      </c>
      <c r="DC73">
        <v>87</v>
      </c>
      <c r="DD73">
        <f t="shared" si="30"/>
        <v>87</v>
      </c>
      <c r="DE73">
        <f t="shared" si="31"/>
        <v>717</v>
      </c>
    </row>
    <row r="74" spans="99:110" x14ac:dyDescent="0.3">
      <c r="DA74" t="s">
        <v>176</v>
      </c>
      <c r="DB74">
        <v>0</v>
      </c>
      <c r="DC74">
        <v>104</v>
      </c>
      <c r="DD74">
        <f t="shared" si="30"/>
        <v>104</v>
      </c>
      <c r="DE74">
        <f t="shared" si="31"/>
        <v>821</v>
      </c>
    </row>
    <row r="75" spans="99:110" x14ac:dyDescent="0.3">
      <c r="CU75" s="43"/>
      <c r="CV75" s="43"/>
      <c r="CW75" s="43"/>
      <c r="CX75" s="43"/>
      <c r="CY75" s="43"/>
      <c r="CZ75" s="43"/>
      <c r="DA75" s="43" t="s">
        <v>1</v>
      </c>
      <c r="DB75" s="43">
        <f>SUM(DB68:DB74)</f>
        <v>4</v>
      </c>
      <c r="DC75" s="43">
        <f>SUM(DC68:DC74)</f>
        <v>817</v>
      </c>
      <c r="DD75" s="43">
        <f>SUM(DD68:DD74)</f>
        <v>821</v>
      </c>
      <c r="DE75" s="43"/>
      <c r="DF75" s="43"/>
    </row>
    <row r="77" spans="99:110" x14ac:dyDescent="0.3">
      <c r="CV77" s="237"/>
      <c r="CW77" s="237"/>
      <c r="CX77" s="237"/>
      <c r="CY77" s="237"/>
      <c r="CZ77" s="32"/>
      <c r="DB77" s="237" t="s">
        <v>182</v>
      </c>
      <c r="DC77" s="237"/>
      <c r="DD77" s="237"/>
      <c r="DE77" s="237"/>
      <c r="DF77" s="32"/>
    </row>
    <row r="78" spans="99:110" x14ac:dyDescent="0.3">
      <c r="CV78" s="62"/>
      <c r="CW78" s="62"/>
      <c r="CX78" s="62"/>
      <c r="CY78" s="62"/>
      <c r="CZ78" s="62"/>
      <c r="DA78" t="s">
        <v>166</v>
      </c>
      <c r="DB78" s="62" t="s">
        <v>167</v>
      </c>
      <c r="DC78" s="62" t="s">
        <v>168</v>
      </c>
      <c r="DD78" s="62" t="s">
        <v>1</v>
      </c>
      <c r="DE78" s="62" t="s">
        <v>169</v>
      </c>
      <c r="DF78" s="62"/>
    </row>
    <row r="80" spans="99:110" x14ac:dyDescent="0.3">
      <c r="DA80" t="s">
        <v>170</v>
      </c>
      <c r="DB80">
        <v>2</v>
      </c>
      <c r="DC80">
        <v>46</v>
      </c>
      <c r="DD80">
        <f t="shared" ref="DD80:DD86" si="32">SUM(DB80:DC80)</f>
        <v>48</v>
      </c>
      <c r="DE80">
        <f>DD80</f>
        <v>48</v>
      </c>
    </row>
    <row r="81" spans="99:110" x14ac:dyDescent="0.3">
      <c r="DA81" t="s">
        <v>171</v>
      </c>
      <c r="DB81">
        <v>0</v>
      </c>
      <c r="DC81">
        <v>79</v>
      </c>
      <c r="DD81">
        <f t="shared" si="32"/>
        <v>79</v>
      </c>
      <c r="DE81">
        <f t="shared" ref="DE81:DE86" si="33">DE80+DD81</f>
        <v>127</v>
      </c>
    </row>
    <row r="82" spans="99:110" x14ac:dyDescent="0.3">
      <c r="DA82" t="s">
        <v>172</v>
      </c>
      <c r="DB82">
        <v>0</v>
      </c>
      <c r="DC82">
        <v>300</v>
      </c>
      <c r="DD82">
        <f t="shared" si="32"/>
        <v>300</v>
      </c>
      <c r="DE82">
        <f t="shared" si="33"/>
        <v>427</v>
      </c>
    </row>
    <row r="83" spans="99:110" x14ac:dyDescent="0.3">
      <c r="DA83" t="s">
        <v>173</v>
      </c>
      <c r="DB83">
        <v>2</v>
      </c>
      <c r="DC83">
        <v>227</v>
      </c>
      <c r="DD83">
        <f t="shared" si="32"/>
        <v>229</v>
      </c>
      <c r="DE83">
        <f t="shared" si="33"/>
        <v>656</v>
      </c>
    </row>
    <row r="84" spans="99:110" x14ac:dyDescent="0.3">
      <c r="DA84" t="s">
        <v>174</v>
      </c>
      <c r="DB84">
        <v>0</v>
      </c>
      <c r="DC84">
        <v>431</v>
      </c>
      <c r="DD84">
        <f t="shared" si="32"/>
        <v>431</v>
      </c>
      <c r="DE84">
        <f t="shared" si="33"/>
        <v>1087</v>
      </c>
    </row>
    <row r="85" spans="99:110" x14ac:dyDescent="0.3">
      <c r="DA85" t="s">
        <v>175</v>
      </c>
      <c r="DB85">
        <v>0</v>
      </c>
      <c r="DC85">
        <v>437</v>
      </c>
      <c r="DD85">
        <f t="shared" si="32"/>
        <v>437</v>
      </c>
      <c r="DE85">
        <f t="shared" si="33"/>
        <v>1524</v>
      </c>
    </row>
    <row r="86" spans="99:110" x14ac:dyDescent="0.3">
      <c r="DA86" t="s">
        <v>176</v>
      </c>
      <c r="DB86">
        <v>0</v>
      </c>
      <c r="DC86">
        <v>305</v>
      </c>
      <c r="DD86">
        <f t="shared" si="32"/>
        <v>305</v>
      </c>
      <c r="DE86">
        <f t="shared" si="33"/>
        <v>1829</v>
      </c>
    </row>
    <row r="87" spans="99:110" x14ac:dyDescent="0.3">
      <c r="CU87" s="43"/>
      <c r="CV87" s="43"/>
      <c r="CW87" s="43"/>
      <c r="CX87" s="43"/>
      <c r="CY87" s="43"/>
      <c r="CZ87" s="43"/>
      <c r="DA87" s="43" t="s">
        <v>1</v>
      </c>
      <c r="DB87" s="43">
        <f>SUM(DB80:DB86)</f>
        <v>4</v>
      </c>
      <c r="DC87" s="43">
        <f>SUM(DC80:DC86)</f>
        <v>1825</v>
      </c>
      <c r="DD87" s="43">
        <f>SUM(DD80:DD86)</f>
        <v>1829</v>
      </c>
      <c r="DE87" s="43"/>
      <c r="DF87" s="43"/>
    </row>
    <row r="89" spans="99:110" x14ac:dyDescent="0.3">
      <c r="CU89" s="43"/>
      <c r="CV89" s="43"/>
      <c r="CW89" s="43"/>
      <c r="CX89" s="43"/>
      <c r="CY89" s="43"/>
      <c r="CZ89" s="43"/>
      <c r="DA89" s="43" t="s">
        <v>187</v>
      </c>
      <c r="DB89" s="43"/>
      <c r="DC89" s="43"/>
      <c r="DD89" s="43"/>
      <c r="DE89" s="43"/>
      <c r="DF89" s="43"/>
    </row>
    <row r="131" spans="49:49" x14ac:dyDescent="0.3">
      <c r="AW131" s="43" t="s">
        <v>142</v>
      </c>
    </row>
    <row r="174" spans="49:49" x14ac:dyDescent="0.3">
      <c r="AW174" s="43" t="s">
        <v>144</v>
      </c>
    </row>
  </sheetData>
  <mergeCells count="25">
    <mergeCell ref="B16:C16"/>
    <mergeCell ref="B8:C8"/>
    <mergeCell ref="F7:I7"/>
    <mergeCell ref="CK6:CL6"/>
    <mergeCell ref="CH6:CJ6"/>
    <mergeCell ref="CE6:CG6"/>
    <mergeCell ref="CC6:CD6"/>
    <mergeCell ref="F15:G15"/>
    <mergeCell ref="H15:I15"/>
    <mergeCell ref="H16:I16"/>
    <mergeCell ref="F16:G16"/>
    <mergeCell ref="CV5:CY5"/>
    <mergeCell ref="DB65:DE65"/>
    <mergeCell ref="DB77:DE77"/>
    <mergeCell ref="DB5:DE5"/>
    <mergeCell ref="DB17:DE17"/>
    <mergeCell ref="DB29:DE29"/>
    <mergeCell ref="DB41:DE41"/>
    <mergeCell ref="DB53:DE53"/>
    <mergeCell ref="CV77:CY77"/>
    <mergeCell ref="CV17:CY17"/>
    <mergeCell ref="CV29:CY29"/>
    <mergeCell ref="CV41:CY41"/>
    <mergeCell ref="CV53:CY53"/>
    <mergeCell ref="CV65:CY65"/>
  </mergeCells>
  <pageMargins left="0.7" right="0.7" top="0.75" bottom="0.75" header="0.3" footer="0.3"/>
  <pageSetup orientation="portrait" horizontalDpi="4294967293" vertic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M2:AB275"/>
  <sheetViews>
    <sheetView workbookViewId="0"/>
  </sheetViews>
  <sheetFormatPr defaultRowHeight="14.4" x14ac:dyDescent="0.3"/>
  <cols>
    <col min="13" max="13" width="11" customWidth="1"/>
    <col min="14" max="14" width="12.6640625" customWidth="1"/>
    <col min="15" max="15" width="12.5546875" customWidth="1"/>
    <col min="16" max="16" width="14" customWidth="1"/>
    <col min="18" max="18" width="12" customWidth="1"/>
    <col min="23" max="23" width="11" customWidth="1"/>
    <col min="24" max="24" width="11.88671875" customWidth="1"/>
    <col min="25" max="25" width="11.6640625" customWidth="1"/>
    <col min="26" max="26" width="14.33203125" customWidth="1"/>
  </cols>
  <sheetData>
    <row r="2" spans="13:28" ht="15.6" x14ac:dyDescent="0.3">
      <c r="M2" s="59" t="s">
        <v>110</v>
      </c>
      <c r="N2" s="59"/>
      <c r="O2" s="59"/>
      <c r="P2" s="59"/>
      <c r="Q2" s="59"/>
      <c r="R2" s="59"/>
      <c r="S2" s="59"/>
      <c r="W2" s="59" t="s">
        <v>186</v>
      </c>
    </row>
    <row r="3" spans="13:28" ht="15.6" x14ac:dyDescent="0.3">
      <c r="M3" s="59"/>
      <c r="N3" s="59"/>
      <c r="O3" s="59"/>
      <c r="P3" s="59"/>
      <c r="Q3" s="59"/>
      <c r="R3" s="59"/>
      <c r="S3" s="59"/>
    </row>
    <row r="4" spans="13:28" ht="15.6" x14ac:dyDescent="0.3">
      <c r="M4" s="59" t="s">
        <v>118</v>
      </c>
      <c r="N4" s="59"/>
      <c r="O4" s="33">
        <f>AVERAGE(S8:S18)</f>
        <v>497200.5</v>
      </c>
      <c r="P4" s="59"/>
      <c r="Q4" s="59" t="s">
        <v>116</v>
      </c>
      <c r="R4" s="59"/>
      <c r="S4" s="60">
        <f>AVERAGE(S8:S84)</f>
        <v>596648.9</v>
      </c>
    </row>
    <row r="5" spans="13:28" ht="15.6" x14ac:dyDescent="0.3">
      <c r="M5" s="59"/>
      <c r="N5" s="59"/>
      <c r="O5" s="60"/>
      <c r="P5" s="59"/>
      <c r="Q5" s="59"/>
      <c r="R5" s="59"/>
      <c r="S5" s="60"/>
    </row>
    <row r="6" spans="13:28" ht="15" thickBot="1" x14ac:dyDescent="0.35"/>
    <row r="7" spans="13:28" ht="63" thickBot="1" x14ac:dyDescent="0.35">
      <c r="M7" s="56" t="s">
        <v>111</v>
      </c>
      <c r="N7" s="56" t="s">
        <v>86</v>
      </c>
      <c r="O7" s="56" t="s">
        <v>87</v>
      </c>
      <c r="P7" s="56" t="s">
        <v>112</v>
      </c>
      <c r="Q7" s="56" t="s">
        <v>113</v>
      </c>
      <c r="R7" s="56" t="s">
        <v>114</v>
      </c>
      <c r="S7" s="61" t="s">
        <v>115</v>
      </c>
      <c r="W7" s="56" t="s">
        <v>185</v>
      </c>
      <c r="X7" s="56" t="s">
        <v>86</v>
      </c>
      <c r="Y7" s="56" t="s">
        <v>87</v>
      </c>
      <c r="Z7" s="56" t="s">
        <v>183</v>
      </c>
      <c r="AA7" s="56" t="s">
        <v>184</v>
      </c>
      <c r="AB7" s="56" t="s">
        <v>114</v>
      </c>
    </row>
    <row r="8" spans="13:28" ht="40.200000000000003" thickBot="1" x14ac:dyDescent="0.35">
      <c r="M8" s="57">
        <v>2018</v>
      </c>
      <c r="N8" s="57" t="s">
        <v>88</v>
      </c>
      <c r="O8" s="57" t="s">
        <v>89</v>
      </c>
      <c r="P8" s="57" t="s">
        <v>90</v>
      </c>
      <c r="Q8" s="57" t="s">
        <v>91</v>
      </c>
      <c r="R8" s="57">
        <v>108000</v>
      </c>
      <c r="S8" s="33"/>
      <c r="W8" s="57">
        <v>1999</v>
      </c>
      <c r="X8" s="57" t="s">
        <v>119</v>
      </c>
      <c r="Y8" s="57" t="s">
        <v>103</v>
      </c>
      <c r="Z8" s="57" t="s">
        <v>106</v>
      </c>
      <c r="AA8" s="57" t="s">
        <v>91</v>
      </c>
      <c r="AB8" s="57">
        <v>149488</v>
      </c>
    </row>
    <row r="9" spans="13:28" ht="40.200000000000003" thickBot="1" x14ac:dyDescent="0.35">
      <c r="M9" s="58">
        <v>2018</v>
      </c>
      <c r="N9" s="58" t="s">
        <v>88</v>
      </c>
      <c r="O9" s="58" t="s">
        <v>92</v>
      </c>
      <c r="P9" s="58" t="s">
        <v>93</v>
      </c>
      <c r="Q9" s="58" t="s">
        <v>91</v>
      </c>
      <c r="R9" s="58">
        <v>96000</v>
      </c>
      <c r="S9" s="33"/>
      <c r="W9" s="58">
        <v>1999</v>
      </c>
      <c r="X9" s="58" t="s">
        <v>119</v>
      </c>
      <c r="Y9" s="58" t="s">
        <v>103</v>
      </c>
      <c r="Z9" s="58" t="s">
        <v>99</v>
      </c>
      <c r="AA9" s="58" t="s">
        <v>91</v>
      </c>
      <c r="AB9" s="58">
        <v>70712</v>
      </c>
    </row>
    <row r="10" spans="13:28" ht="40.200000000000003" thickBot="1" x14ac:dyDescent="0.35">
      <c r="M10" s="57">
        <v>2018</v>
      </c>
      <c r="N10" s="57" t="s">
        <v>88</v>
      </c>
      <c r="O10" s="57" t="s">
        <v>94</v>
      </c>
      <c r="P10" s="57" t="s">
        <v>95</v>
      </c>
      <c r="Q10" s="57" t="s">
        <v>91</v>
      </c>
      <c r="R10" s="57">
        <v>55000</v>
      </c>
      <c r="S10" s="33"/>
      <c r="W10" s="57">
        <v>1999</v>
      </c>
      <c r="X10" s="57" t="s">
        <v>119</v>
      </c>
      <c r="Y10" s="57" t="s">
        <v>103</v>
      </c>
      <c r="Z10" s="57" t="s">
        <v>104</v>
      </c>
      <c r="AA10" s="57" t="s">
        <v>91</v>
      </c>
      <c r="AB10" s="57">
        <v>33444</v>
      </c>
    </row>
    <row r="11" spans="13:28" ht="40.200000000000003" thickBot="1" x14ac:dyDescent="0.35">
      <c r="M11" s="58">
        <v>2018</v>
      </c>
      <c r="N11" s="58" t="s">
        <v>88</v>
      </c>
      <c r="O11" s="58" t="s">
        <v>94</v>
      </c>
      <c r="P11" s="58" t="s">
        <v>94</v>
      </c>
      <c r="Q11" s="58" t="s">
        <v>91</v>
      </c>
      <c r="R11" s="58">
        <v>161500</v>
      </c>
      <c r="S11" s="33"/>
      <c r="W11" s="58">
        <v>1998</v>
      </c>
      <c r="X11" s="58" t="s">
        <v>119</v>
      </c>
      <c r="Y11" s="58" t="s">
        <v>89</v>
      </c>
      <c r="Z11" s="58" t="s">
        <v>99</v>
      </c>
      <c r="AA11" s="58" t="s">
        <v>91</v>
      </c>
      <c r="AB11" s="58">
        <v>51501</v>
      </c>
    </row>
    <row r="12" spans="13:28" ht="40.200000000000003" thickBot="1" x14ac:dyDescent="0.35">
      <c r="M12" s="57">
        <v>2018</v>
      </c>
      <c r="N12" s="57" t="s">
        <v>88</v>
      </c>
      <c r="O12" s="57" t="s">
        <v>96</v>
      </c>
      <c r="P12" s="57" t="s">
        <v>95</v>
      </c>
      <c r="Q12" s="57" t="s">
        <v>91</v>
      </c>
      <c r="R12" s="57">
        <v>66000</v>
      </c>
      <c r="S12" s="33"/>
      <c r="W12" s="57">
        <v>1998</v>
      </c>
      <c r="X12" s="57" t="s">
        <v>119</v>
      </c>
      <c r="Y12" s="57" t="s">
        <v>103</v>
      </c>
      <c r="Z12" s="57" t="s">
        <v>98</v>
      </c>
      <c r="AA12" s="57" t="s">
        <v>91</v>
      </c>
      <c r="AB12" s="57">
        <v>39339</v>
      </c>
    </row>
    <row r="13" spans="13:28" ht="40.200000000000003" thickBot="1" x14ac:dyDescent="0.35">
      <c r="M13" s="58">
        <v>2018</v>
      </c>
      <c r="N13" s="58" t="s">
        <v>88</v>
      </c>
      <c r="O13" s="58" t="s">
        <v>96</v>
      </c>
      <c r="P13" s="58" t="s">
        <v>97</v>
      </c>
      <c r="Q13" s="58" t="s">
        <v>91</v>
      </c>
      <c r="R13" s="58">
        <v>61000</v>
      </c>
      <c r="S13" s="33">
        <f>SUM(R8:R13)</f>
        <v>547500</v>
      </c>
      <c r="W13" s="58">
        <v>1997</v>
      </c>
      <c r="X13" s="58" t="s">
        <v>119</v>
      </c>
      <c r="Y13" s="58" t="s">
        <v>103</v>
      </c>
      <c r="Z13" s="58" t="s">
        <v>98</v>
      </c>
      <c r="AA13" s="58" t="s">
        <v>91</v>
      </c>
      <c r="AB13" s="58">
        <v>107024</v>
      </c>
    </row>
    <row r="14" spans="13:28" ht="40.200000000000003" thickBot="1" x14ac:dyDescent="0.35">
      <c r="M14" s="57">
        <v>2017</v>
      </c>
      <c r="N14" s="57" t="s">
        <v>88</v>
      </c>
      <c r="O14" s="57" t="s">
        <v>89</v>
      </c>
      <c r="P14" s="57" t="s">
        <v>90</v>
      </c>
      <c r="Q14" s="57" t="s">
        <v>91</v>
      </c>
      <c r="R14" s="57">
        <v>92332</v>
      </c>
      <c r="S14" s="33"/>
      <c r="W14" s="57">
        <v>1997</v>
      </c>
      <c r="X14" s="57" t="s">
        <v>119</v>
      </c>
      <c r="Y14" s="57" t="s">
        <v>103</v>
      </c>
      <c r="Z14" s="57" t="s">
        <v>106</v>
      </c>
      <c r="AA14" s="57" t="s">
        <v>91</v>
      </c>
      <c r="AB14" s="57">
        <v>7648</v>
      </c>
    </row>
    <row r="15" spans="13:28" ht="40.200000000000003" thickBot="1" x14ac:dyDescent="0.35">
      <c r="M15" s="58">
        <v>2017</v>
      </c>
      <c r="N15" s="58" t="s">
        <v>88</v>
      </c>
      <c r="O15" s="58" t="s">
        <v>92</v>
      </c>
      <c r="P15" s="58" t="s">
        <v>93</v>
      </c>
      <c r="Q15" s="58" t="s">
        <v>91</v>
      </c>
      <c r="R15" s="58">
        <v>92707</v>
      </c>
      <c r="S15" s="33"/>
      <c r="W15" s="58">
        <v>1996</v>
      </c>
      <c r="X15" s="58" t="s">
        <v>119</v>
      </c>
      <c r="Y15" s="58" t="s">
        <v>103</v>
      </c>
      <c r="Z15" s="58" t="s">
        <v>98</v>
      </c>
      <c r="AA15" s="58" t="s">
        <v>91</v>
      </c>
      <c r="AB15" s="58">
        <v>103715</v>
      </c>
    </row>
    <row r="16" spans="13:28" ht="40.200000000000003" thickBot="1" x14ac:dyDescent="0.35">
      <c r="M16" s="57">
        <v>2017</v>
      </c>
      <c r="N16" s="57" t="s">
        <v>88</v>
      </c>
      <c r="O16" s="57" t="s">
        <v>94</v>
      </c>
      <c r="P16" s="57" t="s">
        <v>95</v>
      </c>
      <c r="Q16" s="57" t="s">
        <v>91</v>
      </c>
      <c r="R16" s="57">
        <v>42853</v>
      </c>
      <c r="S16" s="33"/>
      <c r="W16" s="57">
        <v>1996</v>
      </c>
      <c r="X16" s="57" t="s">
        <v>119</v>
      </c>
      <c r="Y16" s="57" t="s">
        <v>103</v>
      </c>
      <c r="Z16" s="57" t="s">
        <v>106</v>
      </c>
      <c r="AA16" s="57" t="s">
        <v>91</v>
      </c>
      <c r="AB16" s="57">
        <v>50512</v>
      </c>
    </row>
    <row r="17" spans="13:28" ht="40.200000000000003" thickBot="1" x14ac:dyDescent="0.35">
      <c r="M17" s="58">
        <v>2017</v>
      </c>
      <c r="N17" s="58" t="s">
        <v>88</v>
      </c>
      <c r="O17" s="58" t="s">
        <v>94</v>
      </c>
      <c r="P17" s="58" t="s">
        <v>94</v>
      </c>
      <c r="Q17" s="58" t="s">
        <v>91</v>
      </c>
      <c r="R17" s="58">
        <v>152074</v>
      </c>
      <c r="S17" s="33"/>
      <c r="W17" s="58">
        <v>1995</v>
      </c>
      <c r="X17" s="58" t="s">
        <v>119</v>
      </c>
      <c r="Y17" s="58" t="s">
        <v>103</v>
      </c>
      <c r="Z17" s="58" t="s">
        <v>98</v>
      </c>
      <c r="AA17" s="58" t="s">
        <v>91</v>
      </c>
      <c r="AB17" s="58">
        <v>17118</v>
      </c>
    </row>
    <row r="18" spans="13:28" ht="40.200000000000003" thickBot="1" x14ac:dyDescent="0.35">
      <c r="M18" s="57">
        <v>2017</v>
      </c>
      <c r="N18" s="57" t="s">
        <v>88</v>
      </c>
      <c r="O18" s="57" t="s">
        <v>96</v>
      </c>
      <c r="P18" s="57" t="s">
        <v>95</v>
      </c>
      <c r="Q18" s="57" t="s">
        <v>91</v>
      </c>
      <c r="R18" s="57">
        <v>66935</v>
      </c>
      <c r="S18" s="33">
        <f>SUM(R14:R18)</f>
        <v>446901</v>
      </c>
      <c r="W18" s="57">
        <v>1994</v>
      </c>
      <c r="X18" s="57" t="s">
        <v>119</v>
      </c>
      <c r="Y18" s="57" t="s">
        <v>103</v>
      </c>
      <c r="Z18" s="57" t="s">
        <v>98</v>
      </c>
      <c r="AA18" s="57" t="s">
        <v>91</v>
      </c>
      <c r="AB18" s="57">
        <v>62806</v>
      </c>
    </row>
    <row r="19" spans="13:28" ht="40.200000000000003" thickBot="1" x14ac:dyDescent="0.35">
      <c r="M19" s="58">
        <v>2017</v>
      </c>
      <c r="N19" s="58" t="s">
        <v>88</v>
      </c>
      <c r="O19" s="58" t="s">
        <v>96</v>
      </c>
      <c r="P19" s="58" t="s">
        <v>97</v>
      </c>
      <c r="Q19" s="58" t="s">
        <v>91</v>
      </c>
      <c r="R19" s="58">
        <v>50806</v>
      </c>
      <c r="S19" s="33"/>
      <c r="W19" s="58">
        <v>1993</v>
      </c>
      <c r="X19" s="58" t="s">
        <v>119</v>
      </c>
      <c r="Y19" s="58" t="s">
        <v>103</v>
      </c>
      <c r="Z19" s="58" t="s">
        <v>98</v>
      </c>
      <c r="AA19" s="58" t="s">
        <v>91</v>
      </c>
      <c r="AB19" s="58">
        <v>112282</v>
      </c>
    </row>
    <row r="20" spans="13:28" ht="40.200000000000003" thickBot="1" x14ac:dyDescent="0.35">
      <c r="M20" s="57">
        <v>2016</v>
      </c>
      <c r="N20" s="57" t="s">
        <v>88</v>
      </c>
      <c r="O20" s="57" t="s">
        <v>92</v>
      </c>
      <c r="P20" s="57" t="s">
        <v>93</v>
      </c>
      <c r="Q20" s="57" t="s">
        <v>91</v>
      </c>
      <c r="R20" s="57">
        <v>99283</v>
      </c>
      <c r="S20" s="33"/>
      <c r="W20" s="57">
        <v>1992</v>
      </c>
      <c r="X20" s="57" t="s">
        <v>119</v>
      </c>
      <c r="Y20" s="57" t="s">
        <v>103</v>
      </c>
      <c r="Z20" s="57" t="s">
        <v>98</v>
      </c>
      <c r="AA20" s="57" t="s">
        <v>91</v>
      </c>
      <c r="AB20" s="57">
        <v>96484</v>
      </c>
    </row>
    <row r="21" spans="13:28" ht="40.200000000000003" thickBot="1" x14ac:dyDescent="0.35">
      <c r="M21" s="58">
        <v>2016</v>
      </c>
      <c r="N21" s="58" t="s">
        <v>88</v>
      </c>
      <c r="O21" s="58" t="s">
        <v>89</v>
      </c>
      <c r="P21" s="58" t="s">
        <v>90</v>
      </c>
      <c r="Q21" s="58" t="s">
        <v>91</v>
      </c>
      <c r="R21" s="58">
        <v>108069</v>
      </c>
      <c r="S21" s="33"/>
      <c r="W21" s="58">
        <v>1991</v>
      </c>
      <c r="X21" s="58" t="s">
        <v>119</v>
      </c>
      <c r="Y21" s="58" t="s">
        <v>103</v>
      </c>
      <c r="Z21" s="58" t="s">
        <v>106</v>
      </c>
      <c r="AA21" s="58" t="s">
        <v>91</v>
      </c>
      <c r="AB21" s="58">
        <v>37443</v>
      </c>
    </row>
    <row r="22" spans="13:28" ht="40.200000000000003" thickBot="1" x14ac:dyDescent="0.35">
      <c r="M22" s="57">
        <v>2016</v>
      </c>
      <c r="N22" s="57" t="s">
        <v>88</v>
      </c>
      <c r="O22" s="57" t="s">
        <v>94</v>
      </c>
      <c r="P22" s="57" t="s">
        <v>98</v>
      </c>
      <c r="Q22" s="57" t="s">
        <v>91</v>
      </c>
      <c r="R22" s="57">
        <v>119950</v>
      </c>
      <c r="S22" s="33"/>
      <c r="W22" s="57">
        <v>1991</v>
      </c>
      <c r="X22" s="57" t="s">
        <v>119</v>
      </c>
      <c r="Y22" s="57" t="s">
        <v>103</v>
      </c>
      <c r="Z22" s="57" t="s">
        <v>98</v>
      </c>
      <c r="AA22" s="57" t="s">
        <v>91</v>
      </c>
      <c r="AB22" s="57">
        <v>94634</v>
      </c>
    </row>
    <row r="23" spans="13:28" ht="40.200000000000003" thickBot="1" x14ac:dyDescent="0.35">
      <c r="M23" s="58">
        <v>2016</v>
      </c>
      <c r="N23" s="58" t="s">
        <v>88</v>
      </c>
      <c r="O23" s="58" t="s">
        <v>94</v>
      </c>
      <c r="P23" s="58" t="s">
        <v>94</v>
      </c>
      <c r="Q23" s="58" t="s">
        <v>91</v>
      </c>
      <c r="R23" s="58">
        <v>169794</v>
      </c>
      <c r="S23" s="33"/>
      <c r="W23" s="58">
        <v>1991</v>
      </c>
      <c r="X23" s="58" t="s">
        <v>119</v>
      </c>
      <c r="Y23" s="58" t="s">
        <v>103</v>
      </c>
      <c r="Z23" s="58" t="s">
        <v>106</v>
      </c>
      <c r="AA23" s="58" t="s">
        <v>91</v>
      </c>
      <c r="AB23" s="58">
        <v>19889</v>
      </c>
    </row>
    <row r="24" spans="13:28" ht="40.200000000000003" thickBot="1" x14ac:dyDescent="0.35">
      <c r="M24" s="57">
        <v>2016</v>
      </c>
      <c r="N24" s="57" t="s">
        <v>88</v>
      </c>
      <c r="O24" s="57" t="s">
        <v>96</v>
      </c>
      <c r="P24" s="57" t="s">
        <v>97</v>
      </c>
      <c r="Q24" s="57" t="s">
        <v>91</v>
      </c>
      <c r="R24" s="57">
        <v>68376</v>
      </c>
      <c r="S24" s="33">
        <f>SUM(R19:R24)</f>
        <v>616278</v>
      </c>
      <c r="W24" s="57">
        <v>1990</v>
      </c>
      <c r="X24" s="57" t="s">
        <v>119</v>
      </c>
      <c r="Y24" s="57" t="s">
        <v>103</v>
      </c>
      <c r="Z24" s="57" t="s">
        <v>98</v>
      </c>
      <c r="AA24" s="57" t="s">
        <v>91</v>
      </c>
      <c r="AB24" s="57">
        <v>93447</v>
      </c>
    </row>
    <row r="25" spans="13:28" ht="40.200000000000003" thickBot="1" x14ac:dyDescent="0.35">
      <c r="M25" s="58">
        <v>2015</v>
      </c>
      <c r="N25" s="58" t="s">
        <v>88</v>
      </c>
      <c r="O25" s="58" t="s">
        <v>89</v>
      </c>
      <c r="P25" s="58" t="s">
        <v>90</v>
      </c>
      <c r="Q25" s="58" t="s">
        <v>91</v>
      </c>
      <c r="R25" s="58">
        <v>103956</v>
      </c>
      <c r="S25" s="33"/>
      <c r="W25" s="58">
        <v>1990</v>
      </c>
      <c r="X25" s="58" t="s">
        <v>119</v>
      </c>
      <c r="Y25" s="58" t="s">
        <v>103</v>
      </c>
      <c r="Z25" s="58" t="s">
        <v>106</v>
      </c>
      <c r="AA25" s="58" t="s">
        <v>91</v>
      </c>
      <c r="AB25" s="58">
        <v>2925</v>
      </c>
    </row>
    <row r="26" spans="13:28" ht="40.200000000000003" thickBot="1" x14ac:dyDescent="0.35">
      <c r="M26" s="57">
        <v>2015</v>
      </c>
      <c r="N26" s="57" t="s">
        <v>88</v>
      </c>
      <c r="O26" s="57" t="s">
        <v>92</v>
      </c>
      <c r="P26" s="57" t="s">
        <v>93</v>
      </c>
      <c r="Q26" s="57" t="s">
        <v>91</v>
      </c>
      <c r="R26" s="57">
        <v>67905</v>
      </c>
      <c r="S26" s="33"/>
      <c r="W26" s="57">
        <v>1989</v>
      </c>
      <c r="X26" s="57" t="s">
        <v>119</v>
      </c>
      <c r="Y26" s="57" t="s">
        <v>103</v>
      </c>
      <c r="Z26" s="57" t="s">
        <v>98</v>
      </c>
      <c r="AA26" s="57" t="s">
        <v>91</v>
      </c>
      <c r="AB26" s="57">
        <v>85490</v>
      </c>
    </row>
    <row r="27" spans="13:28" ht="40.200000000000003" thickBot="1" x14ac:dyDescent="0.35">
      <c r="M27" s="58">
        <v>2015</v>
      </c>
      <c r="N27" s="58" t="s">
        <v>88</v>
      </c>
      <c r="O27" s="58" t="s">
        <v>92</v>
      </c>
      <c r="P27" s="58" t="s">
        <v>99</v>
      </c>
      <c r="Q27" s="58" t="s">
        <v>91</v>
      </c>
      <c r="R27" s="58">
        <v>27430</v>
      </c>
      <c r="S27" s="33"/>
      <c r="W27" s="58">
        <v>1988</v>
      </c>
      <c r="X27" s="58" t="s">
        <v>119</v>
      </c>
      <c r="Y27" s="58" t="s">
        <v>103</v>
      </c>
      <c r="Z27" s="58" t="s">
        <v>109</v>
      </c>
      <c r="AA27" s="58" t="s">
        <v>91</v>
      </c>
      <c r="AB27" s="58">
        <v>137500</v>
      </c>
    </row>
    <row r="28" spans="13:28" ht="40.200000000000003" thickBot="1" x14ac:dyDescent="0.35">
      <c r="M28" s="57">
        <v>2015</v>
      </c>
      <c r="N28" s="57" t="s">
        <v>88</v>
      </c>
      <c r="O28" s="57" t="s">
        <v>94</v>
      </c>
      <c r="P28" s="57" t="s">
        <v>94</v>
      </c>
      <c r="Q28" s="57" t="s">
        <v>91</v>
      </c>
      <c r="R28" s="57">
        <v>182886</v>
      </c>
      <c r="S28" s="33"/>
      <c r="W28" s="57">
        <v>1988</v>
      </c>
      <c r="X28" s="57" t="s">
        <v>119</v>
      </c>
      <c r="Y28" s="57" t="s">
        <v>103</v>
      </c>
      <c r="Z28" s="57" t="s">
        <v>109</v>
      </c>
      <c r="AA28" s="57" t="s">
        <v>91</v>
      </c>
      <c r="AB28" s="57">
        <v>117000</v>
      </c>
    </row>
    <row r="29" spans="13:28" ht="27" thickBot="1" x14ac:dyDescent="0.35">
      <c r="M29" s="58">
        <v>2015</v>
      </c>
      <c r="N29" s="58" t="s">
        <v>88</v>
      </c>
      <c r="O29" s="58" t="s">
        <v>96</v>
      </c>
      <c r="P29" s="58" t="s">
        <v>95</v>
      </c>
      <c r="Q29" s="58" t="s">
        <v>91</v>
      </c>
      <c r="R29" s="58">
        <v>68720</v>
      </c>
      <c r="S29" s="33"/>
      <c r="W29" s="58">
        <v>1987</v>
      </c>
      <c r="X29" s="58" t="s">
        <v>119</v>
      </c>
      <c r="Y29" s="58" t="s">
        <v>96</v>
      </c>
      <c r="Z29" s="58" t="s">
        <v>93</v>
      </c>
      <c r="AA29" s="58" t="s">
        <v>91</v>
      </c>
      <c r="AB29" s="58">
        <v>82000</v>
      </c>
    </row>
    <row r="30" spans="13:28" ht="40.200000000000003" thickBot="1" x14ac:dyDescent="0.35">
      <c r="M30" s="57">
        <v>2015</v>
      </c>
      <c r="N30" s="57" t="s">
        <v>88</v>
      </c>
      <c r="O30" s="57" t="s">
        <v>96</v>
      </c>
      <c r="P30" s="57" t="s">
        <v>97</v>
      </c>
      <c r="Q30" s="57" t="s">
        <v>91</v>
      </c>
      <c r="R30" s="57">
        <v>76187</v>
      </c>
      <c r="S30" s="33"/>
      <c r="W30" s="57">
        <v>1987</v>
      </c>
      <c r="X30" s="57" t="s">
        <v>119</v>
      </c>
      <c r="Y30" s="57" t="s">
        <v>103</v>
      </c>
      <c r="Z30" s="57" t="s">
        <v>109</v>
      </c>
      <c r="AA30" s="57" t="s">
        <v>91</v>
      </c>
      <c r="AB30" s="57">
        <v>110634</v>
      </c>
    </row>
    <row r="31" spans="13:28" ht="27" thickBot="1" x14ac:dyDescent="0.35">
      <c r="M31" s="58">
        <v>2015</v>
      </c>
      <c r="N31" s="58" t="s">
        <v>88</v>
      </c>
      <c r="O31" s="58" t="s">
        <v>96</v>
      </c>
      <c r="P31" s="58" t="s">
        <v>95</v>
      </c>
      <c r="Q31" s="58" t="s">
        <v>91</v>
      </c>
      <c r="R31" s="58">
        <v>54725</v>
      </c>
      <c r="S31" s="33"/>
    </row>
    <row r="32" spans="13:28" ht="40.200000000000003" thickBot="1" x14ac:dyDescent="0.35">
      <c r="M32" s="57">
        <v>2015</v>
      </c>
      <c r="N32" s="57" t="s">
        <v>88</v>
      </c>
      <c r="O32" s="57" t="s">
        <v>92</v>
      </c>
      <c r="P32" s="57" t="s">
        <v>99</v>
      </c>
      <c r="Q32" s="57" t="s">
        <v>91</v>
      </c>
      <c r="R32" s="57">
        <v>31565</v>
      </c>
      <c r="S32" s="33"/>
    </row>
    <row r="33" spans="13:19" ht="40.200000000000003" thickBot="1" x14ac:dyDescent="0.35">
      <c r="M33" s="58">
        <v>2015</v>
      </c>
      <c r="N33" s="58" t="s">
        <v>88</v>
      </c>
      <c r="O33" s="58" t="s">
        <v>94</v>
      </c>
      <c r="P33" s="58" t="s">
        <v>94</v>
      </c>
      <c r="Q33" s="58" t="s">
        <v>91</v>
      </c>
      <c r="R33" s="58">
        <v>7299</v>
      </c>
      <c r="S33" s="33"/>
    </row>
    <row r="34" spans="13:19" ht="40.200000000000003" thickBot="1" x14ac:dyDescent="0.35">
      <c r="M34" s="57">
        <v>2015</v>
      </c>
      <c r="N34" s="57" t="s">
        <v>88</v>
      </c>
      <c r="O34" s="57" t="s">
        <v>94</v>
      </c>
      <c r="P34" s="57" t="s">
        <v>94</v>
      </c>
      <c r="Q34" s="57" t="s">
        <v>91</v>
      </c>
      <c r="R34" s="57">
        <v>6912</v>
      </c>
      <c r="S34" s="33">
        <f>SUM(R25:R34)</f>
        <v>627585</v>
      </c>
    </row>
    <row r="35" spans="13:19" ht="27" thickBot="1" x14ac:dyDescent="0.35">
      <c r="M35" s="58">
        <v>2014</v>
      </c>
      <c r="N35" s="58" t="s">
        <v>88</v>
      </c>
      <c r="O35" s="58" t="s">
        <v>100</v>
      </c>
      <c r="P35" s="58" t="s">
        <v>101</v>
      </c>
      <c r="Q35" s="58" t="s">
        <v>91</v>
      </c>
      <c r="R35" s="58">
        <v>141790</v>
      </c>
      <c r="S35" s="33"/>
    </row>
    <row r="36" spans="13:19" ht="27" thickBot="1" x14ac:dyDescent="0.35">
      <c r="M36" s="57">
        <v>2014</v>
      </c>
      <c r="N36" s="57" t="s">
        <v>88</v>
      </c>
      <c r="O36" s="57" t="s">
        <v>89</v>
      </c>
      <c r="P36" s="57" t="s">
        <v>90</v>
      </c>
      <c r="Q36" s="57" t="s">
        <v>91</v>
      </c>
      <c r="R36" s="57">
        <v>76525</v>
      </c>
      <c r="S36" s="33"/>
    </row>
    <row r="37" spans="13:19" ht="40.200000000000003" thickBot="1" x14ac:dyDescent="0.35">
      <c r="M37" s="58">
        <v>2014</v>
      </c>
      <c r="N37" s="58" t="s">
        <v>88</v>
      </c>
      <c r="O37" s="58" t="s">
        <v>92</v>
      </c>
      <c r="P37" s="58" t="s">
        <v>98</v>
      </c>
      <c r="Q37" s="58" t="s">
        <v>91</v>
      </c>
      <c r="R37" s="58">
        <v>55000</v>
      </c>
      <c r="S37" s="33"/>
    </row>
    <row r="38" spans="13:19" ht="40.200000000000003" thickBot="1" x14ac:dyDescent="0.35">
      <c r="M38" s="57">
        <v>2014</v>
      </c>
      <c r="N38" s="57" t="s">
        <v>88</v>
      </c>
      <c r="O38" s="57" t="s">
        <v>92</v>
      </c>
      <c r="P38" s="57" t="s">
        <v>93</v>
      </c>
      <c r="Q38" s="57" t="s">
        <v>91</v>
      </c>
      <c r="R38" s="57">
        <v>102128</v>
      </c>
      <c r="S38" s="33"/>
    </row>
    <row r="39" spans="13:19" ht="40.200000000000003" thickBot="1" x14ac:dyDescent="0.35">
      <c r="M39" s="58">
        <v>2014</v>
      </c>
      <c r="N39" s="58" t="s">
        <v>88</v>
      </c>
      <c r="O39" s="58" t="s">
        <v>94</v>
      </c>
      <c r="P39" s="58" t="s">
        <v>102</v>
      </c>
      <c r="Q39" s="58" t="s">
        <v>91</v>
      </c>
      <c r="R39" s="58">
        <v>175264</v>
      </c>
      <c r="S39" s="33"/>
    </row>
    <row r="40" spans="13:19" ht="27" thickBot="1" x14ac:dyDescent="0.35">
      <c r="M40" s="57">
        <v>2014</v>
      </c>
      <c r="N40" s="57" t="s">
        <v>88</v>
      </c>
      <c r="O40" s="57" t="s">
        <v>96</v>
      </c>
      <c r="P40" s="57" t="s">
        <v>98</v>
      </c>
      <c r="Q40" s="57" t="s">
        <v>91</v>
      </c>
      <c r="R40" s="57">
        <v>66000</v>
      </c>
      <c r="S40" s="33"/>
    </row>
    <row r="41" spans="13:19" ht="40.200000000000003" thickBot="1" x14ac:dyDescent="0.35">
      <c r="M41" s="58">
        <v>2014</v>
      </c>
      <c r="N41" s="58" t="s">
        <v>88</v>
      </c>
      <c r="O41" s="58" t="s">
        <v>96</v>
      </c>
      <c r="P41" s="58" t="s">
        <v>99</v>
      </c>
      <c r="Q41" s="58" t="s">
        <v>91</v>
      </c>
      <c r="R41" s="58">
        <v>70312</v>
      </c>
      <c r="S41" s="33"/>
    </row>
    <row r="42" spans="13:19" ht="27" thickBot="1" x14ac:dyDescent="0.35">
      <c r="M42" s="57">
        <v>2014</v>
      </c>
      <c r="N42" s="57" t="s">
        <v>88</v>
      </c>
      <c r="O42" s="57" t="s">
        <v>103</v>
      </c>
      <c r="P42" s="57" t="s">
        <v>95</v>
      </c>
      <c r="Q42" s="57" t="s">
        <v>91</v>
      </c>
      <c r="R42" s="57">
        <v>67166</v>
      </c>
      <c r="S42" s="33"/>
    </row>
    <row r="43" spans="13:19" ht="27" thickBot="1" x14ac:dyDescent="0.35">
      <c r="M43" s="58">
        <v>2014</v>
      </c>
      <c r="N43" s="58" t="s">
        <v>88</v>
      </c>
      <c r="O43" s="58" t="s">
        <v>103</v>
      </c>
      <c r="P43" s="58" t="s">
        <v>95</v>
      </c>
      <c r="Q43" s="58" t="s">
        <v>91</v>
      </c>
      <c r="R43" s="58">
        <v>56864</v>
      </c>
      <c r="S43" s="33"/>
    </row>
    <row r="44" spans="13:19" ht="27" thickBot="1" x14ac:dyDescent="0.35">
      <c r="M44" s="57">
        <v>2014</v>
      </c>
      <c r="N44" s="57" t="s">
        <v>88</v>
      </c>
      <c r="O44" s="57" t="s">
        <v>89</v>
      </c>
      <c r="P44" s="57" t="s">
        <v>90</v>
      </c>
      <c r="Q44" s="57" t="s">
        <v>91</v>
      </c>
      <c r="R44" s="57">
        <v>31103</v>
      </c>
      <c r="S44" s="33"/>
    </row>
    <row r="45" spans="13:19" ht="40.200000000000003" thickBot="1" x14ac:dyDescent="0.35">
      <c r="M45" s="58">
        <v>2014</v>
      </c>
      <c r="N45" s="58" t="s">
        <v>88</v>
      </c>
      <c r="O45" s="58" t="s">
        <v>94</v>
      </c>
      <c r="P45" s="58" t="s">
        <v>102</v>
      </c>
      <c r="Q45" s="58" t="s">
        <v>91</v>
      </c>
      <c r="R45" s="58">
        <v>7083</v>
      </c>
      <c r="S45" s="33"/>
    </row>
    <row r="46" spans="13:19" ht="40.200000000000003" thickBot="1" x14ac:dyDescent="0.35">
      <c r="M46" s="57">
        <v>2014</v>
      </c>
      <c r="N46" s="57" t="s">
        <v>88</v>
      </c>
      <c r="O46" s="57" t="s">
        <v>94</v>
      </c>
      <c r="P46" s="57" t="s">
        <v>102</v>
      </c>
      <c r="Q46" s="57" t="s">
        <v>91</v>
      </c>
      <c r="R46" s="57">
        <v>7153</v>
      </c>
      <c r="S46" s="33"/>
    </row>
    <row r="47" spans="13:19" ht="27" thickBot="1" x14ac:dyDescent="0.35">
      <c r="M47" s="58">
        <v>2014</v>
      </c>
      <c r="N47" s="58" t="s">
        <v>88</v>
      </c>
      <c r="O47" s="58" t="s">
        <v>100</v>
      </c>
      <c r="P47" s="58" t="s">
        <v>101</v>
      </c>
      <c r="Q47" s="58" t="s">
        <v>91</v>
      </c>
      <c r="R47" s="58">
        <v>25050</v>
      </c>
      <c r="S47" s="33"/>
    </row>
    <row r="48" spans="13:19" ht="27" thickBot="1" x14ac:dyDescent="0.35">
      <c r="M48" s="57">
        <v>2014</v>
      </c>
      <c r="N48" s="57" t="s">
        <v>88</v>
      </c>
      <c r="O48" s="57" t="s">
        <v>100</v>
      </c>
      <c r="P48" s="57" t="s">
        <v>101</v>
      </c>
      <c r="Q48" s="57" t="s">
        <v>91</v>
      </c>
      <c r="R48" s="57">
        <v>24979</v>
      </c>
      <c r="S48" s="33">
        <f>SUM(R35:R48)-R35-R47-R48</f>
        <v>714598</v>
      </c>
    </row>
    <row r="49" spans="13:19" ht="27" thickBot="1" x14ac:dyDescent="0.35">
      <c r="M49" s="58">
        <v>2013</v>
      </c>
      <c r="N49" s="58" t="s">
        <v>88</v>
      </c>
      <c r="O49" s="58" t="s">
        <v>89</v>
      </c>
      <c r="P49" s="58" t="s">
        <v>90</v>
      </c>
      <c r="Q49" s="58" t="s">
        <v>91</v>
      </c>
      <c r="R49" s="58">
        <v>106095</v>
      </c>
      <c r="S49" s="33"/>
    </row>
    <row r="50" spans="13:19" ht="40.200000000000003" thickBot="1" x14ac:dyDescent="0.35">
      <c r="M50" s="57">
        <v>2013</v>
      </c>
      <c r="N50" s="57" t="s">
        <v>88</v>
      </c>
      <c r="O50" s="57" t="s">
        <v>92</v>
      </c>
      <c r="P50" s="57" t="s">
        <v>98</v>
      </c>
      <c r="Q50" s="57" t="s">
        <v>91</v>
      </c>
      <c r="R50" s="57">
        <v>57170</v>
      </c>
      <c r="S50" s="33"/>
    </row>
    <row r="51" spans="13:19" ht="40.200000000000003" thickBot="1" x14ac:dyDescent="0.35">
      <c r="M51" s="58">
        <v>2013</v>
      </c>
      <c r="N51" s="58" t="s">
        <v>88</v>
      </c>
      <c r="O51" s="58" t="s">
        <v>92</v>
      </c>
      <c r="P51" s="58" t="s">
        <v>93</v>
      </c>
      <c r="Q51" s="58" t="s">
        <v>91</v>
      </c>
      <c r="R51" s="58">
        <v>95907</v>
      </c>
      <c r="S51" s="33"/>
    </row>
    <row r="52" spans="13:19" ht="40.200000000000003" thickBot="1" x14ac:dyDescent="0.35">
      <c r="M52" s="57">
        <v>2013</v>
      </c>
      <c r="N52" s="57" t="s">
        <v>88</v>
      </c>
      <c r="O52" s="57" t="s">
        <v>94</v>
      </c>
      <c r="P52" s="57" t="s">
        <v>94</v>
      </c>
      <c r="Q52" s="57" t="s">
        <v>91</v>
      </c>
      <c r="R52" s="57">
        <v>186828</v>
      </c>
      <c r="S52" s="33"/>
    </row>
    <row r="53" spans="13:19" ht="27" thickBot="1" x14ac:dyDescent="0.35">
      <c r="M53" s="58">
        <v>2013</v>
      </c>
      <c r="N53" s="58" t="s">
        <v>88</v>
      </c>
      <c r="O53" s="58" t="s">
        <v>96</v>
      </c>
      <c r="P53" s="58" t="s">
        <v>97</v>
      </c>
      <c r="Q53" s="58" t="s">
        <v>91</v>
      </c>
      <c r="R53" s="58">
        <v>71695</v>
      </c>
      <c r="S53" s="33"/>
    </row>
    <row r="54" spans="13:19" ht="27" thickBot="1" x14ac:dyDescent="0.35">
      <c r="M54" s="57">
        <v>2013</v>
      </c>
      <c r="N54" s="57" t="s">
        <v>88</v>
      </c>
      <c r="O54" s="57" t="s">
        <v>96</v>
      </c>
      <c r="P54" s="57" t="s">
        <v>98</v>
      </c>
      <c r="Q54" s="57" t="s">
        <v>91</v>
      </c>
      <c r="R54" s="57">
        <v>69230</v>
      </c>
      <c r="S54" s="33">
        <f>SUM(R49:R54)</f>
        <v>586925</v>
      </c>
    </row>
    <row r="55" spans="13:19" ht="27" thickBot="1" x14ac:dyDescent="0.35">
      <c r="M55" s="58">
        <v>2012</v>
      </c>
      <c r="N55" s="58" t="s">
        <v>88</v>
      </c>
      <c r="O55" s="58" t="s">
        <v>89</v>
      </c>
      <c r="P55" s="58" t="s">
        <v>90</v>
      </c>
      <c r="Q55" s="58" t="s">
        <v>91</v>
      </c>
      <c r="R55" s="58">
        <v>115064</v>
      </c>
      <c r="S55" s="33"/>
    </row>
    <row r="56" spans="13:19" ht="40.200000000000003" thickBot="1" x14ac:dyDescent="0.35">
      <c r="M56" s="57">
        <v>2012</v>
      </c>
      <c r="N56" s="57" t="s">
        <v>88</v>
      </c>
      <c r="O56" s="57" t="s">
        <v>92</v>
      </c>
      <c r="P56" s="57" t="s">
        <v>93</v>
      </c>
      <c r="Q56" s="57" t="s">
        <v>91</v>
      </c>
      <c r="R56" s="57">
        <v>102078</v>
      </c>
      <c r="S56" s="33"/>
    </row>
    <row r="57" spans="13:19" ht="40.200000000000003" thickBot="1" x14ac:dyDescent="0.35">
      <c r="M57" s="58">
        <v>2012</v>
      </c>
      <c r="N57" s="58" t="s">
        <v>88</v>
      </c>
      <c r="O57" s="58" t="s">
        <v>94</v>
      </c>
      <c r="P57" s="58" t="s">
        <v>94</v>
      </c>
      <c r="Q57" s="58" t="s">
        <v>91</v>
      </c>
      <c r="R57" s="58">
        <v>186409</v>
      </c>
      <c r="S57" s="33"/>
    </row>
    <row r="58" spans="13:19" ht="27" thickBot="1" x14ac:dyDescent="0.35">
      <c r="M58" s="57">
        <v>2012</v>
      </c>
      <c r="N58" s="57" t="s">
        <v>88</v>
      </c>
      <c r="O58" s="57" t="s">
        <v>96</v>
      </c>
      <c r="P58" s="57" t="s">
        <v>97</v>
      </c>
      <c r="Q58" s="57" t="s">
        <v>91</v>
      </c>
      <c r="R58" s="57">
        <v>71006</v>
      </c>
      <c r="S58" s="33"/>
    </row>
    <row r="59" spans="13:19" ht="27" thickBot="1" x14ac:dyDescent="0.35">
      <c r="M59" s="58">
        <v>2012</v>
      </c>
      <c r="N59" s="58" t="s">
        <v>88</v>
      </c>
      <c r="O59" s="58" t="s">
        <v>96</v>
      </c>
      <c r="P59" s="58" t="s">
        <v>98</v>
      </c>
      <c r="Q59" s="58" t="s">
        <v>91</v>
      </c>
      <c r="R59" s="58">
        <v>65864</v>
      </c>
      <c r="S59" s="33"/>
    </row>
    <row r="60" spans="13:19" ht="40.200000000000003" thickBot="1" x14ac:dyDescent="0.35">
      <c r="M60" s="57">
        <v>2012</v>
      </c>
      <c r="N60" s="57" t="s">
        <v>88</v>
      </c>
      <c r="O60" s="57" t="s">
        <v>92</v>
      </c>
      <c r="P60" s="57" t="s">
        <v>98</v>
      </c>
      <c r="Q60" s="57" t="s">
        <v>91</v>
      </c>
      <c r="R60" s="57">
        <v>57593</v>
      </c>
      <c r="S60" s="33">
        <f>SUM(R55:R60)</f>
        <v>598014</v>
      </c>
    </row>
    <row r="61" spans="13:19" ht="27" thickBot="1" x14ac:dyDescent="0.35">
      <c r="M61" s="58">
        <v>2011</v>
      </c>
      <c r="N61" s="58" t="s">
        <v>88</v>
      </c>
      <c r="O61" s="58" t="s">
        <v>96</v>
      </c>
      <c r="P61" s="58" t="s">
        <v>97</v>
      </c>
      <c r="Q61" s="58" t="s">
        <v>91</v>
      </c>
      <c r="R61" s="58">
        <v>20680</v>
      </c>
      <c r="S61" s="33"/>
    </row>
    <row r="62" spans="13:19" ht="27" thickBot="1" x14ac:dyDescent="0.35">
      <c r="M62" s="57">
        <v>2011</v>
      </c>
      <c r="N62" s="57" t="s">
        <v>88</v>
      </c>
      <c r="O62" s="57" t="s">
        <v>96</v>
      </c>
      <c r="P62" s="57" t="s">
        <v>97</v>
      </c>
      <c r="Q62" s="57" t="s">
        <v>91</v>
      </c>
      <c r="R62" s="57">
        <v>14994</v>
      </c>
      <c r="S62" s="33"/>
    </row>
    <row r="63" spans="13:19" ht="27" thickBot="1" x14ac:dyDescent="0.35">
      <c r="M63" s="58">
        <v>2011</v>
      </c>
      <c r="N63" s="58" t="s">
        <v>88</v>
      </c>
      <c r="O63" s="58" t="s">
        <v>89</v>
      </c>
      <c r="P63" s="58" t="s">
        <v>90</v>
      </c>
      <c r="Q63" s="58" t="s">
        <v>91</v>
      </c>
      <c r="R63" s="58">
        <v>111596</v>
      </c>
      <c r="S63" s="33"/>
    </row>
    <row r="64" spans="13:19" ht="40.200000000000003" thickBot="1" x14ac:dyDescent="0.35">
      <c r="M64" s="57">
        <v>2011</v>
      </c>
      <c r="N64" s="57" t="s">
        <v>88</v>
      </c>
      <c r="O64" s="57" t="s">
        <v>92</v>
      </c>
      <c r="P64" s="57" t="s">
        <v>98</v>
      </c>
      <c r="Q64" s="57" t="s">
        <v>91</v>
      </c>
      <c r="R64" s="57">
        <v>55173</v>
      </c>
      <c r="S64" s="33"/>
    </row>
    <row r="65" spans="13:19" ht="40.200000000000003" thickBot="1" x14ac:dyDescent="0.35">
      <c r="M65" s="58">
        <v>2011</v>
      </c>
      <c r="N65" s="58" t="s">
        <v>88</v>
      </c>
      <c r="O65" s="58" t="s">
        <v>94</v>
      </c>
      <c r="P65" s="58" t="s">
        <v>94</v>
      </c>
      <c r="Q65" s="58" t="s">
        <v>91</v>
      </c>
      <c r="R65" s="58">
        <v>189720</v>
      </c>
      <c r="S65" s="33"/>
    </row>
    <row r="66" spans="13:19" ht="27" thickBot="1" x14ac:dyDescent="0.35">
      <c r="M66" s="57">
        <v>2011</v>
      </c>
      <c r="N66" s="57" t="s">
        <v>88</v>
      </c>
      <c r="O66" s="57" t="s">
        <v>96</v>
      </c>
      <c r="P66" s="57" t="s">
        <v>97</v>
      </c>
      <c r="Q66" s="57" t="s">
        <v>91</v>
      </c>
      <c r="R66" s="57">
        <v>61015</v>
      </c>
      <c r="S66" s="33"/>
    </row>
    <row r="67" spans="13:19" ht="27" thickBot="1" x14ac:dyDescent="0.35">
      <c r="M67" s="58">
        <v>2011</v>
      </c>
      <c r="N67" s="58" t="s">
        <v>88</v>
      </c>
      <c r="O67" s="58" t="s">
        <v>96</v>
      </c>
      <c r="P67" s="58" t="s">
        <v>98</v>
      </c>
      <c r="Q67" s="58" t="s">
        <v>91</v>
      </c>
      <c r="R67" s="58">
        <v>65516</v>
      </c>
      <c r="S67" s="33"/>
    </row>
    <row r="68" spans="13:19" ht="40.200000000000003" thickBot="1" x14ac:dyDescent="0.35">
      <c r="M68" s="57">
        <v>2011</v>
      </c>
      <c r="N68" s="57" t="s">
        <v>88</v>
      </c>
      <c r="O68" s="57" t="s">
        <v>92</v>
      </c>
      <c r="P68" s="57" t="s">
        <v>93</v>
      </c>
      <c r="Q68" s="57" t="s">
        <v>91</v>
      </c>
      <c r="R68" s="57">
        <v>75544</v>
      </c>
      <c r="S68" s="33"/>
    </row>
    <row r="69" spans="13:19" ht="27" thickBot="1" x14ac:dyDescent="0.35">
      <c r="M69" s="58">
        <v>2011</v>
      </c>
      <c r="N69" s="58" t="s">
        <v>88</v>
      </c>
      <c r="O69" s="58" t="s">
        <v>96</v>
      </c>
      <c r="P69" s="58" t="s">
        <v>93</v>
      </c>
      <c r="Q69" s="58" t="s">
        <v>91</v>
      </c>
      <c r="R69" s="58">
        <v>30870</v>
      </c>
      <c r="S69" s="33">
        <f>SUM(R61:R69)</f>
        <v>625108</v>
      </c>
    </row>
    <row r="70" spans="13:19" ht="27" thickBot="1" x14ac:dyDescent="0.35">
      <c r="M70" s="57">
        <v>2010</v>
      </c>
      <c r="N70" s="57" t="s">
        <v>88</v>
      </c>
      <c r="O70" s="57" t="s">
        <v>100</v>
      </c>
      <c r="P70" s="57" t="s">
        <v>101</v>
      </c>
      <c r="Q70" s="57" t="s">
        <v>91</v>
      </c>
      <c r="R70" s="57">
        <v>149928</v>
      </c>
      <c r="S70" s="33"/>
    </row>
    <row r="71" spans="13:19" ht="27" thickBot="1" x14ac:dyDescent="0.35">
      <c r="M71" s="58">
        <v>2010</v>
      </c>
      <c r="N71" s="58" t="s">
        <v>88</v>
      </c>
      <c r="O71" s="58" t="s">
        <v>89</v>
      </c>
      <c r="P71" s="58" t="s">
        <v>90</v>
      </c>
      <c r="Q71" s="58" t="s">
        <v>91</v>
      </c>
      <c r="R71" s="58">
        <v>106389</v>
      </c>
      <c r="S71" s="33"/>
    </row>
    <row r="72" spans="13:19" ht="40.200000000000003" thickBot="1" x14ac:dyDescent="0.35">
      <c r="M72" s="57">
        <v>2010</v>
      </c>
      <c r="N72" s="57" t="s">
        <v>88</v>
      </c>
      <c r="O72" s="57" t="s">
        <v>92</v>
      </c>
      <c r="P72" s="57" t="s">
        <v>95</v>
      </c>
      <c r="Q72" s="57" t="s">
        <v>91</v>
      </c>
      <c r="R72" s="57">
        <v>29893</v>
      </c>
      <c r="S72" s="33"/>
    </row>
    <row r="73" spans="13:19" ht="40.200000000000003" thickBot="1" x14ac:dyDescent="0.35">
      <c r="M73" s="58">
        <v>2010</v>
      </c>
      <c r="N73" s="58" t="s">
        <v>88</v>
      </c>
      <c r="O73" s="58" t="s">
        <v>92</v>
      </c>
      <c r="P73" s="58" t="s">
        <v>93</v>
      </c>
      <c r="Q73" s="58" t="s">
        <v>91</v>
      </c>
      <c r="R73" s="58">
        <v>69185</v>
      </c>
      <c r="S73" s="33"/>
    </row>
    <row r="74" spans="13:19" ht="40.200000000000003" thickBot="1" x14ac:dyDescent="0.35">
      <c r="M74" s="57">
        <v>2010</v>
      </c>
      <c r="N74" s="57" t="s">
        <v>88</v>
      </c>
      <c r="O74" s="57" t="s">
        <v>94</v>
      </c>
      <c r="P74" s="57" t="s">
        <v>94</v>
      </c>
      <c r="Q74" s="57" t="s">
        <v>91</v>
      </c>
      <c r="R74" s="57">
        <v>192176</v>
      </c>
      <c r="S74" s="33"/>
    </row>
    <row r="75" spans="13:19" ht="27" thickBot="1" x14ac:dyDescent="0.35">
      <c r="M75" s="58">
        <v>2010</v>
      </c>
      <c r="N75" s="58" t="s">
        <v>88</v>
      </c>
      <c r="O75" s="58" t="s">
        <v>96</v>
      </c>
      <c r="P75" s="58" t="s">
        <v>97</v>
      </c>
      <c r="Q75" s="58" t="s">
        <v>91</v>
      </c>
      <c r="R75" s="58">
        <v>109354</v>
      </c>
      <c r="S75" s="33"/>
    </row>
    <row r="76" spans="13:19" ht="40.200000000000003" thickBot="1" x14ac:dyDescent="0.35">
      <c r="M76" s="57">
        <v>2010</v>
      </c>
      <c r="N76" s="57" t="s">
        <v>88</v>
      </c>
      <c r="O76" s="57" t="s">
        <v>92</v>
      </c>
      <c r="P76" s="57" t="s">
        <v>98</v>
      </c>
      <c r="Q76" s="57" t="s">
        <v>91</v>
      </c>
      <c r="R76" s="57">
        <v>24508</v>
      </c>
      <c r="S76" s="33"/>
    </row>
    <row r="77" spans="13:19" ht="27" thickBot="1" x14ac:dyDescent="0.35">
      <c r="M77" s="58">
        <v>2010</v>
      </c>
      <c r="N77" s="58" t="s">
        <v>88</v>
      </c>
      <c r="O77" s="58" t="s">
        <v>96</v>
      </c>
      <c r="P77" s="58" t="s">
        <v>98</v>
      </c>
      <c r="Q77" s="58" t="s">
        <v>91</v>
      </c>
      <c r="R77" s="58">
        <v>65229</v>
      </c>
      <c r="S77" s="33"/>
    </row>
    <row r="78" spans="13:19" ht="40.200000000000003" thickBot="1" x14ac:dyDescent="0.35">
      <c r="M78" s="57">
        <v>2010</v>
      </c>
      <c r="N78" s="57" t="s">
        <v>88</v>
      </c>
      <c r="O78" s="57" t="s">
        <v>96</v>
      </c>
      <c r="P78" s="57" t="s">
        <v>99</v>
      </c>
      <c r="Q78" s="57" t="s">
        <v>91</v>
      </c>
      <c r="R78" s="57">
        <v>3916</v>
      </c>
      <c r="S78" s="33">
        <f>SUM(R70:R78)-R70</f>
        <v>600650</v>
      </c>
    </row>
    <row r="79" spans="13:19" ht="27" thickBot="1" x14ac:dyDescent="0.35">
      <c r="M79" s="58">
        <v>2009</v>
      </c>
      <c r="N79" s="58" t="s">
        <v>88</v>
      </c>
      <c r="O79" s="58" t="s">
        <v>100</v>
      </c>
      <c r="P79" s="58" t="s">
        <v>101</v>
      </c>
      <c r="Q79" s="58" t="s">
        <v>91</v>
      </c>
      <c r="R79" s="58">
        <v>182688</v>
      </c>
      <c r="S79" s="33"/>
    </row>
    <row r="80" spans="13:19" ht="27" thickBot="1" x14ac:dyDescent="0.35">
      <c r="M80" s="57">
        <v>2009</v>
      </c>
      <c r="N80" s="57" t="s">
        <v>88</v>
      </c>
      <c r="O80" s="57" t="s">
        <v>89</v>
      </c>
      <c r="P80" s="57" t="s">
        <v>90</v>
      </c>
      <c r="Q80" s="57" t="s">
        <v>91</v>
      </c>
      <c r="R80" s="57">
        <v>111703</v>
      </c>
      <c r="S80" s="33"/>
    </row>
    <row r="81" spans="13:19" ht="40.200000000000003" thickBot="1" x14ac:dyDescent="0.35">
      <c r="M81" s="58">
        <v>2009</v>
      </c>
      <c r="N81" s="58" t="s">
        <v>88</v>
      </c>
      <c r="O81" s="58" t="s">
        <v>92</v>
      </c>
      <c r="P81" s="58" t="s">
        <v>95</v>
      </c>
      <c r="Q81" s="58" t="s">
        <v>91</v>
      </c>
      <c r="R81" s="58">
        <v>159500</v>
      </c>
      <c r="S81" s="33"/>
    </row>
    <row r="82" spans="13:19" ht="40.200000000000003" thickBot="1" x14ac:dyDescent="0.35">
      <c r="M82" s="57">
        <v>2009</v>
      </c>
      <c r="N82" s="57" t="s">
        <v>88</v>
      </c>
      <c r="O82" s="57" t="s">
        <v>92</v>
      </c>
      <c r="P82" s="57" t="s">
        <v>93</v>
      </c>
      <c r="Q82" s="57" t="s">
        <v>91</v>
      </c>
      <c r="R82" s="57">
        <v>67079</v>
      </c>
      <c r="S82" s="33"/>
    </row>
    <row r="83" spans="13:19" ht="40.200000000000003" thickBot="1" x14ac:dyDescent="0.35">
      <c r="M83" s="58">
        <v>2009</v>
      </c>
      <c r="N83" s="58" t="s">
        <v>88</v>
      </c>
      <c r="O83" s="58" t="s">
        <v>94</v>
      </c>
      <c r="P83" s="58" t="s">
        <v>102</v>
      </c>
      <c r="Q83" s="58" t="s">
        <v>91</v>
      </c>
      <c r="R83" s="58">
        <v>148126</v>
      </c>
      <c r="S83" s="33"/>
    </row>
    <row r="84" spans="13:19" ht="27" thickBot="1" x14ac:dyDescent="0.35">
      <c r="M84" s="57">
        <v>2009</v>
      </c>
      <c r="N84" s="57" t="s">
        <v>88</v>
      </c>
      <c r="O84" s="57" t="s">
        <v>96</v>
      </c>
      <c r="P84" s="57" t="s">
        <v>97</v>
      </c>
      <c r="Q84" s="57" t="s">
        <v>91</v>
      </c>
      <c r="R84" s="57">
        <v>116522</v>
      </c>
      <c r="S84" s="33">
        <f>SUM(R79:R84)-R79</f>
        <v>602930</v>
      </c>
    </row>
    <row r="85" spans="13:19" ht="27" thickBot="1" x14ac:dyDescent="0.35">
      <c r="M85" s="58">
        <v>2008</v>
      </c>
      <c r="N85" s="58" t="s">
        <v>88</v>
      </c>
      <c r="O85" s="58" t="s">
        <v>89</v>
      </c>
      <c r="P85" s="58" t="s">
        <v>90</v>
      </c>
      <c r="Q85" s="58" t="s">
        <v>91</v>
      </c>
      <c r="R85" s="58">
        <v>112188</v>
      </c>
      <c r="S85" s="33"/>
    </row>
    <row r="86" spans="13:19" ht="40.200000000000003" thickBot="1" x14ac:dyDescent="0.35">
      <c r="M86" s="57">
        <v>2008</v>
      </c>
      <c r="N86" s="57" t="s">
        <v>88</v>
      </c>
      <c r="O86" s="57" t="s">
        <v>92</v>
      </c>
      <c r="P86" s="57" t="s">
        <v>95</v>
      </c>
      <c r="Q86" s="57" t="s">
        <v>91</v>
      </c>
      <c r="R86" s="57">
        <v>155848</v>
      </c>
      <c r="S86" s="33"/>
    </row>
    <row r="87" spans="13:19" ht="40.200000000000003" thickBot="1" x14ac:dyDescent="0.35">
      <c r="M87" s="58">
        <v>2008</v>
      </c>
      <c r="N87" s="58" t="s">
        <v>88</v>
      </c>
      <c r="O87" s="58" t="s">
        <v>92</v>
      </c>
      <c r="P87" s="58" t="s">
        <v>93</v>
      </c>
      <c r="Q87" s="58" t="s">
        <v>91</v>
      </c>
      <c r="R87" s="58">
        <v>76218</v>
      </c>
      <c r="S87" s="33"/>
    </row>
    <row r="88" spans="13:19" ht="40.200000000000003" thickBot="1" x14ac:dyDescent="0.35">
      <c r="M88" s="57">
        <v>2008</v>
      </c>
      <c r="N88" s="57" t="s">
        <v>88</v>
      </c>
      <c r="O88" s="57" t="s">
        <v>94</v>
      </c>
      <c r="P88" s="57" t="s">
        <v>102</v>
      </c>
      <c r="Q88" s="57" t="s">
        <v>91</v>
      </c>
      <c r="R88" s="57">
        <v>147602</v>
      </c>
      <c r="S88" s="33"/>
    </row>
    <row r="89" spans="13:19" ht="27" thickBot="1" x14ac:dyDescent="0.35">
      <c r="M89" s="58">
        <v>2008</v>
      </c>
      <c r="N89" s="58" t="s">
        <v>88</v>
      </c>
      <c r="O89" s="58" t="s">
        <v>96</v>
      </c>
      <c r="P89" s="58" t="s">
        <v>97</v>
      </c>
      <c r="Q89" s="58" t="s">
        <v>91</v>
      </c>
      <c r="R89" s="58">
        <v>113476</v>
      </c>
      <c r="S89" s="33"/>
    </row>
    <row r="90" spans="13:19" ht="27" thickBot="1" x14ac:dyDescent="0.35">
      <c r="M90" s="57">
        <v>2008</v>
      </c>
      <c r="N90" s="57" t="s">
        <v>88</v>
      </c>
      <c r="O90" s="57" t="s">
        <v>100</v>
      </c>
      <c r="P90" s="57" t="s">
        <v>101</v>
      </c>
      <c r="Q90" s="57" t="s">
        <v>91</v>
      </c>
      <c r="R90" s="57">
        <v>152932</v>
      </c>
      <c r="S90" s="33">
        <f>SUM(R85:R90)-R90</f>
        <v>605332</v>
      </c>
    </row>
    <row r="91" spans="13:19" ht="27" thickBot="1" x14ac:dyDescent="0.35">
      <c r="M91" s="58">
        <v>2007</v>
      </c>
      <c r="N91" s="58" t="s">
        <v>88</v>
      </c>
      <c r="O91" s="58" t="s">
        <v>100</v>
      </c>
      <c r="P91" s="58" t="s">
        <v>101</v>
      </c>
      <c r="Q91" s="58" t="s">
        <v>91</v>
      </c>
      <c r="R91" s="58">
        <v>174051</v>
      </c>
      <c r="S91" s="33"/>
    </row>
    <row r="92" spans="13:19" ht="27" thickBot="1" x14ac:dyDescent="0.35">
      <c r="M92" s="57">
        <v>2007</v>
      </c>
      <c r="N92" s="57" t="s">
        <v>88</v>
      </c>
      <c r="O92" s="57" t="s">
        <v>89</v>
      </c>
      <c r="P92" s="57" t="s">
        <v>90</v>
      </c>
      <c r="Q92" s="57" t="s">
        <v>91</v>
      </c>
      <c r="R92" s="57">
        <v>80937</v>
      </c>
      <c r="S92" s="33"/>
    </row>
    <row r="93" spans="13:19" ht="40.200000000000003" thickBot="1" x14ac:dyDescent="0.35">
      <c r="M93" s="58">
        <v>2007</v>
      </c>
      <c r="N93" s="58" t="s">
        <v>88</v>
      </c>
      <c r="O93" s="58" t="s">
        <v>92</v>
      </c>
      <c r="P93" s="58" t="s">
        <v>95</v>
      </c>
      <c r="Q93" s="58" t="s">
        <v>91</v>
      </c>
      <c r="R93" s="58">
        <v>55139</v>
      </c>
      <c r="S93" s="33"/>
    </row>
    <row r="94" spans="13:19" ht="40.200000000000003" thickBot="1" x14ac:dyDescent="0.35">
      <c r="M94" s="57">
        <v>2007</v>
      </c>
      <c r="N94" s="57" t="s">
        <v>88</v>
      </c>
      <c r="O94" s="57" t="s">
        <v>92</v>
      </c>
      <c r="P94" s="57" t="s">
        <v>93</v>
      </c>
      <c r="Q94" s="57" t="s">
        <v>91</v>
      </c>
      <c r="R94" s="57">
        <v>68587</v>
      </c>
      <c r="S94" s="33"/>
    </row>
    <row r="95" spans="13:19" ht="40.200000000000003" thickBot="1" x14ac:dyDescent="0.35">
      <c r="M95" s="58">
        <v>2007</v>
      </c>
      <c r="N95" s="58" t="s">
        <v>88</v>
      </c>
      <c r="O95" s="58" t="s">
        <v>94</v>
      </c>
      <c r="P95" s="58" t="s">
        <v>95</v>
      </c>
      <c r="Q95" s="58" t="s">
        <v>91</v>
      </c>
      <c r="R95" s="58">
        <v>41063</v>
      </c>
      <c r="S95" s="33"/>
    </row>
    <row r="96" spans="13:19" ht="40.200000000000003" thickBot="1" x14ac:dyDescent="0.35">
      <c r="M96" s="57">
        <v>2007</v>
      </c>
      <c r="N96" s="57" t="s">
        <v>88</v>
      </c>
      <c r="O96" s="57" t="s">
        <v>94</v>
      </c>
      <c r="P96" s="57" t="s">
        <v>102</v>
      </c>
      <c r="Q96" s="57" t="s">
        <v>91</v>
      </c>
      <c r="R96" s="57">
        <v>142009</v>
      </c>
      <c r="S96" s="33"/>
    </row>
    <row r="97" spans="13:19" ht="27" thickBot="1" x14ac:dyDescent="0.35">
      <c r="M97" s="58">
        <v>2007</v>
      </c>
      <c r="N97" s="58" t="s">
        <v>88</v>
      </c>
      <c r="O97" s="58" t="s">
        <v>96</v>
      </c>
      <c r="P97" s="58" t="s">
        <v>95</v>
      </c>
      <c r="Q97" s="58" t="s">
        <v>91</v>
      </c>
      <c r="R97" s="58">
        <v>64025</v>
      </c>
      <c r="S97" s="33"/>
    </row>
    <row r="98" spans="13:19" ht="27" thickBot="1" x14ac:dyDescent="0.35">
      <c r="M98" s="57">
        <v>2007</v>
      </c>
      <c r="N98" s="57" t="s">
        <v>88</v>
      </c>
      <c r="O98" s="57" t="s">
        <v>96</v>
      </c>
      <c r="P98" s="57" t="s">
        <v>97</v>
      </c>
      <c r="Q98" s="57" t="s">
        <v>91</v>
      </c>
      <c r="R98" s="57">
        <v>95819</v>
      </c>
      <c r="S98" s="33"/>
    </row>
    <row r="99" spans="13:19" ht="27" thickBot="1" x14ac:dyDescent="0.35">
      <c r="M99" s="58">
        <v>2007</v>
      </c>
      <c r="N99" s="58" t="s">
        <v>88</v>
      </c>
      <c r="O99" s="58" t="s">
        <v>89</v>
      </c>
      <c r="P99" s="58" t="s">
        <v>90</v>
      </c>
      <c r="Q99" s="58" t="s">
        <v>91</v>
      </c>
      <c r="R99" s="58">
        <v>27987</v>
      </c>
      <c r="S99" s="33"/>
    </row>
    <row r="100" spans="13:19" ht="27" thickBot="1" x14ac:dyDescent="0.35">
      <c r="M100" s="57">
        <v>2007</v>
      </c>
      <c r="N100" s="57" t="s">
        <v>88</v>
      </c>
      <c r="O100" s="57" t="s">
        <v>89</v>
      </c>
      <c r="P100" s="57" t="s">
        <v>90</v>
      </c>
      <c r="Q100" s="57" t="s">
        <v>91</v>
      </c>
      <c r="R100" s="57">
        <v>2694</v>
      </c>
      <c r="S100" s="33"/>
    </row>
    <row r="101" spans="13:19" ht="27" thickBot="1" x14ac:dyDescent="0.35">
      <c r="M101" s="58">
        <v>2007</v>
      </c>
      <c r="N101" s="58" t="s">
        <v>88</v>
      </c>
      <c r="O101" s="58" t="s">
        <v>89</v>
      </c>
      <c r="P101" s="58" t="s">
        <v>90</v>
      </c>
      <c r="Q101" s="58" t="s">
        <v>91</v>
      </c>
      <c r="R101" s="58">
        <v>3325</v>
      </c>
      <c r="S101" s="33"/>
    </row>
    <row r="102" spans="13:19" ht="27" thickBot="1" x14ac:dyDescent="0.35">
      <c r="M102" s="57">
        <v>2007</v>
      </c>
      <c r="N102" s="57" t="s">
        <v>88</v>
      </c>
      <c r="O102" s="57" t="s">
        <v>89</v>
      </c>
      <c r="P102" s="57" t="s">
        <v>90</v>
      </c>
      <c r="Q102" s="57" t="s">
        <v>91</v>
      </c>
      <c r="R102" s="57">
        <v>3161</v>
      </c>
      <c r="S102" s="33"/>
    </row>
    <row r="103" spans="13:19" ht="27" thickBot="1" x14ac:dyDescent="0.35">
      <c r="M103" s="58">
        <v>2007</v>
      </c>
      <c r="N103" s="58" t="s">
        <v>88</v>
      </c>
      <c r="O103" s="58" t="s">
        <v>89</v>
      </c>
      <c r="P103" s="58" t="s">
        <v>90</v>
      </c>
      <c r="Q103" s="58" t="s">
        <v>91</v>
      </c>
      <c r="R103" s="58">
        <v>4580</v>
      </c>
      <c r="S103" s="33"/>
    </row>
    <row r="104" spans="13:19" ht="27" thickBot="1" x14ac:dyDescent="0.35">
      <c r="M104" s="57">
        <v>2007</v>
      </c>
      <c r="N104" s="57" t="s">
        <v>88</v>
      </c>
      <c r="O104" s="57" t="s">
        <v>89</v>
      </c>
      <c r="P104" s="57" t="s">
        <v>90</v>
      </c>
      <c r="Q104" s="57" t="s">
        <v>91</v>
      </c>
      <c r="R104" s="57">
        <v>685</v>
      </c>
      <c r="S104" s="33">
        <f>SUM(R91:R104)-R91</f>
        <v>590011</v>
      </c>
    </row>
    <row r="105" spans="13:19" ht="40.200000000000003" thickBot="1" x14ac:dyDescent="0.35">
      <c r="M105" s="58">
        <v>2006</v>
      </c>
      <c r="N105" s="58" t="s">
        <v>88</v>
      </c>
      <c r="O105" s="58" t="s">
        <v>92</v>
      </c>
      <c r="P105" s="58" t="s">
        <v>98</v>
      </c>
      <c r="Q105" s="58" t="s">
        <v>91</v>
      </c>
      <c r="R105" s="58">
        <v>5922</v>
      </c>
      <c r="S105" s="33"/>
    </row>
    <row r="106" spans="13:19" ht="40.200000000000003" thickBot="1" x14ac:dyDescent="0.35">
      <c r="M106" s="57">
        <v>2006</v>
      </c>
      <c r="N106" s="57" t="s">
        <v>88</v>
      </c>
      <c r="O106" s="57" t="s">
        <v>92</v>
      </c>
      <c r="P106" s="57" t="s">
        <v>98</v>
      </c>
      <c r="Q106" s="57" t="s">
        <v>91</v>
      </c>
      <c r="R106" s="57">
        <v>6110</v>
      </c>
      <c r="S106" s="33"/>
    </row>
    <row r="107" spans="13:19" ht="40.200000000000003" thickBot="1" x14ac:dyDescent="0.35">
      <c r="M107" s="58">
        <v>2006</v>
      </c>
      <c r="N107" s="58" t="s">
        <v>88</v>
      </c>
      <c r="O107" s="58" t="s">
        <v>92</v>
      </c>
      <c r="P107" s="58" t="s">
        <v>98</v>
      </c>
      <c r="Q107" s="58" t="s">
        <v>91</v>
      </c>
      <c r="R107" s="58">
        <v>8278</v>
      </c>
      <c r="S107" s="33"/>
    </row>
    <row r="108" spans="13:19" ht="40.200000000000003" thickBot="1" x14ac:dyDescent="0.35">
      <c r="M108" s="57">
        <v>2006</v>
      </c>
      <c r="N108" s="57" t="s">
        <v>88</v>
      </c>
      <c r="O108" s="57" t="s">
        <v>92</v>
      </c>
      <c r="P108" s="57" t="s">
        <v>98</v>
      </c>
      <c r="Q108" s="57" t="s">
        <v>91</v>
      </c>
      <c r="R108" s="57">
        <v>3548</v>
      </c>
      <c r="S108" s="33"/>
    </row>
    <row r="109" spans="13:19" ht="40.200000000000003" thickBot="1" x14ac:dyDescent="0.35">
      <c r="M109" s="58">
        <v>2006</v>
      </c>
      <c r="N109" s="58" t="s">
        <v>88</v>
      </c>
      <c r="O109" s="58" t="s">
        <v>92</v>
      </c>
      <c r="P109" s="58" t="s">
        <v>98</v>
      </c>
      <c r="Q109" s="58" t="s">
        <v>91</v>
      </c>
      <c r="R109" s="58">
        <v>5280</v>
      </c>
      <c r="S109" s="33"/>
    </row>
    <row r="110" spans="13:19" ht="40.200000000000003" thickBot="1" x14ac:dyDescent="0.35">
      <c r="M110" s="57">
        <v>2006</v>
      </c>
      <c r="N110" s="57" t="s">
        <v>88</v>
      </c>
      <c r="O110" s="57" t="s">
        <v>92</v>
      </c>
      <c r="P110" s="57" t="s">
        <v>98</v>
      </c>
      <c r="Q110" s="57" t="s">
        <v>91</v>
      </c>
      <c r="R110" s="57">
        <v>8751</v>
      </c>
      <c r="S110" s="33"/>
    </row>
    <row r="111" spans="13:19" ht="40.200000000000003" thickBot="1" x14ac:dyDescent="0.35">
      <c r="M111" s="58">
        <v>2006</v>
      </c>
      <c r="N111" s="58" t="s">
        <v>88</v>
      </c>
      <c r="O111" s="58" t="s">
        <v>92</v>
      </c>
      <c r="P111" s="58" t="s">
        <v>98</v>
      </c>
      <c r="Q111" s="58" t="s">
        <v>91</v>
      </c>
      <c r="R111" s="58">
        <v>8514</v>
      </c>
      <c r="S111" s="33"/>
    </row>
    <row r="112" spans="13:19" ht="40.200000000000003" thickBot="1" x14ac:dyDescent="0.35">
      <c r="M112" s="57">
        <v>2006</v>
      </c>
      <c r="N112" s="57" t="s">
        <v>88</v>
      </c>
      <c r="O112" s="57" t="s">
        <v>92</v>
      </c>
      <c r="P112" s="57" t="s">
        <v>98</v>
      </c>
      <c r="Q112" s="57" t="s">
        <v>91</v>
      </c>
      <c r="R112" s="57">
        <v>8640</v>
      </c>
      <c r="S112" s="33"/>
    </row>
    <row r="113" spans="13:19" ht="40.200000000000003" thickBot="1" x14ac:dyDescent="0.35">
      <c r="M113" s="58">
        <v>2006</v>
      </c>
      <c r="N113" s="58" t="s">
        <v>88</v>
      </c>
      <c r="O113" s="58" t="s">
        <v>94</v>
      </c>
      <c r="P113" s="58" t="s">
        <v>98</v>
      </c>
      <c r="Q113" s="58" t="s">
        <v>91</v>
      </c>
      <c r="R113" s="58">
        <v>3548</v>
      </c>
      <c r="S113" s="33"/>
    </row>
    <row r="114" spans="13:19" ht="40.200000000000003" thickBot="1" x14ac:dyDescent="0.35">
      <c r="M114" s="57">
        <v>2006</v>
      </c>
      <c r="N114" s="57" t="s">
        <v>88</v>
      </c>
      <c r="O114" s="57" t="s">
        <v>94</v>
      </c>
      <c r="P114" s="57" t="s">
        <v>98</v>
      </c>
      <c r="Q114" s="57" t="s">
        <v>91</v>
      </c>
      <c r="R114" s="57">
        <v>3996</v>
      </c>
      <c r="S114" s="33"/>
    </row>
    <row r="115" spans="13:19" ht="40.200000000000003" thickBot="1" x14ac:dyDescent="0.35">
      <c r="M115" s="58">
        <v>2006</v>
      </c>
      <c r="N115" s="58" t="s">
        <v>88</v>
      </c>
      <c r="O115" s="58" t="s">
        <v>94</v>
      </c>
      <c r="P115" s="58" t="s">
        <v>98</v>
      </c>
      <c r="Q115" s="58" t="s">
        <v>91</v>
      </c>
      <c r="R115" s="58">
        <v>7875</v>
      </c>
      <c r="S115" s="33"/>
    </row>
    <row r="116" spans="13:19" ht="27" thickBot="1" x14ac:dyDescent="0.35">
      <c r="M116" s="57">
        <v>2006</v>
      </c>
      <c r="N116" s="57" t="s">
        <v>88</v>
      </c>
      <c r="O116" s="57" t="s">
        <v>96</v>
      </c>
      <c r="P116" s="57" t="s">
        <v>98</v>
      </c>
      <c r="Q116" s="57" t="s">
        <v>91</v>
      </c>
      <c r="R116" s="57">
        <v>11685</v>
      </c>
      <c r="S116" s="33"/>
    </row>
    <row r="117" spans="13:19" ht="27" thickBot="1" x14ac:dyDescent="0.35">
      <c r="M117" s="58">
        <v>2006</v>
      </c>
      <c r="N117" s="58" t="s">
        <v>88</v>
      </c>
      <c r="O117" s="58" t="s">
        <v>96</v>
      </c>
      <c r="P117" s="58" t="s">
        <v>98</v>
      </c>
      <c r="Q117" s="58" t="s">
        <v>91</v>
      </c>
      <c r="R117" s="58">
        <v>9690</v>
      </c>
      <c r="S117" s="33"/>
    </row>
    <row r="118" spans="13:19" ht="27" thickBot="1" x14ac:dyDescent="0.35">
      <c r="M118" s="57">
        <v>2006</v>
      </c>
      <c r="N118" s="57" t="s">
        <v>88</v>
      </c>
      <c r="O118" s="57" t="s">
        <v>96</v>
      </c>
      <c r="P118" s="57" t="s">
        <v>98</v>
      </c>
      <c r="Q118" s="57" t="s">
        <v>91</v>
      </c>
      <c r="R118" s="57">
        <v>5928</v>
      </c>
      <c r="S118" s="33"/>
    </row>
    <row r="119" spans="13:19" ht="27" thickBot="1" x14ac:dyDescent="0.35">
      <c r="M119" s="58">
        <v>2006</v>
      </c>
      <c r="N119" s="58" t="s">
        <v>88</v>
      </c>
      <c r="O119" s="58" t="s">
        <v>96</v>
      </c>
      <c r="P119" s="58" t="s">
        <v>98</v>
      </c>
      <c r="Q119" s="58" t="s">
        <v>91</v>
      </c>
      <c r="R119" s="58">
        <v>8400</v>
      </c>
      <c r="S119" s="33"/>
    </row>
    <row r="120" spans="13:19" ht="27" thickBot="1" x14ac:dyDescent="0.35">
      <c r="M120" s="57">
        <v>2006</v>
      </c>
      <c r="N120" s="57" t="s">
        <v>88</v>
      </c>
      <c r="O120" s="57" t="s">
        <v>96</v>
      </c>
      <c r="P120" s="57" t="s">
        <v>98</v>
      </c>
      <c r="Q120" s="57" t="s">
        <v>91</v>
      </c>
      <c r="R120" s="57">
        <v>10808</v>
      </c>
      <c r="S120" s="33"/>
    </row>
    <row r="121" spans="13:19" ht="27" thickBot="1" x14ac:dyDescent="0.35">
      <c r="M121" s="58">
        <v>2006</v>
      </c>
      <c r="N121" s="58" t="s">
        <v>88</v>
      </c>
      <c r="O121" s="58" t="s">
        <v>96</v>
      </c>
      <c r="P121" s="58" t="s">
        <v>98</v>
      </c>
      <c r="Q121" s="58" t="s">
        <v>91</v>
      </c>
      <c r="R121" s="58">
        <v>5040</v>
      </c>
      <c r="S121" s="33"/>
    </row>
    <row r="122" spans="13:19" ht="27" thickBot="1" x14ac:dyDescent="0.35">
      <c r="M122" s="57">
        <v>2006</v>
      </c>
      <c r="N122" s="57" t="s">
        <v>88</v>
      </c>
      <c r="O122" s="57" t="s">
        <v>100</v>
      </c>
      <c r="P122" s="57" t="s">
        <v>101</v>
      </c>
      <c r="Q122" s="57" t="s">
        <v>91</v>
      </c>
      <c r="R122" s="57">
        <v>176137</v>
      </c>
      <c r="S122" s="33"/>
    </row>
    <row r="123" spans="13:19" ht="27" thickBot="1" x14ac:dyDescent="0.35">
      <c r="M123" s="58">
        <v>2006</v>
      </c>
      <c r="N123" s="58" t="s">
        <v>88</v>
      </c>
      <c r="O123" s="58" t="s">
        <v>96</v>
      </c>
      <c r="P123" s="58" t="s">
        <v>97</v>
      </c>
      <c r="Q123" s="58" t="s">
        <v>91</v>
      </c>
      <c r="R123" s="58">
        <v>94683</v>
      </c>
      <c r="S123" s="33"/>
    </row>
    <row r="124" spans="13:19" ht="27" thickBot="1" x14ac:dyDescent="0.35">
      <c r="M124" s="57">
        <v>2006</v>
      </c>
      <c r="N124" s="57" t="s">
        <v>88</v>
      </c>
      <c r="O124" s="57" t="s">
        <v>89</v>
      </c>
      <c r="P124" s="57" t="s">
        <v>90</v>
      </c>
      <c r="Q124" s="57" t="s">
        <v>91</v>
      </c>
      <c r="R124" s="57">
        <v>28008</v>
      </c>
      <c r="S124" s="33"/>
    </row>
    <row r="125" spans="13:19" ht="27" thickBot="1" x14ac:dyDescent="0.35">
      <c r="M125" s="58">
        <v>2006</v>
      </c>
      <c r="N125" s="58" t="s">
        <v>88</v>
      </c>
      <c r="O125" s="58" t="s">
        <v>89</v>
      </c>
      <c r="P125" s="58" t="s">
        <v>90</v>
      </c>
      <c r="Q125" s="58" t="s">
        <v>91</v>
      </c>
      <c r="R125" s="58">
        <v>28061</v>
      </c>
      <c r="S125" s="33"/>
    </row>
    <row r="126" spans="13:19" ht="27" thickBot="1" x14ac:dyDescent="0.35">
      <c r="M126" s="57">
        <v>2006</v>
      </c>
      <c r="N126" s="57" t="s">
        <v>88</v>
      </c>
      <c r="O126" s="57" t="s">
        <v>89</v>
      </c>
      <c r="P126" s="57" t="s">
        <v>90</v>
      </c>
      <c r="Q126" s="57" t="s">
        <v>91</v>
      </c>
      <c r="R126" s="57">
        <v>28108</v>
      </c>
      <c r="S126" s="33"/>
    </row>
    <row r="127" spans="13:19" ht="27" thickBot="1" x14ac:dyDescent="0.35">
      <c r="M127" s="58">
        <v>2006</v>
      </c>
      <c r="N127" s="58" t="s">
        <v>88</v>
      </c>
      <c r="O127" s="58" t="s">
        <v>89</v>
      </c>
      <c r="P127" s="58" t="s">
        <v>90</v>
      </c>
      <c r="Q127" s="58" t="s">
        <v>91</v>
      </c>
      <c r="R127" s="58">
        <v>27799</v>
      </c>
      <c r="S127" s="33"/>
    </row>
    <row r="128" spans="13:19" ht="40.200000000000003" thickBot="1" x14ac:dyDescent="0.35">
      <c r="M128" s="57">
        <v>2006</v>
      </c>
      <c r="N128" s="57" t="s">
        <v>88</v>
      </c>
      <c r="O128" s="57" t="s">
        <v>92</v>
      </c>
      <c r="P128" s="57" t="s">
        <v>93</v>
      </c>
      <c r="Q128" s="57" t="s">
        <v>91</v>
      </c>
      <c r="R128" s="57">
        <v>39646</v>
      </c>
      <c r="S128" s="33"/>
    </row>
    <row r="129" spans="13:19" ht="40.200000000000003" thickBot="1" x14ac:dyDescent="0.35">
      <c r="M129" s="58">
        <v>2006</v>
      </c>
      <c r="N129" s="58" t="s">
        <v>88</v>
      </c>
      <c r="O129" s="58" t="s">
        <v>92</v>
      </c>
      <c r="P129" s="58" t="s">
        <v>99</v>
      </c>
      <c r="Q129" s="58" t="s">
        <v>91</v>
      </c>
      <c r="R129" s="58">
        <v>39032</v>
      </c>
      <c r="S129" s="33"/>
    </row>
    <row r="130" spans="13:19" ht="40.200000000000003" thickBot="1" x14ac:dyDescent="0.35">
      <c r="M130" s="57">
        <v>2006</v>
      </c>
      <c r="N130" s="57" t="s">
        <v>88</v>
      </c>
      <c r="O130" s="57" t="s">
        <v>94</v>
      </c>
      <c r="P130" s="57" t="s">
        <v>98</v>
      </c>
      <c r="Q130" s="57" t="s">
        <v>91</v>
      </c>
      <c r="R130" s="57">
        <v>13975</v>
      </c>
      <c r="S130" s="33"/>
    </row>
    <row r="131" spans="13:19" ht="40.200000000000003" thickBot="1" x14ac:dyDescent="0.35">
      <c r="M131" s="58">
        <v>2006</v>
      </c>
      <c r="N131" s="58" t="s">
        <v>88</v>
      </c>
      <c r="O131" s="58" t="s">
        <v>94</v>
      </c>
      <c r="P131" s="58" t="s">
        <v>98</v>
      </c>
      <c r="Q131" s="58" t="s">
        <v>91</v>
      </c>
      <c r="R131" s="58">
        <v>10800</v>
      </c>
      <c r="S131" s="33"/>
    </row>
    <row r="132" spans="13:19" ht="40.200000000000003" thickBot="1" x14ac:dyDescent="0.35">
      <c r="M132" s="57">
        <v>2006</v>
      </c>
      <c r="N132" s="57" t="s">
        <v>88</v>
      </c>
      <c r="O132" s="57" t="s">
        <v>94</v>
      </c>
      <c r="P132" s="57" t="s">
        <v>102</v>
      </c>
      <c r="Q132" s="57" t="s">
        <v>91</v>
      </c>
      <c r="R132" s="57">
        <v>144763</v>
      </c>
      <c r="S132" s="33"/>
    </row>
    <row r="133" spans="13:19" ht="27" thickBot="1" x14ac:dyDescent="0.35">
      <c r="M133" s="58">
        <v>2006</v>
      </c>
      <c r="N133" s="58" t="s">
        <v>88</v>
      </c>
      <c r="O133" s="58" t="s">
        <v>96</v>
      </c>
      <c r="P133" s="58" t="s">
        <v>98</v>
      </c>
      <c r="Q133" s="58" t="s">
        <v>91</v>
      </c>
      <c r="R133" s="58">
        <v>7838</v>
      </c>
      <c r="S133" s="33"/>
    </row>
    <row r="134" spans="13:19" ht="27" thickBot="1" x14ac:dyDescent="0.35">
      <c r="M134" s="57">
        <v>2006</v>
      </c>
      <c r="N134" s="57" t="s">
        <v>88</v>
      </c>
      <c r="O134" s="57" t="s">
        <v>96</v>
      </c>
      <c r="P134" s="57" t="s">
        <v>98</v>
      </c>
      <c r="Q134" s="57" t="s">
        <v>91</v>
      </c>
      <c r="R134" s="57">
        <v>10640</v>
      </c>
      <c r="S134" s="33">
        <f>SUM(R105:R134)-R122</f>
        <v>595366</v>
      </c>
    </row>
    <row r="135" spans="13:19" ht="27" thickBot="1" x14ac:dyDescent="0.35">
      <c r="M135" s="58">
        <v>2005</v>
      </c>
      <c r="N135" s="58" t="s">
        <v>88</v>
      </c>
      <c r="O135" s="58" t="s">
        <v>96</v>
      </c>
      <c r="P135" s="58" t="s">
        <v>97</v>
      </c>
      <c r="Q135" s="58" t="s">
        <v>91</v>
      </c>
      <c r="R135" s="58">
        <v>120519</v>
      </c>
      <c r="S135" s="33"/>
    </row>
    <row r="136" spans="13:19" ht="27" thickBot="1" x14ac:dyDescent="0.35">
      <c r="M136" s="57">
        <v>2005</v>
      </c>
      <c r="N136" s="57" t="s">
        <v>88</v>
      </c>
      <c r="O136" s="57" t="s">
        <v>89</v>
      </c>
      <c r="P136" s="57" t="s">
        <v>90</v>
      </c>
      <c r="Q136" s="57" t="s">
        <v>91</v>
      </c>
      <c r="R136" s="57">
        <v>108512</v>
      </c>
      <c r="S136" s="33"/>
    </row>
    <row r="137" spans="13:19" ht="40.200000000000003" thickBot="1" x14ac:dyDescent="0.35">
      <c r="M137" s="58">
        <v>2005</v>
      </c>
      <c r="N137" s="58" t="s">
        <v>88</v>
      </c>
      <c r="O137" s="58" t="s">
        <v>92</v>
      </c>
      <c r="P137" s="58" t="s">
        <v>93</v>
      </c>
      <c r="Q137" s="58" t="s">
        <v>91</v>
      </c>
      <c r="R137" s="58">
        <v>45816</v>
      </c>
      <c r="S137" s="33"/>
    </row>
    <row r="138" spans="13:19" ht="40.200000000000003" thickBot="1" x14ac:dyDescent="0.35">
      <c r="M138" s="57">
        <v>2005</v>
      </c>
      <c r="N138" s="57" t="s">
        <v>88</v>
      </c>
      <c r="O138" s="57" t="s">
        <v>94</v>
      </c>
      <c r="P138" s="57" t="s">
        <v>94</v>
      </c>
      <c r="Q138" s="57" t="s">
        <v>91</v>
      </c>
      <c r="R138" s="57">
        <v>145333</v>
      </c>
      <c r="S138" s="33">
        <f>SUM(R135:R138)</f>
        <v>420180</v>
      </c>
    </row>
    <row r="139" spans="13:19" ht="27" thickBot="1" x14ac:dyDescent="0.35">
      <c r="M139" s="58">
        <v>2004</v>
      </c>
      <c r="N139" s="58" t="s">
        <v>88</v>
      </c>
      <c r="O139" s="58" t="s">
        <v>96</v>
      </c>
      <c r="P139" s="58" t="s">
        <v>97</v>
      </c>
      <c r="Q139" s="58" t="s">
        <v>91</v>
      </c>
      <c r="R139" s="58">
        <v>119720</v>
      </c>
      <c r="S139" s="33"/>
    </row>
    <row r="140" spans="13:19" ht="27" thickBot="1" x14ac:dyDescent="0.35">
      <c r="M140" s="57">
        <v>2004</v>
      </c>
      <c r="N140" s="57" t="s">
        <v>88</v>
      </c>
      <c r="O140" s="57" t="s">
        <v>89</v>
      </c>
      <c r="P140" s="57" t="s">
        <v>90</v>
      </c>
      <c r="Q140" s="57" t="s">
        <v>91</v>
      </c>
      <c r="R140" s="57">
        <v>113305</v>
      </c>
      <c r="S140" s="33"/>
    </row>
    <row r="141" spans="13:19" ht="40.200000000000003" thickBot="1" x14ac:dyDescent="0.35">
      <c r="M141" s="58">
        <v>2004</v>
      </c>
      <c r="N141" s="58" t="s">
        <v>88</v>
      </c>
      <c r="O141" s="58" t="s">
        <v>92</v>
      </c>
      <c r="P141" s="58" t="s">
        <v>93</v>
      </c>
      <c r="Q141" s="58" t="s">
        <v>91</v>
      </c>
      <c r="R141" s="58">
        <v>42023</v>
      </c>
      <c r="S141" s="33"/>
    </row>
    <row r="142" spans="13:19" ht="40.200000000000003" thickBot="1" x14ac:dyDescent="0.35">
      <c r="M142" s="57">
        <v>2004</v>
      </c>
      <c r="N142" s="57" t="s">
        <v>88</v>
      </c>
      <c r="O142" s="57" t="s">
        <v>94</v>
      </c>
      <c r="P142" s="57" t="s">
        <v>94</v>
      </c>
      <c r="Q142" s="57" t="s">
        <v>91</v>
      </c>
      <c r="R142" s="57">
        <v>144977</v>
      </c>
      <c r="S142" s="33">
        <f>SUM(R139:R142)</f>
        <v>420025</v>
      </c>
    </row>
    <row r="143" spans="13:19" ht="27" thickBot="1" x14ac:dyDescent="0.35">
      <c r="M143" s="58">
        <v>2003</v>
      </c>
      <c r="N143" s="58" t="s">
        <v>88</v>
      </c>
      <c r="O143" s="58" t="s">
        <v>89</v>
      </c>
      <c r="P143" s="58" t="s">
        <v>90</v>
      </c>
      <c r="Q143" s="58" t="s">
        <v>91</v>
      </c>
      <c r="R143" s="58">
        <v>113173</v>
      </c>
      <c r="S143" s="33"/>
    </row>
    <row r="144" spans="13:19" ht="27" thickBot="1" x14ac:dyDescent="0.35">
      <c r="M144" s="57">
        <v>2003</v>
      </c>
      <c r="N144" s="57" t="s">
        <v>88</v>
      </c>
      <c r="O144" s="57" t="s">
        <v>89</v>
      </c>
      <c r="P144" s="57" t="s">
        <v>93</v>
      </c>
      <c r="Q144" s="57" t="s">
        <v>91</v>
      </c>
      <c r="R144" s="57">
        <v>33023</v>
      </c>
      <c r="S144" s="33"/>
    </row>
    <row r="145" spans="13:19" ht="27" thickBot="1" x14ac:dyDescent="0.35">
      <c r="M145" s="58">
        <v>2003</v>
      </c>
      <c r="N145" s="58" t="s">
        <v>88</v>
      </c>
      <c r="O145" s="58" t="s">
        <v>103</v>
      </c>
      <c r="P145" s="58" t="s">
        <v>95</v>
      </c>
      <c r="Q145" s="58" t="s">
        <v>91</v>
      </c>
      <c r="R145" s="58">
        <v>137303</v>
      </c>
      <c r="S145" s="33"/>
    </row>
    <row r="146" spans="13:19" ht="40.200000000000003" thickBot="1" x14ac:dyDescent="0.35">
      <c r="M146" s="57">
        <v>2003</v>
      </c>
      <c r="N146" s="57" t="s">
        <v>88</v>
      </c>
      <c r="O146" s="57" t="s">
        <v>92</v>
      </c>
      <c r="P146" s="57" t="s">
        <v>93</v>
      </c>
      <c r="Q146" s="57" t="s">
        <v>91</v>
      </c>
      <c r="R146" s="57">
        <v>41982</v>
      </c>
      <c r="S146" s="33"/>
    </row>
    <row r="147" spans="13:19" ht="27" thickBot="1" x14ac:dyDescent="0.35">
      <c r="M147" s="58">
        <v>2003</v>
      </c>
      <c r="N147" s="58" t="s">
        <v>88</v>
      </c>
      <c r="O147" s="58" t="s">
        <v>96</v>
      </c>
      <c r="P147" s="58" t="s">
        <v>97</v>
      </c>
      <c r="Q147" s="58" t="s">
        <v>91</v>
      </c>
      <c r="R147" s="58">
        <v>94252</v>
      </c>
      <c r="S147" s="33"/>
    </row>
    <row r="148" spans="13:19" ht="40.200000000000003" thickBot="1" x14ac:dyDescent="0.35">
      <c r="M148" s="57">
        <v>2003</v>
      </c>
      <c r="N148" s="57" t="s">
        <v>88</v>
      </c>
      <c r="O148" s="57" t="s">
        <v>94</v>
      </c>
      <c r="P148" s="57" t="s">
        <v>94</v>
      </c>
      <c r="Q148" s="57" t="s">
        <v>91</v>
      </c>
      <c r="R148" s="57">
        <v>126789</v>
      </c>
      <c r="S148" s="33">
        <f>SUM(R143:R148)</f>
        <v>546522</v>
      </c>
    </row>
    <row r="149" spans="13:19" ht="27" thickBot="1" x14ac:dyDescent="0.35">
      <c r="M149" s="58">
        <v>2002</v>
      </c>
      <c r="N149" s="58" t="s">
        <v>88</v>
      </c>
      <c r="O149" s="58" t="s">
        <v>96</v>
      </c>
      <c r="P149" s="58" t="s">
        <v>97</v>
      </c>
      <c r="Q149" s="58" t="s">
        <v>91</v>
      </c>
      <c r="R149" s="58">
        <v>115387</v>
      </c>
      <c r="S149" s="33"/>
    </row>
    <row r="150" spans="13:19" ht="27" thickBot="1" x14ac:dyDescent="0.35">
      <c r="M150" s="57">
        <v>2002</v>
      </c>
      <c r="N150" s="57" t="s">
        <v>88</v>
      </c>
      <c r="O150" s="57" t="s">
        <v>89</v>
      </c>
      <c r="P150" s="57" t="s">
        <v>90</v>
      </c>
      <c r="Q150" s="57" t="s">
        <v>91</v>
      </c>
      <c r="R150" s="57">
        <v>113230</v>
      </c>
      <c r="S150" s="33"/>
    </row>
    <row r="151" spans="13:19" ht="40.200000000000003" thickBot="1" x14ac:dyDescent="0.35">
      <c r="M151" s="58">
        <v>2002</v>
      </c>
      <c r="N151" s="58" t="s">
        <v>88</v>
      </c>
      <c r="O151" s="58" t="s">
        <v>92</v>
      </c>
      <c r="P151" s="58" t="s">
        <v>93</v>
      </c>
      <c r="Q151" s="58" t="s">
        <v>91</v>
      </c>
      <c r="R151" s="58">
        <v>45661</v>
      </c>
      <c r="S151" s="33"/>
    </row>
    <row r="152" spans="13:19" ht="40.200000000000003" thickBot="1" x14ac:dyDescent="0.35">
      <c r="M152" s="57">
        <v>2002</v>
      </c>
      <c r="N152" s="57" t="s">
        <v>88</v>
      </c>
      <c r="O152" s="57" t="s">
        <v>94</v>
      </c>
      <c r="P152" s="57" t="s">
        <v>94</v>
      </c>
      <c r="Q152" s="57" t="s">
        <v>91</v>
      </c>
      <c r="R152" s="57">
        <v>149853</v>
      </c>
      <c r="S152" s="33"/>
    </row>
    <row r="153" spans="13:19" ht="27" thickBot="1" x14ac:dyDescent="0.35">
      <c r="M153" s="58">
        <v>2002</v>
      </c>
      <c r="N153" s="58" t="s">
        <v>88</v>
      </c>
      <c r="O153" s="58" t="s">
        <v>103</v>
      </c>
      <c r="P153" s="58" t="s">
        <v>95</v>
      </c>
      <c r="Q153" s="58" t="s">
        <v>91</v>
      </c>
      <c r="R153" s="58">
        <v>163200</v>
      </c>
      <c r="S153" s="33">
        <f>SUM(R149:R153)</f>
        <v>587331</v>
      </c>
    </row>
    <row r="154" spans="13:19" ht="40.200000000000003" thickBot="1" x14ac:dyDescent="0.35">
      <c r="M154" s="57">
        <v>2001</v>
      </c>
      <c r="N154" s="57" t="s">
        <v>88</v>
      </c>
      <c r="O154" s="57" t="s">
        <v>94</v>
      </c>
      <c r="P154" s="57" t="s">
        <v>93</v>
      </c>
      <c r="Q154" s="57" t="s">
        <v>91</v>
      </c>
      <c r="R154" s="57">
        <v>36265</v>
      </c>
      <c r="S154" s="33"/>
    </row>
    <row r="155" spans="13:19" ht="27" thickBot="1" x14ac:dyDescent="0.35">
      <c r="M155" s="58">
        <v>2001</v>
      </c>
      <c r="N155" s="58" t="s">
        <v>88</v>
      </c>
      <c r="O155" s="58" t="s">
        <v>96</v>
      </c>
      <c r="P155" s="58" t="s">
        <v>97</v>
      </c>
      <c r="Q155" s="58" t="s">
        <v>91</v>
      </c>
      <c r="R155" s="58">
        <v>115790</v>
      </c>
      <c r="S155" s="33"/>
    </row>
    <row r="156" spans="13:19" ht="27" thickBot="1" x14ac:dyDescent="0.35">
      <c r="M156" s="57">
        <v>2001</v>
      </c>
      <c r="N156" s="57" t="s">
        <v>88</v>
      </c>
      <c r="O156" s="57" t="s">
        <v>89</v>
      </c>
      <c r="P156" s="57" t="s">
        <v>90</v>
      </c>
      <c r="Q156" s="57" t="s">
        <v>91</v>
      </c>
      <c r="R156" s="57">
        <v>67949</v>
      </c>
      <c r="S156" s="33"/>
    </row>
    <row r="157" spans="13:19" ht="27" thickBot="1" x14ac:dyDescent="0.35">
      <c r="M157" s="58">
        <v>2001</v>
      </c>
      <c r="N157" s="58" t="s">
        <v>88</v>
      </c>
      <c r="O157" s="58" t="s">
        <v>103</v>
      </c>
      <c r="P157" s="58" t="s">
        <v>98</v>
      </c>
      <c r="Q157" s="58" t="s">
        <v>91</v>
      </c>
      <c r="R157" s="58">
        <v>128880</v>
      </c>
      <c r="S157" s="33"/>
    </row>
    <row r="158" spans="13:19" ht="40.200000000000003" thickBot="1" x14ac:dyDescent="0.35">
      <c r="M158" s="57">
        <v>2001</v>
      </c>
      <c r="N158" s="57" t="s">
        <v>88</v>
      </c>
      <c r="O158" s="57" t="s">
        <v>92</v>
      </c>
      <c r="P158" s="57" t="s">
        <v>93</v>
      </c>
      <c r="Q158" s="57" t="s">
        <v>91</v>
      </c>
      <c r="R158" s="57">
        <v>39995</v>
      </c>
      <c r="S158" s="33"/>
    </row>
    <row r="159" spans="13:19" ht="27" thickBot="1" x14ac:dyDescent="0.35">
      <c r="M159" s="58">
        <v>2001</v>
      </c>
      <c r="N159" s="58" t="s">
        <v>88</v>
      </c>
      <c r="O159" s="58" t="s">
        <v>96</v>
      </c>
      <c r="P159" s="58" t="s">
        <v>90</v>
      </c>
      <c r="Q159" s="58" t="s">
        <v>91</v>
      </c>
      <c r="R159" s="58">
        <v>48662</v>
      </c>
      <c r="S159" s="33"/>
    </row>
    <row r="160" spans="13:19" ht="40.200000000000003" thickBot="1" x14ac:dyDescent="0.35">
      <c r="M160" s="57">
        <v>2001</v>
      </c>
      <c r="N160" s="57" t="s">
        <v>88</v>
      </c>
      <c r="O160" s="57" t="s">
        <v>94</v>
      </c>
      <c r="P160" s="57" t="s">
        <v>94</v>
      </c>
      <c r="Q160" s="57" t="s">
        <v>91</v>
      </c>
      <c r="R160" s="57">
        <v>145195</v>
      </c>
      <c r="S160" s="33">
        <f>SUM(R154:R160)</f>
        <v>582736</v>
      </c>
    </row>
    <row r="161" spans="13:19" ht="40.200000000000003" thickBot="1" x14ac:dyDescent="0.35">
      <c r="M161" s="58">
        <v>2000</v>
      </c>
      <c r="N161" s="58" t="s">
        <v>88</v>
      </c>
      <c r="O161" s="58" t="s">
        <v>94</v>
      </c>
      <c r="P161" s="58" t="s">
        <v>94</v>
      </c>
      <c r="Q161" s="58" t="s">
        <v>91</v>
      </c>
      <c r="R161" s="58">
        <v>147079</v>
      </c>
      <c r="S161" s="33"/>
    </row>
    <row r="162" spans="13:19" ht="40.200000000000003" thickBot="1" x14ac:dyDescent="0.35">
      <c r="M162" s="57">
        <v>2000</v>
      </c>
      <c r="N162" s="57" t="s">
        <v>88</v>
      </c>
      <c r="O162" s="57" t="s">
        <v>94</v>
      </c>
      <c r="P162" s="57" t="s">
        <v>93</v>
      </c>
      <c r="Q162" s="57" t="s">
        <v>91</v>
      </c>
      <c r="R162" s="57">
        <v>2408</v>
      </c>
      <c r="S162" s="33"/>
    </row>
    <row r="163" spans="13:19" ht="27" thickBot="1" x14ac:dyDescent="0.35">
      <c r="M163" s="58">
        <v>2000</v>
      </c>
      <c r="N163" s="58" t="s">
        <v>88</v>
      </c>
      <c r="O163" s="58" t="s">
        <v>89</v>
      </c>
      <c r="P163" s="58" t="s">
        <v>90</v>
      </c>
      <c r="Q163" s="58" t="s">
        <v>91</v>
      </c>
      <c r="R163" s="58">
        <v>114526</v>
      </c>
      <c r="S163" s="33"/>
    </row>
    <row r="164" spans="13:19" ht="27" thickBot="1" x14ac:dyDescent="0.35">
      <c r="M164" s="57">
        <v>2000</v>
      </c>
      <c r="N164" s="57" t="s">
        <v>88</v>
      </c>
      <c r="O164" s="57" t="s">
        <v>97</v>
      </c>
      <c r="P164" s="57" t="s">
        <v>104</v>
      </c>
      <c r="Q164" s="57" t="s">
        <v>91</v>
      </c>
      <c r="R164" s="57">
        <v>30025</v>
      </c>
      <c r="S164" s="33"/>
    </row>
    <row r="165" spans="13:19" ht="40.200000000000003" thickBot="1" x14ac:dyDescent="0.35">
      <c r="M165" s="58">
        <v>2000</v>
      </c>
      <c r="N165" s="58" t="s">
        <v>88</v>
      </c>
      <c r="O165" s="58" t="s">
        <v>97</v>
      </c>
      <c r="P165" s="58" t="s">
        <v>99</v>
      </c>
      <c r="Q165" s="58" t="s">
        <v>91</v>
      </c>
      <c r="R165" s="58">
        <v>86092</v>
      </c>
      <c r="S165" s="33"/>
    </row>
    <row r="166" spans="13:19" ht="40.200000000000003" thickBot="1" x14ac:dyDescent="0.35">
      <c r="M166" s="57">
        <v>2000</v>
      </c>
      <c r="N166" s="57" t="s">
        <v>88</v>
      </c>
      <c r="O166" s="57" t="s">
        <v>96</v>
      </c>
      <c r="P166" s="57" t="s">
        <v>99</v>
      </c>
      <c r="Q166" s="57" t="s">
        <v>91</v>
      </c>
      <c r="R166" s="57">
        <v>45297</v>
      </c>
      <c r="S166" s="33">
        <f>SUM(R161:R166)</f>
        <v>425427</v>
      </c>
    </row>
    <row r="167" spans="13:19" ht="40.200000000000003" thickBot="1" x14ac:dyDescent="0.35">
      <c r="M167" s="58">
        <v>1999</v>
      </c>
      <c r="N167" s="58" t="s">
        <v>88</v>
      </c>
      <c r="O167" s="58" t="s">
        <v>97</v>
      </c>
      <c r="P167" s="58" t="s">
        <v>99</v>
      </c>
      <c r="Q167" s="58" t="s">
        <v>91</v>
      </c>
      <c r="R167" s="58">
        <v>112490</v>
      </c>
      <c r="S167" s="33"/>
    </row>
    <row r="168" spans="13:19" ht="27" thickBot="1" x14ac:dyDescent="0.35">
      <c r="M168" s="57">
        <v>1999</v>
      </c>
      <c r="N168" s="57" t="s">
        <v>88</v>
      </c>
      <c r="O168" s="57" t="s">
        <v>89</v>
      </c>
      <c r="P168" s="57" t="s">
        <v>90</v>
      </c>
      <c r="Q168" s="57" t="s">
        <v>91</v>
      </c>
      <c r="R168" s="57">
        <v>114843</v>
      </c>
      <c r="S168" s="33"/>
    </row>
    <row r="169" spans="13:19" ht="27" thickBot="1" x14ac:dyDescent="0.35">
      <c r="M169" s="58">
        <v>1999</v>
      </c>
      <c r="N169" s="58" t="s">
        <v>88</v>
      </c>
      <c r="O169" s="58" t="s">
        <v>103</v>
      </c>
      <c r="P169" s="58" t="s">
        <v>98</v>
      </c>
      <c r="Q169" s="58" t="s">
        <v>91</v>
      </c>
      <c r="R169" s="58">
        <v>159280</v>
      </c>
      <c r="S169" s="33"/>
    </row>
    <row r="170" spans="13:19" ht="40.200000000000003" thickBot="1" x14ac:dyDescent="0.35">
      <c r="M170" s="57">
        <v>1999</v>
      </c>
      <c r="N170" s="57" t="s">
        <v>88</v>
      </c>
      <c r="O170" s="57" t="s">
        <v>94</v>
      </c>
      <c r="P170" s="57" t="s">
        <v>94</v>
      </c>
      <c r="Q170" s="57" t="s">
        <v>91</v>
      </c>
      <c r="R170" s="57">
        <v>136471</v>
      </c>
      <c r="S170" s="33"/>
    </row>
    <row r="171" spans="13:19" ht="40.200000000000003" thickBot="1" x14ac:dyDescent="0.35">
      <c r="M171" s="58">
        <v>1999</v>
      </c>
      <c r="N171" s="58" t="s">
        <v>88</v>
      </c>
      <c r="O171" s="58" t="s">
        <v>94</v>
      </c>
      <c r="P171" s="58" t="s">
        <v>97</v>
      </c>
      <c r="Q171" s="58" t="s">
        <v>91</v>
      </c>
      <c r="R171" s="58">
        <v>3504</v>
      </c>
      <c r="S171" s="33"/>
    </row>
    <row r="172" spans="13:19" ht="40.200000000000003" thickBot="1" x14ac:dyDescent="0.35">
      <c r="M172" s="57">
        <v>1999</v>
      </c>
      <c r="N172" s="57" t="s">
        <v>88</v>
      </c>
      <c r="O172" s="57" t="s">
        <v>96</v>
      </c>
      <c r="P172" s="57" t="s">
        <v>99</v>
      </c>
      <c r="Q172" s="57" t="s">
        <v>91</v>
      </c>
      <c r="R172" s="57">
        <v>22737</v>
      </c>
      <c r="S172" s="33"/>
    </row>
    <row r="173" spans="13:19" ht="27" thickBot="1" x14ac:dyDescent="0.35">
      <c r="M173" s="58">
        <v>1999</v>
      </c>
      <c r="N173" s="58" t="s">
        <v>88</v>
      </c>
      <c r="O173" s="58" t="s">
        <v>96</v>
      </c>
      <c r="P173" s="58" t="s">
        <v>104</v>
      </c>
      <c r="Q173" s="58" t="s">
        <v>91</v>
      </c>
      <c r="R173" s="58">
        <v>22483</v>
      </c>
      <c r="S173" s="33"/>
    </row>
    <row r="174" spans="13:19" ht="40.200000000000003" thickBot="1" x14ac:dyDescent="0.35">
      <c r="M174" s="57">
        <v>1999</v>
      </c>
      <c r="N174" s="57" t="s">
        <v>88</v>
      </c>
      <c r="O174" s="57" t="s">
        <v>94</v>
      </c>
      <c r="P174" s="57" t="s">
        <v>94</v>
      </c>
      <c r="Q174" s="57" t="s">
        <v>91</v>
      </c>
      <c r="R174" s="57">
        <v>13690</v>
      </c>
      <c r="S174" s="33"/>
    </row>
    <row r="175" spans="13:19" ht="40.200000000000003" thickBot="1" x14ac:dyDescent="0.35">
      <c r="M175" s="58">
        <v>1998</v>
      </c>
      <c r="N175" s="58" t="s">
        <v>88</v>
      </c>
      <c r="O175" s="58" t="s">
        <v>92</v>
      </c>
      <c r="P175" s="58" t="s">
        <v>93</v>
      </c>
      <c r="Q175" s="58" t="s">
        <v>91</v>
      </c>
      <c r="R175" s="58">
        <v>31836</v>
      </c>
      <c r="S175" s="33"/>
    </row>
    <row r="176" spans="13:19" ht="40.200000000000003" thickBot="1" x14ac:dyDescent="0.35">
      <c r="M176" s="57">
        <v>1998</v>
      </c>
      <c r="N176" s="57" t="s">
        <v>88</v>
      </c>
      <c r="O176" s="57" t="s">
        <v>97</v>
      </c>
      <c r="P176" s="57" t="s">
        <v>99</v>
      </c>
      <c r="Q176" s="57" t="s">
        <v>91</v>
      </c>
      <c r="R176" s="57">
        <v>96514</v>
      </c>
      <c r="S176" s="33"/>
    </row>
    <row r="177" spans="13:19" ht="27" thickBot="1" x14ac:dyDescent="0.35">
      <c r="M177" s="58">
        <v>1998</v>
      </c>
      <c r="N177" s="58" t="s">
        <v>88</v>
      </c>
      <c r="O177" s="58" t="s">
        <v>103</v>
      </c>
      <c r="P177" s="58" t="s">
        <v>98</v>
      </c>
      <c r="Q177" s="58" t="s">
        <v>91</v>
      </c>
      <c r="R177" s="58">
        <v>92394</v>
      </c>
      <c r="S177" s="33"/>
    </row>
    <row r="178" spans="13:19" ht="27" thickBot="1" x14ac:dyDescent="0.35">
      <c r="M178" s="57">
        <v>1998</v>
      </c>
      <c r="N178" s="57" t="s">
        <v>88</v>
      </c>
      <c r="O178" s="57" t="s">
        <v>103</v>
      </c>
      <c r="P178" s="57" t="s">
        <v>98</v>
      </c>
      <c r="Q178" s="57" t="s">
        <v>91</v>
      </c>
      <c r="R178" s="57">
        <v>67118</v>
      </c>
      <c r="S178" s="33"/>
    </row>
    <row r="179" spans="13:19" ht="40.200000000000003" thickBot="1" x14ac:dyDescent="0.35">
      <c r="M179" s="58">
        <v>1998</v>
      </c>
      <c r="N179" s="58" t="s">
        <v>88</v>
      </c>
      <c r="O179" s="58" t="s">
        <v>94</v>
      </c>
      <c r="P179" s="58" t="s">
        <v>94</v>
      </c>
      <c r="Q179" s="58" t="s">
        <v>91</v>
      </c>
      <c r="R179" s="58">
        <v>181112</v>
      </c>
      <c r="S179" s="33"/>
    </row>
    <row r="180" spans="13:19" ht="27" thickBot="1" x14ac:dyDescent="0.35">
      <c r="M180" s="57">
        <v>1998</v>
      </c>
      <c r="N180" s="57" t="s">
        <v>88</v>
      </c>
      <c r="O180" s="57" t="s">
        <v>89</v>
      </c>
      <c r="P180" s="57" t="s">
        <v>90</v>
      </c>
      <c r="Q180" s="57" t="s">
        <v>91</v>
      </c>
      <c r="R180" s="57">
        <v>111656</v>
      </c>
      <c r="S180" s="33"/>
    </row>
    <row r="181" spans="13:19" ht="40.200000000000003" thickBot="1" x14ac:dyDescent="0.35">
      <c r="M181" s="58">
        <v>1998</v>
      </c>
      <c r="N181" s="58" t="s">
        <v>88</v>
      </c>
      <c r="O181" s="58" t="s">
        <v>94</v>
      </c>
      <c r="P181" s="58" t="s">
        <v>90</v>
      </c>
      <c r="Q181" s="58" t="s">
        <v>91</v>
      </c>
      <c r="R181" s="58">
        <v>5779</v>
      </c>
      <c r="S181" s="33"/>
    </row>
    <row r="182" spans="13:19" ht="27" thickBot="1" x14ac:dyDescent="0.35">
      <c r="M182" s="57">
        <v>1998</v>
      </c>
      <c r="N182" s="57" t="s">
        <v>88</v>
      </c>
      <c r="O182" s="57" t="s">
        <v>100</v>
      </c>
      <c r="P182" s="57" t="s">
        <v>101</v>
      </c>
      <c r="Q182" s="57" t="s">
        <v>91</v>
      </c>
      <c r="R182" s="57">
        <v>150588</v>
      </c>
      <c r="S182" s="33"/>
    </row>
    <row r="183" spans="13:19" ht="27" thickBot="1" x14ac:dyDescent="0.35">
      <c r="M183" s="58">
        <v>1998</v>
      </c>
      <c r="N183" s="58" t="s">
        <v>88</v>
      </c>
      <c r="O183" s="58" t="s">
        <v>97</v>
      </c>
      <c r="P183" s="58" t="s">
        <v>104</v>
      </c>
      <c r="Q183" s="58" t="s">
        <v>91</v>
      </c>
      <c r="R183" s="58">
        <v>20240</v>
      </c>
      <c r="S183" s="33"/>
    </row>
    <row r="184" spans="13:19" ht="40.200000000000003" thickBot="1" x14ac:dyDescent="0.35">
      <c r="M184" s="57">
        <v>1997</v>
      </c>
      <c r="N184" s="57" t="s">
        <v>88</v>
      </c>
      <c r="O184" s="57" t="s">
        <v>96</v>
      </c>
      <c r="P184" s="57" t="s">
        <v>99</v>
      </c>
      <c r="Q184" s="57" t="s">
        <v>91</v>
      </c>
      <c r="R184" s="57">
        <v>113840</v>
      </c>
      <c r="S184" s="33"/>
    </row>
    <row r="185" spans="13:19" ht="27" thickBot="1" x14ac:dyDescent="0.35">
      <c r="M185" s="58">
        <v>1997</v>
      </c>
      <c r="N185" s="58" t="s">
        <v>88</v>
      </c>
      <c r="O185" s="58" t="s">
        <v>89</v>
      </c>
      <c r="P185" s="58" t="s">
        <v>90</v>
      </c>
      <c r="Q185" s="58" t="s">
        <v>91</v>
      </c>
      <c r="R185" s="58">
        <v>113907</v>
      </c>
      <c r="S185" s="33"/>
    </row>
    <row r="186" spans="13:19" ht="40.200000000000003" thickBot="1" x14ac:dyDescent="0.35">
      <c r="M186" s="57">
        <v>1997</v>
      </c>
      <c r="N186" s="57" t="s">
        <v>88</v>
      </c>
      <c r="O186" s="57" t="s">
        <v>92</v>
      </c>
      <c r="P186" s="57" t="s">
        <v>105</v>
      </c>
      <c r="Q186" s="57" t="s">
        <v>91</v>
      </c>
      <c r="R186" s="57">
        <v>59703</v>
      </c>
      <c r="S186" s="33"/>
    </row>
    <row r="187" spans="13:19" ht="40.200000000000003" thickBot="1" x14ac:dyDescent="0.35">
      <c r="M187" s="58">
        <v>1997</v>
      </c>
      <c r="N187" s="58" t="s">
        <v>88</v>
      </c>
      <c r="O187" s="58" t="s">
        <v>92</v>
      </c>
      <c r="P187" s="58" t="s">
        <v>98</v>
      </c>
      <c r="Q187" s="58" t="s">
        <v>91</v>
      </c>
      <c r="R187" s="58">
        <v>118606</v>
      </c>
      <c r="S187" s="33"/>
    </row>
    <row r="188" spans="13:19" ht="40.200000000000003" thickBot="1" x14ac:dyDescent="0.35">
      <c r="M188" s="57">
        <v>1997</v>
      </c>
      <c r="N188" s="57" t="s">
        <v>88</v>
      </c>
      <c r="O188" s="57" t="s">
        <v>94</v>
      </c>
      <c r="P188" s="57" t="s">
        <v>98</v>
      </c>
      <c r="Q188" s="57" t="s">
        <v>91</v>
      </c>
      <c r="R188" s="57">
        <v>35709</v>
      </c>
      <c r="S188" s="33"/>
    </row>
    <row r="189" spans="13:19" ht="40.200000000000003" thickBot="1" x14ac:dyDescent="0.35">
      <c r="M189" s="58">
        <v>1997</v>
      </c>
      <c r="N189" s="58" t="s">
        <v>88</v>
      </c>
      <c r="O189" s="58" t="s">
        <v>94</v>
      </c>
      <c r="P189" s="58" t="s">
        <v>102</v>
      </c>
      <c r="Q189" s="58" t="s">
        <v>91</v>
      </c>
      <c r="R189" s="58">
        <v>147991</v>
      </c>
      <c r="S189" s="33"/>
    </row>
    <row r="190" spans="13:19" ht="40.200000000000003" thickBot="1" x14ac:dyDescent="0.35">
      <c r="M190" s="57">
        <v>1996</v>
      </c>
      <c r="N190" s="57" t="s">
        <v>88</v>
      </c>
      <c r="O190" s="57" t="s">
        <v>94</v>
      </c>
      <c r="P190" s="57" t="s">
        <v>102</v>
      </c>
      <c r="Q190" s="57" t="s">
        <v>91</v>
      </c>
      <c r="R190" s="57">
        <v>190853</v>
      </c>
      <c r="S190" s="33"/>
    </row>
    <row r="191" spans="13:19" ht="40.200000000000003" thickBot="1" x14ac:dyDescent="0.35">
      <c r="M191" s="58">
        <v>1996</v>
      </c>
      <c r="N191" s="58" t="s">
        <v>88</v>
      </c>
      <c r="O191" s="58" t="s">
        <v>92</v>
      </c>
      <c r="P191" s="58" t="s">
        <v>92</v>
      </c>
      <c r="Q191" s="58" t="s">
        <v>91</v>
      </c>
      <c r="R191" s="58">
        <v>15990</v>
      </c>
      <c r="S191" s="33"/>
    </row>
    <row r="192" spans="13:19" ht="27" thickBot="1" x14ac:dyDescent="0.35">
      <c r="M192" s="57">
        <v>1996</v>
      </c>
      <c r="N192" s="57" t="s">
        <v>88</v>
      </c>
      <c r="O192" s="57" t="s">
        <v>89</v>
      </c>
      <c r="P192" s="57" t="s">
        <v>106</v>
      </c>
      <c r="Q192" s="57" t="s">
        <v>91</v>
      </c>
      <c r="R192" s="57">
        <v>8990</v>
      </c>
      <c r="S192" s="33"/>
    </row>
    <row r="193" spans="13:19" ht="27" thickBot="1" x14ac:dyDescent="0.35">
      <c r="M193" s="58">
        <v>1996</v>
      </c>
      <c r="N193" s="58" t="s">
        <v>88</v>
      </c>
      <c r="O193" s="58" t="s">
        <v>89</v>
      </c>
      <c r="P193" s="58" t="s">
        <v>90</v>
      </c>
      <c r="Q193" s="58" t="s">
        <v>91</v>
      </c>
      <c r="R193" s="58">
        <v>90726</v>
      </c>
      <c r="S193" s="33"/>
    </row>
    <row r="194" spans="13:19" ht="27" thickBot="1" x14ac:dyDescent="0.35">
      <c r="M194" s="57">
        <v>1996</v>
      </c>
      <c r="N194" s="57" t="s">
        <v>88</v>
      </c>
      <c r="O194" s="57" t="s">
        <v>107</v>
      </c>
      <c r="P194" s="57" t="s">
        <v>105</v>
      </c>
      <c r="Q194" s="57" t="s">
        <v>91</v>
      </c>
      <c r="R194" s="57">
        <v>19960</v>
      </c>
      <c r="S194" s="33"/>
    </row>
    <row r="195" spans="13:19" ht="40.200000000000003" thickBot="1" x14ac:dyDescent="0.35">
      <c r="M195" s="58">
        <v>1996</v>
      </c>
      <c r="N195" s="58" t="s">
        <v>88</v>
      </c>
      <c r="O195" s="58" t="s">
        <v>92</v>
      </c>
      <c r="P195" s="58" t="s">
        <v>105</v>
      </c>
      <c r="Q195" s="58" t="s">
        <v>91</v>
      </c>
      <c r="R195" s="58">
        <v>57102</v>
      </c>
      <c r="S195" s="33"/>
    </row>
    <row r="196" spans="13:19" ht="40.200000000000003" thickBot="1" x14ac:dyDescent="0.35">
      <c r="M196" s="57">
        <v>1996</v>
      </c>
      <c r="N196" s="57" t="s">
        <v>88</v>
      </c>
      <c r="O196" s="57" t="s">
        <v>92</v>
      </c>
      <c r="P196" s="57" t="s">
        <v>98</v>
      </c>
      <c r="Q196" s="57" t="s">
        <v>91</v>
      </c>
      <c r="R196" s="57">
        <v>117814</v>
      </c>
      <c r="S196" s="33"/>
    </row>
    <row r="197" spans="13:19" ht="40.200000000000003" thickBot="1" x14ac:dyDescent="0.35">
      <c r="M197" s="58">
        <v>1996</v>
      </c>
      <c r="N197" s="58" t="s">
        <v>88</v>
      </c>
      <c r="O197" s="58" t="s">
        <v>96</v>
      </c>
      <c r="P197" s="58" t="s">
        <v>99</v>
      </c>
      <c r="Q197" s="58" t="s">
        <v>91</v>
      </c>
      <c r="R197" s="58">
        <v>116842</v>
      </c>
      <c r="S197" s="33"/>
    </row>
    <row r="198" spans="13:19" ht="40.200000000000003" thickBot="1" x14ac:dyDescent="0.35">
      <c r="M198" s="57">
        <v>1995</v>
      </c>
      <c r="N198" s="57" t="s">
        <v>88</v>
      </c>
      <c r="O198" s="57" t="s">
        <v>94</v>
      </c>
      <c r="P198" s="57" t="s">
        <v>102</v>
      </c>
      <c r="Q198" s="57" t="s">
        <v>91</v>
      </c>
      <c r="R198" s="57">
        <v>166242</v>
      </c>
      <c r="S198" s="33"/>
    </row>
    <row r="199" spans="13:19" ht="27" thickBot="1" x14ac:dyDescent="0.35">
      <c r="M199" s="58">
        <v>1995</v>
      </c>
      <c r="N199" s="58" t="s">
        <v>88</v>
      </c>
      <c r="O199" s="58" t="s">
        <v>103</v>
      </c>
      <c r="P199" s="58" t="s">
        <v>98</v>
      </c>
      <c r="Q199" s="58" t="s">
        <v>91</v>
      </c>
      <c r="R199" s="58">
        <v>18256</v>
      </c>
      <c r="S199" s="33"/>
    </row>
    <row r="200" spans="13:19" ht="27" thickBot="1" x14ac:dyDescent="0.35">
      <c r="M200" s="57">
        <v>1995</v>
      </c>
      <c r="N200" s="57" t="s">
        <v>88</v>
      </c>
      <c r="O200" s="57" t="s">
        <v>89</v>
      </c>
      <c r="P200" s="57" t="s">
        <v>90</v>
      </c>
      <c r="Q200" s="57" t="s">
        <v>91</v>
      </c>
      <c r="R200" s="57">
        <v>114341</v>
      </c>
      <c r="S200" s="33"/>
    </row>
    <row r="201" spans="13:19" ht="40.200000000000003" thickBot="1" x14ac:dyDescent="0.35">
      <c r="M201" s="58">
        <v>1995</v>
      </c>
      <c r="N201" s="58" t="s">
        <v>88</v>
      </c>
      <c r="O201" s="58" t="s">
        <v>92</v>
      </c>
      <c r="P201" s="58" t="s">
        <v>105</v>
      </c>
      <c r="Q201" s="58" t="s">
        <v>91</v>
      </c>
      <c r="R201" s="58">
        <v>52853</v>
      </c>
      <c r="S201" s="33"/>
    </row>
    <row r="202" spans="13:19" ht="40.200000000000003" thickBot="1" x14ac:dyDescent="0.35">
      <c r="M202" s="57">
        <v>1995</v>
      </c>
      <c r="N202" s="57" t="s">
        <v>88</v>
      </c>
      <c r="O202" s="57" t="s">
        <v>92</v>
      </c>
      <c r="P202" s="57" t="s">
        <v>98</v>
      </c>
      <c r="Q202" s="57" t="s">
        <v>91</v>
      </c>
      <c r="R202" s="57">
        <v>118353</v>
      </c>
      <c r="S202" s="33"/>
    </row>
    <row r="203" spans="13:19" ht="40.200000000000003" thickBot="1" x14ac:dyDescent="0.35">
      <c r="M203" s="58">
        <v>1995</v>
      </c>
      <c r="N203" s="58" t="s">
        <v>88</v>
      </c>
      <c r="O203" s="58" t="s">
        <v>96</v>
      </c>
      <c r="P203" s="58" t="s">
        <v>99</v>
      </c>
      <c r="Q203" s="58" t="s">
        <v>91</v>
      </c>
      <c r="R203" s="58">
        <v>115103</v>
      </c>
      <c r="S203" s="33"/>
    </row>
    <row r="204" spans="13:19" ht="40.200000000000003" thickBot="1" x14ac:dyDescent="0.35">
      <c r="M204" s="57">
        <v>1994</v>
      </c>
      <c r="N204" s="57" t="s">
        <v>88</v>
      </c>
      <c r="O204" s="57" t="s">
        <v>96</v>
      </c>
      <c r="P204" s="57" t="s">
        <v>99</v>
      </c>
      <c r="Q204" s="57" t="s">
        <v>91</v>
      </c>
      <c r="R204" s="57">
        <v>119614</v>
      </c>
      <c r="S204" s="33"/>
    </row>
    <row r="205" spans="13:19" ht="40.200000000000003" thickBot="1" x14ac:dyDescent="0.35">
      <c r="M205" s="58">
        <v>1994</v>
      </c>
      <c r="N205" s="58" t="s">
        <v>88</v>
      </c>
      <c r="O205" s="58" t="s">
        <v>94</v>
      </c>
      <c r="P205" s="58" t="s">
        <v>102</v>
      </c>
      <c r="Q205" s="58" t="s">
        <v>91</v>
      </c>
      <c r="R205" s="58">
        <v>183083</v>
      </c>
      <c r="S205" s="33"/>
    </row>
    <row r="206" spans="13:19" ht="27" thickBot="1" x14ac:dyDescent="0.35">
      <c r="M206" s="57">
        <v>1994</v>
      </c>
      <c r="N206" s="57" t="s">
        <v>88</v>
      </c>
      <c r="O206" s="57" t="s">
        <v>89</v>
      </c>
      <c r="P206" s="57" t="s">
        <v>90</v>
      </c>
      <c r="Q206" s="57" t="s">
        <v>91</v>
      </c>
      <c r="R206" s="57">
        <v>111829</v>
      </c>
      <c r="S206" s="33"/>
    </row>
    <row r="207" spans="13:19" ht="27" thickBot="1" x14ac:dyDescent="0.35">
      <c r="M207" s="58">
        <v>1994</v>
      </c>
      <c r="N207" s="58" t="s">
        <v>88</v>
      </c>
      <c r="O207" s="58" t="s">
        <v>107</v>
      </c>
      <c r="P207" s="58" t="s">
        <v>98</v>
      </c>
      <c r="Q207" s="58" t="s">
        <v>91</v>
      </c>
      <c r="R207" s="58">
        <v>36070</v>
      </c>
      <c r="S207" s="33"/>
    </row>
    <row r="208" spans="13:19" ht="40.200000000000003" thickBot="1" x14ac:dyDescent="0.35">
      <c r="M208" s="57">
        <v>1994</v>
      </c>
      <c r="N208" s="57" t="s">
        <v>88</v>
      </c>
      <c r="O208" s="57" t="s">
        <v>92</v>
      </c>
      <c r="P208" s="57" t="s">
        <v>98</v>
      </c>
      <c r="Q208" s="57" t="s">
        <v>91</v>
      </c>
      <c r="R208" s="57">
        <v>100032</v>
      </c>
      <c r="S208" s="33"/>
    </row>
    <row r="209" spans="13:19" ht="40.200000000000003" thickBot="1" x14ac:dyDescent="0.35">
      <c r="M209" s="58">
        <v>1994</v>
      </c>
      <c r="N209" s="58" t="s">
        <v>88</v>
      </c>
      <c r="O209" s="58" t="s">
        <v>92</v>
      </c>
      <c r="P209" s="58" t="s">
        <v>105</v>
      </c>
      <c r="Q209" s="58" t="s">
        <v>91</v>
      </c>
      <c r="R209" s="58">
        <v>65201</v>
      </c>
      <c r="S209" s="33"/>
    </row>
    <row r="210" spans="13:19" ht="40.200000000000003" thickBot="1" x14ac:dyDescent="0.35">
      <c r="M210" s="57">
        <v>1993</v>
      </c>
      <c r="N210" s="57" t="s">
        <v>88</v>
      </c>
      <c r="O210" s="57" t="s">
        <v>97</v>
      </c>
      <c r="P210" s="57" t="s">
        <v>99</v>
      </c>
      <c r="Q210" s="57" t="s">
        <v>91</v>
      </c>
      <c r="R210" s="57">
        <v>108350</v>
      </c>
      <c r="S210" s="33"/>
    </row>
    <row r="211" spans="13:19" ht="40.200000000000003" thickBot="1" x14ac:dyDescent="0.35">
      <c r="M211" s="58">
        <v>1993</v>
      </c>
      <c r="N211" s="58" t="s">
        <v>88</v>
      </c>
      <c r="O211" s="58" t="s">
        <v>94</v>
      </c>
      <c r="P211" s="58" t="s">
        <v>102</v>
      </c>
      <c r="Q211" s="58" t="s">
        <v>91</v>
      </c>
      <c r="R211" s="58">
        <v>181500</v>
      </c>
      <c r="S211" s="33"/>
    </row>
    <row r="212" spans="13:19" ht="27" thickBot="1" x14ac:dyDescent="0.35">
      <c r="M212" s="57">
        <v>1993</v>
      </c>
      <c r="N212" s="57" t="s">
        <v>88</v>
      </c>
      <c r="O212" s="57" t="s">
        <v>89</v>
      </c>
      <c r="P212" s="57" t="s">
        <v>90</v>
      </c>
      <c r="Q212" s="57" t="s">
        <v>91</v>
      </c>
      <c r="R212" s="57">
        <v>111809</v>
      </c>
      <c r="S212" s="33"/>
    </row>
    <row r="213" spans="13:19" ht="27" thickBot="1" x14ac:dyDescent="0.35">
      <c r="M213" s="58">
        <v>1993</v>
      </c>
      <c r="N213" s="58" t="s">
        <v>88</v>
      </c>
      <c r="O213" s="58" t="s">
        <v>107</v>
      </c>
      <c r="P213" s="58" t="s">
        <v>98</v>
      </c>
      <c r="Q213" s="58" t="s">
        <v>91</v>
      </c>
      <c r="R213" s="58">
        <v>36195</v>
      </c>
      <c r="S213" s="33"/>
    </row>
    <row r="214" spans="13:19" ht="27" thickBot="1" x14ac:dyDescent="0.35">
      <c r="M214" s="57">
        <v>1993</v>
      </c>
      <c r="N214" s="57" t="s">
        <v>88</v>
      </c>
      <c r="O214" s="57" t="s">
        <v>96</v>
      </c>
      <c r="P214" s="57" t="s">
        <v>97</v>
      </c>
      <c r="Q214" s="57" t="s">
        <v>91</v>
      </c>
      <c r="R214" s="57">
        <v>10120</v>
      </c>
      <c r="S214" s="33"/>
    </row>
    <row r="215" spans="13:19" ht="40.200000000000003" thickBot="1" x14ac:dyDescent="0.35">
      <c r="M215" s="58">
        <v>1993</v>
      </c>
      <c r="N215" s="58" t="s">
        <v>88</v>
      </c>
      <c r="O215" s="58" t="s">
        <v>92</v>
      </c>
      <c r="P215" s="58" t="s">
        <v>98</v>
      </c>
      <c r="Q215" s="58" t="s">
        <v>91</v>
      </c>
      <c r="R215" s="58">
        <v>110145</v>
      </c>
      <c r="S215" s="33"/>
    </row>
    <row r="216" spans="13:19" ht="40.200000000000003" thickBot="1" x14ac:dyDescent="0.35">
      <c r="M216" s="57">
        <v>1993</v>
      </c>
      <c r="N216" s="57" t="s">
        <v>88</v>
      </c>
      <c r="O216" s="57" t="s">
        <v>92</v>
      </c>
      <c r="P216" s="57" t="s">
        <v>105</v>
      </c>
      <c r="Q216" s="57" t="s">
        <v>91</v>
      </c>
      <c r="R216" s="57">
        <v>21413</v>
      </c>
      <c r="S216" s="33"/>
    </row>
    <row r="217" spans="13:19" ht="27" thickBot="1" x14ac:dyDescent="0.35">
      <c r="M217" s="58">
        <v>1993</v>
      </c>
      <c r="N217" s="58" t="s">
        <v>88</v>
      </c>
      <c r="O217" s="58" t="s">
        <v>100</v>
      </c>
      <c r="P217" s="58" t="s">
        <v>101</v>
      </c>
      <c r="Q217" s="58" t="s">
        <v>91</v>
      </c>
      <c r="R217" s="58">
        <v>39851</v>
      </c>
      <c r="S217" s="33"/>
    </row>
    <row r="218" spans="13:19" ht="40.200000000000003" thickBot="1" x14ac:dyDescent="0.35">
      <c r="M218" s="57">
        <v>1992</v>
      </c>
      <c r="N218" s="57" t="s">
        <v>88</v>
      </c>
      <c r="O218" s="57" t="s">
        <v>89</v>
      </c>
      <c r="P218" s="57" t="s">
        <v>99</v>
      </c>
      <c r="Q218" s="57" t="s">
        <v>91</v>
      </c>
      <c r="R218" s="57">
        <v>7990</v>
      </c>
      <c r="S218" s="33"/>
    </row>
    <row r="219" spans="13:19" ht="27" thickBot="1" x14ac:dyDescent="0.35">
      <c r="M219" s="58">
        <v>1992</v>
      </c>
      <c r="N219" s="58" t="s">
        <v>88</v>
      </c>
      <c r="O219" s="58" t="s">
        <v>107</v>
      </c>
      <c r="P219" s="58" t="s">
        <v>90</v>
      </c>
      <c r="Q219" s="58" t="s">
        <v>91</v>
      </c>
      <c r="R219" s="58">
        <v>20563</v>
      </c>
      <c r="S219" s="33"/>
    </row>
    <row r="220" spans="13:19" ht="40.200000000000003" thickBot="1" x14ac:dyDescent="0.35">
      <c r="M220" s="57">
        <v>1992</v>
      </c>
      <c r="N220" s="57" t="s">
        <v>88</v>
      </c>
      <c r="O220" s="57" t="s">
        <v>94</v>
      </c>
      <c r="P220" s="57" t="s">
        <v>98</v>
      </c>
      <c r="Q220" s="57" t="s">
        <v>91</v>
      </c>
      <c r="R220" s="57">
        <v>214094</v>
      </c>
      <c r="S220" s="33"/>
    </row>
    <row r="221" spans="13:19" ht="27" thickBot="1" x14ac:dyDescent="0.35">
      <c r="M221" s="58">
        <v>1992</v>
      </c>
      <c r="N221" s="58" t="s">
        <v>88</v>
      </c>
      <c r="O221" s="58" t="s">
        <v>89</v>
      </c>
      <c r="P221" s="58" t="s">
        <v>90</v>
      </c>
      <c r="Q221" s="58" t="s">
        <v>91</v>
      </c>
      <c r="R221" s="58">
        <v>86730</v>
      </c>
      <c r="S221" s="33"/>
    </row>
    <row r="222" spans="13:19" ht="27" thickBot="1" x14ac:dyDescent="0.35">
      <c r="M222" s="57">
        <v>1992</v>
      </c>
      <c r="N222" s="57" t="s">
        <v>88</v>
      </c>
      <c r="O222" s="57" t="s">
        <v>107</v>
      </c>
      <c r="P222" s="57" t="s">
        <v>98</v>
      </c>
      <c r="Q222" s="57" t="s">
        <v>91</v>
      </c>
      <c r="R222" s="57">
        <v>44677</v>
      </c>
      <c r="S222" s="33"/>
    </row>
    <row r="223" spans="13:19" ht="40.200000000000003" thickBot="1" x14ac:dyDescent="0.35">
      <c r="M223" s="58">
        <v>1992</v>
      </c>
      <c r="N223" s="58" t="s">
        <v>88</v>
      </c>
      <c r="O223" s="58" t="s">
        <v>107</v>
      </c>
      <c r="P223" s="58" t="s">
        <v>99</v>
      </c>
      <c r="Q223" s="58" t="s">
        <v>91</v>
      </c>
      <c r="R223" s="58">
        <v>75289</v>
      </c>
      <c r="S223" s="33"/>
    </row>
    <row r="224" spans="13:19" ht="40.200000000000003" thickBot="1" x14ac:dyDescent="0.35">
      <c r="M224" s="57">
        <v>1992</v>
      </c>
      <c r="N224" s="57" t="s">
        <v>88</v>
      </c>
      <c r="O224" s="57" t="s">
        <v>92</v>
      </c>
      <c r="P224" s="57" t="s">
        <v>98</v>
      </c>
      <c r="Q224" s="57" t="s">
        <v>91</v>
      </c>
      <c r="R224" s="57">
        <v>106968</v>
      </c>
      <c r="S224" s="33"/>
    </row>
    <row r="225" spans="13:19" ht="40.200000000000003" thickBot="1" x14ac:dyDescent="0.35">
      <c r="M225" s="58">
        <v>1992</v>
      </c>
      <c r="N225" s="58" t="s">
        <v>88</v>
      </c>
      <c r="O225" s="58" t="s">
        <v>92</v>
      </c>
      <c r="P225" s="58" t="s">
        <v>105</v>
      </c>
      <c r="Q225" s="58" t="s">
        <v>91</v>
      </c>
      <c r="R225" s="58">
        <v>31317</v>
      </c>
      <c r="S225" s="33"/>
    </row>
    <row r="226" spans="13:19" ht="27" thickBot="1" x14ac:dyDescent="0.35">
      <c r="M226" s="57">
        <v>1992</v>
      </c>
      <c r="N226" s="57" t="s">
        <v>88</v>
      </c>
      <c r="O226" s="57" t="s">
        <v>100</v>
      </c>
      <c r="P226" s="57" t="s">
        <v>101</v>
      </c>
      <c r="Q226" s="57" t="s">
        <v>91</v>
      </c>
      <c r="R226" s="57">
        <v>38756</v>
      </c>
      <c r="S226" s="33"/>
    </row>
    <row r="227" spans="13:19" ht="40.200000000000003" thickBot="1" x14ac:dyDescent="0.35">
      <c r="M227" s="58">
        <v>1991</v>
      </c>
      <c r="N227" s="58" t="s">
        <v>88</v>
      </c>
      <c r="O227" s="58" t="s">
        <v>94</v>
      </c>
      <c r="P227" s="58" t="s">
        <v>98</v>
      </c>
      <c r="Q227" s="58" t="s">
        <v>91</v>
      </c>
      <c r="R227" s="58">
        <v>50499</v>
      </c>
      <c r="S227" s="33"/>
    </row>
    <row r="228" spans="13:19" ht="27" thickBot="1" x14ac:dyDescent="0.35">
      <c r="M228" s="57">
        <v>1991</v>
      </c>
      <c r="N228" s="57" t="s">
        <v>88</v>
      </c>
      <c r="O228" s="57" t="s">
        <v>107</v>
      </c>
      <c r="P228" s="57" t="s">
        <v>90</v>
      </c>
      <c r="Q228" s="57" t="s">
        <v>91</v>
      </c>
      <c r="R228" s="57">
        <v>12691</v>
      </c>
      <c r="S228" s="33"/>
    </row>
    <row r="229" spans="13:19" ht="40.200000000000003" thickBot="1" x14ac:dyDescent="0.35">
      <c r="M229" s="58">
        <v>1991</v>
      </c>
      <c r="N229" s="58" t="s">
        <v>88</v>
      </c>
      <c r="O229" s="58" t="s">
        <v>89</v>
      </c>
      <c r="P229" s="58" t="s">
        <v>99</v>
      </c>
      <c r="Q229" s="58" t="s">
        <v>91</v>
      </c>
      <c r="R229" s="58">
        <v>10746</v>
      </c>
      <c r="S229" s="33"/>
    </row>
    <row r="230" spans="13:19" ht="40.200000000000003" thickBot="1" x14ac:dyDescent="0.35">
      <c r="M230" s="57">
        <v>1991</v>
      </c>
      <c r="N230" s="57" t="s">
        <v>88</v>
      </c>
      <c r="O230" s="57" t="s">
        <v>94</v>
      </c>
      <c r="P230" s="57" t="s">
        <v>102</v>
      </c>
      <c r="Q230" s="57" t="s">
        <v>91</v>
      </c>
      <c r="R230" s="57">
        <v>156013</v>
      </c>
      <c r="S230" s="33"/>
    </row>
    <row r="231" spans="13:19" ht="27" thickBot="1" x14ac:dyDescent="0.35">
      <c r="M231" s="58">
        <v>1991</v>
      </c>
      <c r="N231" s="58" t="s">
        <v>88</v>
      </c>
      <c r="O231" s="58" t="s">
        <v>89</v>
      </c>
      <c r="P231" s="58" t="s">
        <v>90</v>
      </c>
      <c r="Q231" s="58" t="s">
        <v>91</v>
      </c>
      <c r="R231" s="58">
        <v>95920</v>
      </c>
      <c r="S231" s="33"/>
    </row>
    <row r="232" spans="13:19" ht="27" thickBot="1" x14ac:dyDescent="0.35">
      <c r="M232" s="57">
        <v>1991</v>
      </c>
      <c r="N232" s="57" t="s">
        <v>88</v>
      </c>
      <c r="O232" s="57" t="s">
        <v>107</v>
      </c>
      <c r="P232" s="57" t="s">
        <v>98</v>
      </c>
      <c r="Q232" s="57" t="s">
        <v>91</v>
      </c>
      <c r="R232" s="57">
        <v>42773</v>
      </c>
      <c r="S232" s="33"/>
    </row>
    <row r="233" spans="13:19" ht="40.200000000000003" thickBot="1" x14ac:dyDescent="0.35">
      <c r="M233" s="58">
        <v>1991</v>
      </c>
      <c r="N233" s="58" t="s">
        <v>88</v>
      </c>
      <c r="O233" s="58" t="s">
        <v>107</v>
      </c>
      <c r="P233" s="58" t="s">
        <v>99</v>
      </c>
      <c r="Q233" s="58" t="s">
        <v>91</v>
      </c>
      <c r="R233" s="58">
        <v>68162</v>
      </c>
      <c r="S233" s="33"/>
    </row>
    <row r="234" spans="13:19" ht="40.200000000000003" thickBot="1" x14ac:dyDescent="0.35">
      <c r="M234" s="57">
        <v>1991</v>
      </c>
      <c r="N234" s="57" t="s">
        <v>88</v>
      </c>
      <c r="O234" s="57" t="s">
        <v>92</v>
      </c>
      <c r="P234" s="57" t="s">
        <v>98</v>
      </c>
      <c r="Q234" s="57" t="s">
        <v>91</v>
      </c>
      <c r="R234" s="57">
        <v>127203</v>
      </c>
      <c r="S234" s="33"/>
    </row>
    <row r="235" spans="13:19" ht="40.200000000000003" thickBot="1" x14ac:dyDescent="0.35">
      <c r="M235" s="58">
        <v>1991</v>
      </c>
      <c r="N235" s="58" t="s">
        <v>88</v>
      </c>
      <c r="O235" s="58" t="s">
        <v>92</v>
      </c>
      <c r="P235" s="58" t="s">
        <v>105</v>
      </c>
      <c r="Q235" s="58" t="s">
        <v>91</v>
      </c>
      <c r="R235" s="58">
        <v>30686</v>
      </c>
      <c r="S235" s="33"/>
    </row>
    <row r="236" spans="13:19" ht="40.200000000000003" thickBot="1" x14ac:dyDescent="0.35">
      <c r="M236" s="57">
        <v>1990</v>
      </c>
      <c r="N236" s="57" t="s">
        <v>88</v>
      </c>
      <c r="O236" s="57" t="s">
        <v>92</v>
      </c>
      <c r="P236" s="57" t="s">
        <v>108</v>
      </c>
      <c r="Q236" s="57" t="s">
        <v>91</v>
      </c>
      <c r="R236" s="57">
        <v>50235</v>
      </c>
      <c r="S236" s="33"/>
    </row>
    <row r="237" spans="13:19" ht="27" thickBot="1" x14ac:dyDescent="0.35">
      <c r="M237" s="58">
        <v>1990</v>
      </c>
      <c r="N237" s="58" t="s">
        <v>88</v>
      </c>
      <c r="O237" s="58" t="s">
        <v>89</v>
      </c>
      <c r="P237" s="58" t="s">
        <v>97</v>
      </c>
      <c r="Q237" s="58" t="s">
        <v>91</v>
      </c>
      <c r="R237" s="58">
        <v>50667</v>
      </c>
      <c r="S237" s="33"/>
    </row>
    <row r="238" spans="13:19" ht="40.200000000000003" thickBot="1" x14ac:dyDescent="0.35">
      <c r="M238" s="57">
        <v>1990</v>
      </c>
      <c r="N238" s="57" t="s">
        <v>88</v>
      </c>
      <c r="O238" s="57" t="s">
        <v>92</v>
      </c>
      <c r="P238" s="57" t="s">
        <v>108</v>
      </c>
      <c r="Q238" s="57" t="s">
        <v>91</v>
      </c>
      <c r="R238" s="57">
        <v>6077</v>
      </c>
      <c r="S238" s="33"/>
    </row>
    <row r="239" spans="13:19" ht="40.200000000000003" thickBot="1" x14ac:dyDescent="0.35">
      <c r="M239" s="58">
        <v>1990</v>
      </c>
      <c r="N239" s="58" t="s">
        <v>88</v>
      </c>
      <c r="O239" s="58" t="s">
        <v>94</v>
      </c>
      <c r="P239" s="58" t="s">
        <v>108</v>
      </c>
      <c r="Q239" s="58" t="s">
        <v>91</v>
      </c>
      <c r="R239" s="58">
        <v>6077</v>
      </c>
      <c r="S239" s="33"/>
    </row>
    <row r="240" spans="13:19" ht="40.200000000000003" thickBot="1" x14ac:dyDescent="0.35">
      <c r="M240" s="57">
        <v>1990</v>
      </c>
      <c r="N240" s="57" t="s">
        <v>88</v>
      </c>
      <c r="O240" s="57" t="s">
        <v>92</v>
      </c>
      <c r="P240" s="57" t="s">
        <v>108</v>
      </c>
      <c r="Q240" s="57" t="s">
        <v>91</v>
      </c>
      <c r="R240" s="57">
        <v>6077</v>
      </c>
      <c r="S240" s="33"/>
    </row>
    <row r="241" spans="13:19" ht="40.200000000000003" thickBot="1" x14ac:dyDescent="0.35">
      <c r="M241" s="58">
        <v>1990</v>
      </c>
      <c r="N241" s="58" t="s">
        <v>88</v>
      </c>
      <c r="O241" s="58" t="s">
        <v>94</v>
      </c>
      <c r="P241" s="58" t="s">
        <v>94</v>
      </c>
      <c r="Q241" s="58" t="s">
        <v>91</v>
      </c>
      <c r="R241" s="58">
        <v>163727</v>
      </c>
      <c r="S241" s="33"/>
    </row>
    <row r="242" spans="13:19" ht="27" thickBot="1" x14ac:dyDescent="0.35">
      <c r="M242" s="57">
        <v>1990</v>
      </c>
      <c r="N242" s="57" t="s">
        <v>88</v>
      </c>
      <c r="O242" s="57" t="s">
        <v>89</v>
      </c>
      <c r="P242" s="57" t="s">
        <v>90</v>
      </c>
      <c r="Q242" s="57" t="s">
        <v>91</v>
      </c>
      <c r="R242" s="57">
        <v>31171</v>
      </c>
      <c r="S242" s="33"/>
    </row>
    <row r="243" spans="13:19" ht="27" thickBot="1" x14ac:dyDescent="0.35">
      <c r="M243" s="58">
        <v>1990</v>
      </c>
      <c r="N243" s="58" t="s">
        <v>88</v>
      </c>
      <c r="O243" s="58" t="s">
        <v>89</v>
      </c>
      <c r="P243" s="58" t="s">
        <v>90</v>
      </c>
      <c r="Q243" s="58" t="s">
        <v>91</v>
      </c>
      <c r="R243" s="58">
        <v>58092</v>
      </c>
      <c r="S243" s="33"/>
    </row>
    <row r="244" spans="13:19" ht="27" thickBot="1" x14ac:dyDescent="0.35">
      <c r="M244" s="57">
        <v>1990</v>
      </c>
      <c r="N244" s="57" t="s">
        <v>88</v>
      </c>
      <c r="O244" s="57" t="s">
        <v>107</v>
      </c>
      <c r="P244" s="57" t="s">
        <v>98</v>
      </c>
      <c r="Q244" s="57" t="s">
        <v>91</v>
      </c>
      <c r="R244" s="57">
        <v>41424</v>
      </c>
      <c r="S244" s="33"/>
    </row>
    <row r="245" spans="13:19" ht="40.200000000000003" thickBot="1" x14ac:dyDescent="0.35">
      <c r="M245" s="58">
        <v>1990</v>
      </c>
      <c r="N245" s="58" t="s">
        <v>88</v>
      </c>
      <c r="O245" s="58" t="s">
        <v>107</v>
      </c>
      <c r="P245" s="58" t="s">
        <v>99</v>
      </c>
      <c r="Q245" s="58" t="s">
        <v>91</v>
      </c>
      <c r="R245" s="58">
        <v>41464</v>
      </c>
      <c r="S245" s="33"/>
    </row>
    <row r="246" spans="13:19" ht="27" thickBot="1" x14ac:dyDescent="0.35">
      <c r="M246" s="57">
        <v>1990</v>
      </c>
      <c r="N246" s="57" t="s">
        <v>88</v>
      </c>
      <c r="O246" s="57" t="s">
        <v>107</v>
      </c>
      <c r="P246" s="57" t="s">
        <v>90</v>
      </c>
      <c r="Q246" s="57" t="s">
        <v>91</v>
      </c>
      <c r="R246" s="57">
        <v>29880</v>
      </c>
      <c r="S246" s="33"/>
    </row>
    <row r="247" spans="13:19" ht="40.200000000000003" thickBot="1" x14ac:dyDescent="0.35">
      <c r="M247" s="58">
        <v>1990</v>
      </c>
      <c r="N247" s="58" t="s">
        <v>88</v>
      </c>
      <c r="O247" s="58" t="s">
        <v>94</v>
      </c>
      <c r="P247" s="58" t="s">
        <v>98</v>
      </c>
      <c r="Q247" s="58" t="s">
        <v>91</v>
      </c>
      <c r="R247" s="58">
        <v>40303</v>
      </c>
      <c r="S247" s="33"/>
    </row>
    <row r="248" spans="13:19" ht="40.200000000000003" thickBot="1" x14ac:dyDescent="0.35">
      <c r="M248" s="57">
        <v>1990</v>
      </c>
      <c r="N248" s="57" t="s">
        <v>88</v>
      </c>
      <c r="O248" s="57" t="s">
        <v>92</v>
      </c>
      <c r="P248" s="57" t="s">
        <v>98</v>
      </c>
      <c r="Q248" s="57" t="s">
        <v>91</v>
      </c>
      <c r="R248" s="57">
        <v>133508</v>
      </c>
      <c r="S248" s="33"/>
    </row>
    <row r="249" spans="13:19" ht="40.200000000000003" thickBot="1" x14ac:dyDescent="0.35">
      <c r="M249" s="58">
        <v>1990</v>
      </c>
      <c r="N249" s="58" t="s">
        <v>88</v>
      </c>
      <c r="O249" s="58" t="s">
        <v>89</v>
      </c>
      <c r="P249" s="58" t="s">
        <v>99</v>
      </c>
      <c r="Q249" s="58" t="s">
        <v>91</v>
      </c>
      <c r="R249" s="58">
        <v>23803</v>
      </c>
      <c r="S249" s="33"/>
    </row>
    <row r="250" spans="13:19" ht="40.200000000000003" thickBot="1" x14ac:dyDescent="0.35">
      <c r="M250" s="57">
        <v>1990</v>
      </c>
      <c r="N250" s="57" t="s">
        <v>88</v>
      </c>
      <c r="O250" s="57" t="s">
        <v>92</v>
      </c>
      <c r="P250" s="57" t="s">
        <v>105</v>
      </c>
      <c r="Q250" s="57" t="s">
        <v>91</v>
      </c>
      <c r="R250" s="57">
        <v>30052</v>
      </c>
      <c r="S250" s="33"/>
    </row>
    <row r="251" spans="13:19" ht="40.200000000000003" thickBot="1" x14ac:dyDescent="0.35">
      <c r="M251" s="58">
        <v>1989</v>
      </c>
      <c r="N251" s="58" t="s">
        <v>88</v>
      </c>
      <c r="O251" s="58" t="s">
        <v>92</v>
      </c>
      <c r="P251" s="58" t="s">
        <v>108</v>
      </c>
      <c r="Q251" s="58" t="s">
        <v>91</v>
      </c>
      <c r="R251" s="58">
        <v>44000</v>
      </c>
      <c r="S251" s="33"/>
    </row>
    <row r="252" spans="13:19" ht="40.200000000000003" thickBot="1" x14ac:dyDescent="0.35">
      <c r="M252" s="57">
        <v>1989</v>
      </c>
      <c r="N252" s="57" t="s">
        <v>88</v>
      </c>
      <c r="O252" s="57" t="s">
        <v>94</v>
      </c>
      <c r="P252" s="57" t="s">
        <v>108</v>
      </c>
      <c r="Q252" s="57" t="s">
        <v>91</v>
      </c>
      <c r="R252" s="57">
        <v>29500</v>
      </c>
      <c r="S252" s="33"/>
    </row>
    <row r="253" spans="13:19" ht="40.200000000000003" thickBot="1" x14ac:dyDescent="0.35">
      <c r="M253" s="58">
        <v>1989</v>
      </c>
      <c r="N253" s="58" t="s">
        <v>88</v>
      </c>
      <c r="O253" s="58" t="s">
        <v>107</v>
      </c>
      <c r="P253" s="58" t="s">
        <v>99</v>
      </c>
      <c r="Q253" s="58" t="s">
        <v>91</v>
      </c>
      <c r="R253" s="58">
        <v>3630</v>
      </c>
      <c r="S253" s="33"/>
    </row>
    <row r="254" spans="13:19" ht="40.200000000000003" thickBot="1" x14ac:dyDescent="0.35">
      <c r="M254" s="57">
        <v>1989</v>
      </c>
      <c r="N254" s="57" t="s">
        <v>88</v>
      </c>
      <c r="O254" s="57" t="s">
        <v>92</v>
      </c>
      <c r="P254" s="57" t="s">
        <v>105</v>
      </c>
      <c r="Q254" s="57" t="s">
        <v>91</v>
      </c>
      <c r="R254" s="57">
        <v>30789</v>
      </c>
      <c r="S254" s="33"/>
    </row>
    <row r="255" spans="13:19" ht="40.200000000000003" thickBot="1" x14ac:dyDescent="0.35">
      <c r="M255" s="58">
        <v>1989</v>
      </c>
      <c r="N255" s="58" t="s">
        <v>88</v>
      </c>
      <c r="O255" s="58" t="s">
        <v>92</v>
      </c>
      <c r="P255" s="58" t="s">
        <v>98</v>
      </c>
      <c r="Q255" s="58" t="s">
        <v>91</v>
      </c>
      <c r="R255" s="58">
        <v>110051</v>
      </c>
      <c r="S255" s="33"/>
    </row>
    <row r="256" spans="13:19" ht="40.200000000000003" thickBot="1" x14ac:dyDescent="0.35">
      <c r="M256" s="57">
        <v>1989</v>
      </c>
      <c r="N256" s="57" t="s">
        <v>88</v>
      </c>
      <c r="O256" s="57" t="s">
        <v>94</v>
      </c>
      <c r="P256" s="57" t="s">
        <v>94</v>
      </c>
      <c r="Q256" s="57" t="s">
        <v>91</v>
      </c>
      <c r="R256" s="57">
        <v>160102</v>
      </c>
      <c r="S256" s="33"/>
    </row>
    <row r="257" spans="13:19" ht="40.200000000000003" thickBot="1" x14ac:dyDescent="0.35">
      <c r="M257" s="58">
        <v>1989</v>
      </c>
      <c r="N257" s="58" t="s">
        <v>88</v>
      </c>
      <c r="O257" s="58" t="s">
        <v>94</v>
      </c>
      <c r="P257" s="58" t="s">
        <v>98</v>
      </c>
      <c r="Q257" s="58" t="s">
        <v>91</v>
      </c>
      <c r="R257" s="58">
        <v>35188</v>
      </c>
      <c r="S257" s="33"/>
    </row>
    <row r="258" spans="13:19" ht="27" thickBot="1" x14ac:dyDescent="0.35">
      <c r="M258" s="57">
        <v>1989</v>
      </c>
      <c r="N258" s="57" t="s">
        <v>88</v>
      </c>
      <c r="O258" s="57" t="s">
        <v>107</v>
      </c>
      <c r="P258" s="57" t="s">
        <v>98</v>
      </c>
      <c r="Q258" s="57" t="s">
        <v>91</v>
      </c>
      <c r="R258" s="57">
        <v>40091</v>
      </c>
      <c r="S258" s="33"/>
    </row>
    <row r="259" spans="13:19" ht="40.200000000000003" thickBot="1" x14ac:dyDescent="0.35">
      <c r="M259" s="58">
        <v>1989</v>
      </c>
      <c r="N259" s="58" t="s">
        <v>88</v>
      </c>
      <c r="O259" s="58" t="s">
        <v>107</v>
      </c>
      <c r="P259" s="58" t="s">
        <v>99</v>
      </c>
      <c r="Q259" s="58" t="s">
        <v>91</v>
      </c>
      <c r="R259" s="58">
        <v>60034</v>
      </c>
      <c r="S259" s="33"/>
    </row>
    <row r="260" spans="13:19" ht="27" thickBot="1" x14ac:dyDescent="0.35">
      <c r="M260" s="57">
        <v>1989</v>
      </c>
      <c r="N260" s="57" t="s">
        <v>88</v>
      </c>
      <c r="O260" s="57" t="s">
        <v>107</v>
      </c>
      <c r="P260" s="57" t="s">
        <v>90</v>
      </c>
      <c r="Q260" s="57" t="s">
        <v>91</v>
      </c>
      <c r="R260" s="57">
        <v>12510</v>
      </c>
      <c r="S260" s="33"/>
    </row>
    <row r="261" spans="13:19" ht="27" thickBot="1" x14ac:dyDescent="0.35">
      <c r="M261" s="58">
        <v>1989</v>
      </c>
      <c r="N261" s="58" t="s">
        <v>88</v>
      </c>
      <c r="O261" s="58" t="s">
        <v>89</v>
      </c>
      <c r="P261" s="58" t="s">
        <v>90</v>
      </c>
      <c r="Q261" s="58" t="s">
        <v>91</v>
      </c>
      <c r="R261" s="58">
        <v>106377</v>
      </c>
      <c r="S261" s="33"/>
    </row>
    <row r="262" spans="13:19" ht="27" thickBot="1" x14ac:dyDescent="0.35">
      <c r="M262" s="57">
        <v>1988</v>
      </c>
      <c r="N262" s="57" t="s">
        <v>88</v>
      </c>
      <c r="O262" s="57" t="s">
        <v>89</v>
      </c>
      <c r="P262" s="57" t="s">
        <v>107</v>
      </c>
      <c r="Q262" s="57" t="s">
        <v>91</v>
      </c>
      <c r="R262" s="57">
        <v>100000</v>
      </c>
      <c r="S262" s="33"/>
    </row>
    <row r="263" spans="13:19" ht="27" thickBot="1" x14ac:dyDescent="0.35">
      <c r="M263" s="58">
        <v>1988</v>
      </c>
      <c r="N263" s="58" t="s">
        <v>88</v>
      </c>
      <c r="O263" s="58" t="s">
        <v>107</v>
      </c>
      <c r="P263" s="58" t="s">
        <v>93</v>
      </c>
      <c r="Q263" s="58" t="s">
        <v>91</v>
      </c>
      <c r="R263" s="58">
        <v>59500</v>
      </c>
      <c r="S263" s="33"/>
    </row>
    <row r="264" spans="13:19" ht="27" thickBot="1" x14ac:dyDescent="0.35">
      <c r="M264" s="57">
        <v>1988</v>
      </c>
      <c r="N264" s="57" t="s">
        <v>88</v>
      </c>
      <c r="O264" s="57" t="s">
        <v>107</v>
      </c>
      <c r="P264" s="57" t="s">
        <v>109</v>
      </c>
      <c r="Q264" s="57" t="s">
        <v>91</v>
      </c>
      <c r="R264" s="57">
        <v>41500</v>
      </c>
      <c r="S264" s="33"/>
    </row>
    <row r="265" spans="13:19" ht="40.200000000000003" thickBot="1" x14ac:dyDescent="0.35">
      <c r="M265" s="58">
        <v>1988</v>
      </c>
      <c r="N265" s="58" t="s">
        <v>88</v>
      </c>
      <c r="O265" s="58" t="s">
        <v>92</v>
      </c>
      <c r="P265" s="58" t="s">
        <v>109</v>
      </c>
      <c r="Q265" s="58" t="s">
        <v>91</v>
      </c>
      <c r="R265" s="58">
        <v>114000</v>
      </c>
      <c r="S265" s="33"/>
    </row>
    <row r="266" spans="13:19" ht="40.200000000000003" thickBot="1" x14ac:dyDescent="0.35">
      <c r="M266" s="57">
        <v>1988</v>
      </c>
      <c r="N266" s="57" t="s">
        <v>88</v>
      </c>
      <c r="O266" s="57" t="s">
        <v>94</v>
      </c>
      <c r="P266" s="57" t="s">
        <v>109</v>
      </c>
      <c r="Q266" s="57" t="s">
        <v>91</v>
      </c>
      <c r="R266" s="57">
        <v>202000</v>
      </c>
      <c r="S266" s="33"/>
    </row>
    <row r="267" spans="13:19" ht="27" thickBot="1" x14ac:dyDescent="0.35">
      <c r="M267" s="58">
        <v>1988</v>
      </c>
      <c r="N267" s="58" t="s">
        <v>88</v>
      </c>
      <c r="O267" s="58" t="s">
        <v>89</v>
      </c>
      <c r="P267" s="58" t="s">
        <v>93</v>
      </c>
      <c r="Q267" s="58" t="s">
        <v>91</v>
      </c>
      <c r="R267" s="58">
        <v>7500</v>
      </c>
      <c r="S267" s="33"/>
    </row>
    <row r="268" spans="13:19" ht="40.200000000000003" thickBot="1" x14ac:dyDescent="0.35">
      <c r="M268" s="57">
        <v>1988</v>
      </c>
      <c r="N268" s="57" t="s">
        <v>88</v>
      </c>
      <c r="O268" s="57" t="s">
        <v>92</v>
      </c>
      <c r="P268" s="57" t="s">
        <v>105</v>
      </c>
      <c r="Q268" s="57" t="s">
        <v>91</v>
      </c>
      <c r="R268" s="57">
        <v>35500</v>
      </c>
      <c r="S268" s="33"/>
    </row>
    <row r="269" spans="13:19" ht="27" thickBot="1" x14ac:dyDescent="0.35">
      <c r="M269" s="58">
        <v>1987</v>
      </c>
      <c r="N269" s="58" t="s">
        <v>88</v>
      </c>
      <c r="O269" s="58" t="s">
        <v>89</v>
      </c>
      <c r="P269" s="58" t="s">
        <v>107</v>
      </c>
      <c r="Q269" s="58" t="s">
        <v>91</v>
      </c>
      <c r="R269" s="58">
        <v>116500</v>
      </c>
      <c r="S269" s="33"/>
    </row>
    <row r="270" spans="13:19" ht="40.200000000000003" thickBot="1" x14ac:dyDescent="0.35">
      <c r="M270" s="57">
        <v>1987</v>
      </c>
      <c r="N270" s="57" t="s">
        <v>88</v>
      </c>
      <c r="O270" s="57" t="s">
        <v>94</v>
      </c>
      <c r="P270" s="57" t="s">
        <v>94</v>
      </c>
      <c r="Q270" s="57" t="s">
        <v>91</v>
      </c>
      <c r="R270" s="57">
        <v>177000</v>
      </c>
      <c r="S270" s="33"/>
    </row>
    <row r="271" spans="13:19" ht="27" thickBot="1" x14ac:dyDescent="0.35">
      <c r="M271" s="58">
        <v>1987</v>
      </c>
      <c r="N271" s="58" t="s">
        <v>88</v>
      </c>
      <c r="O271" s="58" t="s">
        <v>96</v>
      </c>
      <c r="P271" s="58" t="s">
        <v>109</v>
      </c>
      <c r="Q271" s="58" t="s">
        <v>91</v>
      </c>
      <c r="R271" s="58">
        <v>83000</v>
      </c>
      <c r="S271" s="33"/>
    </row>
    <row r="272" spans="13:19" ht="27" thickBot="1" x14ac:dyDescent="0.35">
      <c r="M272" s="57">
        <v>1987</v>
      </c>
      <c r="N272" s="57" t="s">
        <v>88</v>
      </c>
      <c r="O272" s="57" t="s">
        <v>107</v>
      </c>
      <c r="P272" s="57" t="s">
        <v>107</v>
      </c>
      <c r="Q272" s="57" t="s">
        <v>91</v>
      </c>
      <c r="R272" s="57">
        <v>40500</v>
      </c>
      <c r="S272" s="33"/>
    </row>
    <row r="273" spans="13:19" ht="27" thickBot="1" x14ac:dyDescent="0.35">
      <c r="M273" s="58">
        <v>1987</v>
      </c>
      <c r="N273" s="58" t="s">
        <v>88</v>
      </c>
      <c r="O273" s="58" t="s">
        <v>107</v>
      </c>
      <c r="P273" s="58" t="s">
        <v>109</v>
      </c>
      <c r="Q273" s="58" t="s">
        <v>91</v>
      </c>
      <c r="R273" s="58">
        <v>38500</v>
      </c>
      <c r="S273" s="33"/>
    </row>
    <row r="274" spans="13:19" ht="27" thickBot="1" x14ac:dyDescent="0.35">
      <c r="M274" s="57">
        <v>1987</v>
      </c>
      <c r="N274" s="57" t="s">
        <v>88</v>
      </c>
      <c r="O274" s="57" t="s">
        <v>107</v>
      </c>
      <c r="P274" s="57" t="s">
        <v>93</v>
      </c>
      <c r="Q274" s="57" t="s">
        <v>91</v>
      </c>
      <c r="R274" s="57">
        <v>40000</v>
      </c>
      <c r="S274" s="33"/>
    </row>
    <row r="275" spans="13:19" ht="40.200000000000003" thickBot="1" x14ac:dyDescent="0.35">
      <c r="M275" s="58">
        <v>1987</v>
      </c>
      <c r="N275" s="58" t="s">
        <v>88</v>
      </c>
      <c r="O275" s="58" t="s">
        <v>92</v>
      </c>
      <c r="P275" s="58" t="s">
        <v>109</v>
      </c>
      <c r="Q275" s="58" t="s">
        <v>91</v>
      </c>
      <c r="R275" s="58">
        <v>71500</v>
      </c>
      <c r="S275" s="33"/>
    </row>
  </sheetData>
  <pageMargins left="0.7" right="0.7" top="0.75" bottom="0.75" header="0.3" footer="0.3"/>
  <pageSetup orientation="portrait" horizontalDpi="4294967293" verticalDpi="4294967293"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G3:DQ109"/>
  <sheetViews>
    <sheetView zoomScale="77" zoomScaleNormal="77" workbookViewId="0"/>
  </sheetViews>
  <sheetFormatPr defaultRowHeight="14.4" x14ac:dyDescent="0.3"/>
  <cols>
    <col min="36" max="36" width="10.5546875" customWidth="1"/>
    <col min="37" max="37" width="9.33203125" customWidth="1"/>
    <col min="38" max="38" width="6.109375" customWidth="1"/>
    <col min="40" max="40" width="10.6640625" customWidth="1"/>
    <col min="41" max="41" width="9.88671875" customWidth="1"/>
    <col min="42" max="42" width="7" customWidth="1"/>
    <col min="119" max="119" width="11.6640625" customWidth="1"/>
    <col min="121" max="121" width="11.5546875" customWidth="1"/>
  </cols>
  <sheetData>
    <row r="3" spans="98:121" x14ac:dyDescent="0.3">
      <c r="CT3" t="s">
        <v>294</v>
      </c>
    </row>
    <row r="5" spans="98:121" ht="16.8" x14ac:dyDescent="0.3">
      <c r="CT5" s="86" t="s">
        <v>283</v>
      </c>
      <c r="CU5" s="86"/>
      <c r="CV5" s="105"/>
      <c r="CW5" s="87"/>
      <c r="CX5" s="88"/>
      <c r="CY5" s="89"/>
      <c r="CZ5" s="89"/>
      <c r="DA5" s="87"/>
      <c r="DB5" s="87"/>
      <c r="DC5" s="87"/>
      <c r="DD5" s="88"/>
      <c r="DE5" s="89"/>
      <c r="DF5" s="89"/>
      <c r="DG5" s="87"/>
      <c r="DH5" s="87"/>
      <c r="DI5" s="87"/>
      <c r="DJ5" s="87"/>
      <c r="DK5" s="89"/>
      <c r="DL5" s="106"/>
      <c r="DM5" s="33"/>
    </row>
    <row r="6" spans="98:121" ht="16.8" x14ac:dyDescent="0.3">
      <c r="CT6" s="86" t="s">
        <v>284</v>
      </c>
      <c r="CU6" s="86"/>
      <c r="CV6" s="87"/>
      <c r="CW6" s="87"/>
      <c r="CX6" s="88"/>
      <c r="CY6" s="89"/>
      <c r="CZ6" s="89"/>
      <c r="DA6" s="87"/>
      <c r="DB6" s="87"/>
      <c r="DC6" s="87"/>
      <c r="DD6" s="88"/>
      <c r="DE6" s="89"/>
      <c r="DF6" s="89"/>
      <c r="DG6" s="87"/>
      <c r="DH6" s="87"/>
      <c r="DI6" s="87"/>
      <c r="DJ6" s="87"/>
      <c r="DK6" s="89"/>
      <c r="DL6" s="89"/>
      <c r="DM6" s="33"/>
    </row>
    <row r="7" spans="98:121" x14ac:dyDescent="0.3">
      <c r="CT7" s="87"/>
      <c r="CU7" s="87"/>
      <c r="CV7" s="90" t="s">
        <v>285</v>
      </c>
      <c r="CW7" s="90"/>
      <c r="CX7" s="91"/>
      <c r="CY7" s="92"/>
      <c r="CZ7" s="93"/>
      <c r="DA7" s="94"/>
      <c r="DB7" s="90" t="s">
        <v>286</v>
      </c>
      <c r="DC7" s="90"/>
      <c r="DD7" s="91"/>
      <c r="DE7" s="92"/>
      <c r="DF7" s="93"/>
      <c r="DG7" s="94"/>
      <c r="DH7" s="90" t="s">
        <v>1</v>
      </c>
      <c r="DI7" s="90"/>
      <c r="DJ7" s="90"/>
      <c r="DK7" s="92"/>
      <c r="DL7" s="93"/>
      <c r="DM7" s="88"/>
    </row>
    <row r="8" spans="98:121" x14ac:dyDescent="0.3">
      <c r="CT8" s="87"/>
      <c r="CU8" s="87"/>
      <c r="CV8" s="95"/>
      <c r="CW8" s="95"/>
      <c r="CX8" s="96" t="s">
        <v>287</v>
      </c>
      <c r="CY8" s="97"/>
      <c r="CZ8" s="97" t="s">
        <v>1</v>
      </c>
      <c r="DA8" s="95"/>
      <c r="DB8" s="95"/>
      <c r="DC8" s="95"/>
      <c r="DD8" s="96" t="s">
        <v>287</v>
      </c>
      <c r="DE8" s="97"/>
      <c r="DF8" s="97" t="s">
        <v>1</v>
      </c>
      <c r="DG8" s="95"/>
      <c r="DH8" s="95"/>
      <c r="DI8" s="95"/>
      <c r="DJ8" s="95" t="s">
        <v>287</v>
      </c>
      <c r="DK8" s="97"/>
      <c r="DL8" s="97" t="s">
        <v>1</v>
      </c>
      <c r="DM8" s="88"/>
      <c r="DO8" s="32" t="s">
        <v>298</v>
      </c>
      <c r="DP8" s="32" t="s">
        <v>279</v>
      </c>
      <c r="DQ8" s="32" t="s">
        <v>300</v>
      </c>
    </row>
    <row r="9" spans="98:121" x14ac:dyDescent="0.3">
      <c r="CT9" s="98" t="s">
        <v>188</v>
      </c>
      <c r="CU9" s="95"/>
      <c r="CV9" s="98" t="s">
        <v>288</v>
      </c>
      <c r="CW9" s="98" t="s">
        <v>289</v>
      </c>
      <c r="CX9" s="99" t="s">
        <v>290</v>
      </c>
      <c r="CY9" s="100" t="s">
        <v>291</v>
      </c>
      <c r="CZ9" s="100" t="s">
        <v>292</v>
      </c>
      <c r="DA9" s="95"/>
      <c r="DB9" s="98" t="s">
        <v>288</v>
      </c>
      <c r="DC9" s="98" t="s">
        <v>289</v>
      </c>
      <c r="DD9" s="99" t="s">
        <v>290</v>
      </c>
      <c r="DE9" s="100" t="s">
        <v>291</v>
      </c>
      <c r="DF9" s="100" t="s">
        <v>292</v>
      </c>
      <c r="DG9" s="95"/>
      <c r="DH9" s="98" t="s">
        <v>288</v>
      </c>
      <c r="DI9" s="98" t="s">
        <v>289</v>
      </c>
      <c r="DJ9" s="98" t="s">
        <v>290</v>
      </c>
      <c r="DK9" s="100" t="s">
        <v>291</v>
      </c>
      <c r="DL9" s="100" t="s">
        <v>292</v>
      </c>
      <c r="DM9" s="88" t="s">
        <v>293</v>
      </c>
      <c r="DO9" s="82" t="s">
        <v>299</v>
      </c>
      <c r="DP9" s="82" t="s">
        <v>277</v>
      </c>
      <c r="DQ9" s="82" t="s">
        <v>282</v>
      </c>
    </row>
    <row r="10" spans="98:121" x14ac:dyDescent="0.3">
      <c r="CT10" s="95"/>
      <c r="CU10" s="95"/>
      <c r="CV10" s="95"/>
      <c r="CW10" s="95"/>
      <c r="CX10" s="96"/>
      <c r="CY10" s="97"/>
      <c r="CZ10" s="97"/>
      <c r="DA10" s="95"/>
      <c r="DB10" s="95"/>
      <c r="DC10" s="95"/>
      <c r="DD10" s="96"/>
      <c r="DE10" s="97"/>
      <c r="DF10" s="97"/>
      <c r="DG10" s="95"/>
      <c r="DH10" s="96"/>
      <c r="DI10" s="95"/>
      <c r="DJ10" s="96"/>
      <c r="DK10" s="97"/>
      <c r="DL10" s="97"/>
      <c r="DM10" s="88"/>
    </row>
    <row r="11" spans="98:121" x14ac:dyDescent="0.3">
      <c r="CT11" s="95">
        <v>2007</v>
      </c>
      <c r="CU11" s="95"/>
      <c r="CV11" s="95">
        <v>477</v>
      </c>
      <c r="CW11" s="95">
        <v>175</v>
      </c>
      <c r="CX11" s="96">
        <v>67710</v>
      </c>
      <c r="CY11" s="97">
        <v>7.0447496677004872E-3</v>
      </c>
      <c r="CZ11" s="97">
        <v>9.6293014325801209E-3</v>
      </c>
      <c r="DA11" s="95"/>
      <c r="DB11" s="95">
        <v>54</v>
      </c>
      <c r="DC11" s="95">
        <v>14</v>
      </c>
      <c r="DD11" s="96">
        <v>7089</v>
      </c>
      <c r="DE11" s="97">
        <v>7.6174354633939904E-3</v>
      </c>
      <c r="DF11" s="97">
        <v>9.5923261390887284E-3</v>
      </c>
      <c r="DG11" s="95"/>
      <c r="DH11" s="96">
        <v>531</v>
      </c>
      <c r="DI11" s="95">
        <v>189</v>
      </c>
      <c r="DJ11" s="96">
        <v>74799</v>
      </c>
      <c r="DK11" s="97">
        <v>7.0990253880399467E-3</v>
      </c>
      <c r="DL11" s="97">
        <v>9.6257971363253522E-3</v>
      </c>
      <c r="DM11" s="88">
        <v>747.99</v>
      </c>
      <c r="DO11" s="107">
        <f>DI11*0.1</f>
        <v>18.900000000000002</v>
      </c>
      <c r="DP11" s="69">
        <f>Run!BX48</f>
        <v>5633.2290098648155</v>
      </c>
      <c r="DQ11" s="80">
        <f>DO11/DP11</f>
        <v>3.3550917186044881E-3</v>
      </c>
    </row>
    <row r="12" spans="98:121" x14ac:dyDescent="0.3">
      <c r="CT12" s="95">
        <v>2008</v>
      </c>
      <c r="CU12" s="95"/>
      <c r="CV12" s="95">
        <v>1137</v>
      </c>
      <c r="CW12" s="95">
        <v>126</v>
      </c>
      <c r="CX12" s="96">
        <v>41177</v>
      </c>
      <c r="CY12" s="97">
        <v>2.7612502124972679E-2</v>
      </c>
      <c r="CZ12" s="97">
        <v>3.0672462782621365E-2</v>
      </c>
      <c r="DA12" s="95"/>
      <c r="DB12" s="95">
        <v>134</v>
      </c>
      <c r="DC12" s="95">
        <v>13</v>
      </c>
      <c r="DD12" s="96">
        <v>6141</v>
      </c>
      <c r="DE12" s="97">
        <v>2.1820550398957826E-2</v>
      </c>
      <c r="DF12" s="97">
        <v>2.3937469467513434E-2</v>
      </c>
      <c r="DG12" s="95"/>
      <c r="DH12" s="96">
        <v>1271</v>
      </c>
      <c r="DI12" s="95">
        <v>139</v>
      </c>
      <c r="DJ12" s="96">
        <v>47318</v>
      </c>
      <c r="DK12" s="97">
        <v>2.6860814066528595E-2</v>
      </c>
      <c r="DL12" s="97">
        <v>2.9798385392451075E-2</v>
      </c>
      <c r="DM12" s="88">
        <v>473.18</v>
      </c>
      <c r="DO12" s="107">
        <f t="shared" ref="DO12:DO20" si="0">DI12*0.1</f>
        <v>13.9</v>
      </c>
      <c r="DP12" s="69">
        <f>Run!BX49</f>
        <v>5079.0682604272633</v>
      </c>
      <c r="DQ12" s="80">
        <f t="shared" ref="DQ12:DQ20" si="1">DO12/DP12</f>
        <v>2.7367224237365732E-3</v>
      </c>
    </row>
    <row r="13" spans="98:121" x14ac:dyDescent="0.3">
      <c r="CT13" s="95">
        <v>2009</v>
      </c>
      <c r="CU13" s="95"/>
      <c r="CV13" s="95">
        <v>424</v>
      </c>
      <c r="CW13" s="95">
        <v>32</v>
      </c>
      <c r="CX13" s="96">
        <v>29641</v>
      </c>
      <c r="CY13" s="97">
        <v>1.430451064404035E-2</v>
      </c>
      <c r="CZ13" s="97">
        <v>1.5384096353024526E-2</v>
      </c>
      <c r="DA13" s="95"/>
      <c r="DB13" s="95">
        <v>72</v>
      </c>
      <c r="DC13" s="95">
        <v>8</v>
      </c>
      <c r="DD13" s="96">
        <v>2828</v>
      </c>
      <c r="DE13" s="97">
        <v>2.5459688826025461E-2</v>
      </c>
      <c r="DF13" s="97">
        <v>2.8288543140028287E-2</v>
      </c>
      <c r="DG13" s="95"/>
      <c r="DH13" s="96">
        <v>496</v>
      </c>
      <c r="DI13" s="95">
        <v>40</v>
      </c>
      <c r="DJ13" s="96">
        <v>32469</v>
      </c>
      <c r="DK13" s="97">
        <v>1.5276109519849703E-2</v>
      </c>
      <c r="DL13" s="97">
        <v>1.6508053835966614E-2</v>
      </c>
      <c r="DM13" s="88">
        <v>324.69</v>
      </c>
      <c r="DO13" s="107">
        <f t="shared" si="0"/>
        <v>4</v>
      </c>
      <c r="DP13" s="69">
        <f>Run!BX50</f>
        <v>3109.4518307856379</v>
      </c>
      <c r="DQ13" s="80">
        <f t="shared" si="1"/>
        <v>1.2864003746246666E-3</v>
      </c>
    </row>
    <row r="14" spans="98:121" x14ac:dyDescent="0.3">
      <c r="CT14" s="95">
        <v>2010</v>
      </c>
      <c r="CU14" s="95"/>
      <c r="CV14" s="95">
        <v>1055</v>
      </c>
      <c r="CW14" s="95">
        <v>248</v>
      </c>
      <c r="CX14" s="96">
        <v>97188</v>
      </c>
      <c r="CY14" s="97">
        <v>1.0855249619294563E-2</v>
      </c>
      <c r="CZ14" s="97">
        <v>1.3407004980038687E-2</v>
      </c>
      <c r="DA14" s="95"/>
      <c r="DB14" s="95">
        <v>154</v>
      </c>
      <c r="DC14" s="95">
        <v>50</v>
      </c>
      <c r="DD14" s="96">
        <v>10836</v>
      </c>
      <c r="DE14" s="97">
        <v>1.4211886304909561E-2</v>
      </c>
      <c r="DF14" s="97">
        <v>1.8826135105204873E-2</v>
      </c>
      <c r="DG14" s="95"/>
      <c r="DH14" s="96">
        <v>1209</v>
      </c>
      <c r="DI14" s="95">
        <v>298</v>
      </c>
      <c r="DJ14" s="96">
        <v>108024</v>
      </c>
      <c r="DK14" s="97">
        <v>1.1191957342812708E-2</v>
      </c>
      <c r="DL14" s="97">
        <v>1.3950603569577131E-2</v>
      </c>
      <c r="DM14" s="88">
        <v>1080.24</v>
      </c>
      <c r="DO14" s="107">
        <f t="shared" si="0"/>
        <v>29.8</v>
      </c>
      <c r="DP14" s="69">
        <f>Run!BX51</f>
        <v>7783.3423197492166</v>
      </c>
      <c r="DQ14" s="80">
        <f t="shared" si="1"/>
        <v>3.8286893696537522E-3</v>
      </c>
    </row>
    <row r="15" spans="98:121" x14ac:dyDescent="0.3">
      <c r="CT15" s="95">
        <v>2011</v>
      </c>
      <c r="CU15" s="95"/>
      <c r="CV15" s="95">
        <v>752</v>
      </c>
      <c r="CW15" s="95">
        <v>107</v>
      </c>
      <c r="CX15" s="96">
        <v>115051</v>
      </c>
      <c r="CY15" s="97">
        <v>6.5362317580898903E-3</v>
      </c>
      <c r="CZ15" s="97">
        <v>7.4662540960095955E-3</v>
      </c>
      <c r="DA15" s="95"/>
      <c r="DB15" s="95">
        <v>103</v>
      </c>
      <c r="DC15" s="95">
        <v>38</v>
      </c>
      <c r="DD15" s="96">
        <v>8468</v>
      </c>
      <c r="DE15" s="97">
        <v>1.216343882853094E-2</v>
      </c>
      <c r="DF15" s="97">
        <v>1.6650921114785073E-2</v>
      </c>
      <c r="DG15" s="95"/>
      <c r="DH15" s="96">
        <v>855</v>
      </c>
      <c r="DI15" s="95">
        <v>145</v>
      </c>
      <c r="DJ15" s="96">
        <v>123519</v>
      </c>
      <c r="DK15" s="97">
        <v>6.9220119981541301E-3</v>
      </c>
      <c r="DL15" s="97">
        <v>8.0959204656773451E-3</v>
      </c>
      <c r="DM15" s="88">
        <v>1235.19</v>
      </c>
      <c r="DO15" s="107">
        <f t="shared" si="0"/>
        <v>14.5</v>
      </c>
      <c r="DP15" s="69">
        <f>Run!BX52</f>
        <v>7909.2864534336786</v>
      </c>
      <c r="DQ15" s="80">
        <f t="shared" si="1"/>
        <v>1.833288007125482E-3</v>
      </c>
    </row>
    <row r="16" spans="98:121" x14ac:dyDescent="0.3">
      <c r="CT16" s="95">
        <v>2012</v>
      </c>
      <c r="CU16" s="95"/>
      <c r="CV16" s="95">
        <v>967</v>
      </c>
      <c r="CW16" s="95">
        <v>166</v>
      </c>
      <c r="CX16" s="96">
        <v>102059</v>
      </c>
      <c r="CY16" s="97">
        <v>9.4749115707580909E-3</v>
      </c>
      <c r="CZ16" s="97">
        <v>1.1101421726648311E-2</v>
      </c>
      <c r="DA16" s="95"/>
      <c r="DB16" s="95">
        <v>147</v>
      </c>
      <c r="DC16" s="95">
        <v>29</v>
      </c>
      <c r="DD16" s="96">
        <v>6196</v>
      </c>
      <c r="DE16" s="97">
        <v>2.3724983860555198E-2</v>
      </c>
      <c r="DF16" s="97">
        <v>2.8405422853453842E-2</v>
      </c>
      <c r="DG16" s="95"/>
      <c r="DH16" s="96">
        <v>1114</v>
      </c>
      <c r="DI16" s="95">
        <v>195</v>
      </c>
      <c r="DJ16" s="96">
        <v>108255</v>
      </c>
      <c r="DK16" s="97">
        <v>1.0290517758994965E-2</v>
      </c>
      <c r="DL16" s="97">
        <v>1.209182023924992E-2</v>
      </c>
      <c r="DM16" s="88">
        <v>1082.55</v>
      </c>
      <c r="DO16" s="107">
        <f t="shared" si="0"/>
        <v>19.5</v>
      </c>
      <c r="DP16" s="69">
        <f>Run!BX53</f>
        <v>8002.5821953781515</v>
      </c>
      <c r="DQ16" s="80">
        <f t="shared" si="1"/>
        <v>2.4367134912106395E-3</v>
      </c>
    </row>
    <row r="17" spans="98:121" x14ac:dyDescent="0.3">
      <c r="CT17" s="95">
        <v>2013</v>
      </c>
      <c r="CU17" s="95"/>
      <c r="CV17" s="95">
        <v>473</v>
      </c>
      <c r="CW17" s="95">
        <v>157</v>
      </c>
      <c r="CX17" s="96">
        <v>93353</v>
      </c>
      <c r="CY17" s="97">
        <v>5.0667894979272224E-3</v>
      </c>
      <c r="CZ17" s="97">
        <v>6.7485779782117342E-3</v>
      </c>
      <c r="DA17" s="95"/>
      <c r="DB17" s="95">
        <v>14</v>
      </c>
      <c r="DC17" s="95">
        <v>1</v>
      </c>
      <c r="DD17" s="96">
        <v>5607</v>
      </c>
      <c r="DE17" s="97">
        <v>2.4968789013732834E-3</v>
      </c>
      <c r="DF17" s="97">
        <v>2.6752273943285178E-3</v>
      </c>
      <c r="DG17" s="95"/>
      <c r="DH17" s="96">
        <v>487</v>
      </c>
      <c r="DI17" s="95">
        <v>158</v>
      </c>
      <c r="DJ17" s="96">
        <v>98960</v>
      </c>
      <c r="DK17" s="97">
        <v>4.921180274858529E-3</v>
      </c>
      <c r="DL17" s="97">
        <v>6.5177849636216655E-3</v>
      </c>
      <c r="DM17" s="88">
        <v>989.6</v>
      </c>
      <c r="DO17" s="107">
        <f t="shared" si="0"/>
        <v>15.8</v>
      </c>
      <c r="DP17" s="69">
        <f>Run!BX54</f>
        <v>5505.7445792880262</v>
      </c>
      <c r="DQ17" s="80">
        <f t="shared" si="1"/>
        <v>2.8697299288887776E-3</v>
      </c>
    </row>
    <row r="18" spans="98:121" x14ac:dyDescent="0.3">
      <c r="CT18" s="95">
        <v>2014</v>
      </c>
      <c r="CU18" s="95"/>
      <c r="CV18" s="95">
        <v>319</v>
      </c>
      <c r="CW18" s="95">
        <v>293</v>
      </c>
      <c r="CX18" s="96">
        <v>71055</v>
      </c>
      <c r="CY18" s="97">
        <v>4.4894799802969532E-3</v>
      </c>
      <c r="CZ18" s="97">
        <v>8.6130462317922738E-3</v>
      </c>
      <c r="DA18" s="95"/>
      <c r="DB18" s="95">
        <v>95</v>
      </c>
      <c r="DC18" s="95">
        <v>42</v>
      </c>
      <c r="DD18" s="96">
        <v>6020</v>
      </c>
      <c r="DE18" s="97">
        <v>1.5780730897009966E-2</v>
      </c>
      <c r="DF18" s="97">
        <v>2.2757475083056478E-2</v>
      </c>
      <c r="DG18" s="95"/>
      <c r="DH18" s="96">
        <v>414</v>
      </c>
      <c r="DI18" s="95">
        <v>335</v>
      </c>
      <c r="DJ18" s="96">
        <v>77075</v>
      </c>
      <c r="DK18" s="97">
        <v>5.3713915017839769E-3</v>
      </c>
      <c r="DL18" s="97">
        <v>9.7178073305222192E-3</v>
      </c>
      <c r="DM18" s="88">
        <v>770.75</v>
      </c>
      <c r="DO18" s="107">
        <f t="shared" si="0"/>
        <v>33.5</v>
      </c>
      <c r="DP18" s="69">
        <f>Run!BX55</f>
        <v>6145.3126752664048</v>
      </c>
      <c r="DQ18" s="80">
        <f t="shared" si="1"/>
        <v>5.4513092775296005E-3</v>
      </c>
    </row>
    <row r="19" spans="98:121" x14ac:dyDescent="0.3">
      <c r="CT19" s="95">
        <v>2015</v>
      </c>
      <c r="CU19" s="95"/>
      <c r="CV19" s="95">
        <v>100</v>
      </c>
      <c r="CW19" s="95">
        <v>61</v>
      </c>
      <c r="CX19" s="96">
        <v>88973</v>
      </c>
      <c r="CY19" s="97">
        <v>1.1239364751104268E-3</v>
      </c>
      <c r="CZ19" s="97">
        <v>1.809537724927787E-3</v>
      </c>
      <c r="DA19" s="95"/>
      <c r="DB19" s="95">
        <v>38</v>
      </c>
      <c r="DC19" s="95">
        <v>20</v>
      </c>
      <c r="DD19" s="96">
        <v>5382</v>
      </c>
      <c r="DE19" s="97">
        <v>7.060572277963582E-3</v>
      </c>
      <c r="DF19" s="97">
        <v>1.0776662950575994E-2</v>
      </c>
      <c r="DG19" s="95"/>
      <c r="DH19" s="96">
        <v>138</v>
      </c>
      <c r="DI19" s="95">
        <v>81</v>
      </c>
      <c r="DJ19" s="96">
        <v>94355</v>
      </c>
      <c r="DK19" s="97">
        <v>1.4625616024587992E-3</v>
      </c>
      <c r="DL19" s="97">
        <v>2.3210216734672246E-3</v>
      </c>
      <c r="DM19" s="88">
        <v>943.55</v>
      </c>
      <c r="DO19" s="107">
        <f t="shared" si="0"/>
        <v>8.1</v>
      </c>
      <c r="DP19" s="69">
        <f>Run!BX56</f>
        <v>5046.503551609323</v>
      </c>
      <c r="DQ19" s="80">
        <f t="shared" si="1"/>
        <v>1.6050716931363142E-3</v>
      </c>
    </row>
    <row r="20" spans="98:121" x14ac:dyDescent="0.3">
      <c r="CT20" s="95">
        <v>2016</v>
      </c>
      <c r="CU20" s="95"/>
      <c r="CV20" s="95">
        <v>344</v>
      </c>
      <c r="CW20" s="95">
        <v>136</v>
      </c>
      <c r="CX20" s="96">
        <v>64007</v>
      </c>
      <c r="CY20" s="97">
        <v>5.3744121736685052E-3</v>
      </c>
      <c r="CZ20" s="97">
        <v>7.4991797772118677E-3</v>
      </c>
      <c r="DA20" s="95"/>
      <c r="DB20" s="95">
        <v>13</v>
      </c>
      <c r="DC20" s="95">
        <v>20</v>
      </c>
      <c r="DD20" s="96">
        <v>3852</v>
      </c>
      <c r="DE20" s="97">
        <v>3.3748701973001036E-3</v>
      </c>
      <c r="DF20" s="97">
        <v>8.5669781931464167E-3</v>
      </c>
      <c r="DG20" s="95"/>
      <c r="DH20" s="96">
        <v>357</v>
      </c>
      <c r="DI20" s="95">
        <v>156</v>
      </c>
      <c r="DJ20" s="96">
        <v>67859</v>
      </c>
      <c r="DK20" s="97">
        <v>5.2609086488159271E-3</v>
      </c>
      <c r="DL20" s="97">
        <v>7.5597931003993576E-3</v>
      </c>
      <c r="DM20" s="88">
        <v>678.59</v>
      </c>
      <c r="DO20" s="107">
        <f t="shared" si="0"/>
        <v>15.600000000000001</v>
      </c>
      <c r="DP20" s="69">
        <f>Run!BX57</f>
        <v>6977.2780893042582</v>
      </c>
      <c r="DQ20" s="80">
        <f t="shared" si="1"/>
        <v>2.2358289006588184E-3</v>
      </c>
    </row>
    <row r="22" spans="98:121" x14ac:dyDescent="0.3">
      <c r="DO22" s="107">
        <f>AVERAGE(DO11:DO20)</f>
        <v>17.36</v>
      </c>
      <c r="DQ22" s="80">
        <f>AVERAGE(DQ11:DQ20)</f>
        <v>2.7638845185169111E-3</v>
      </c>
    </row>
    <row r="93" spans="35:42" x14ac:dyDescent="0.3">
      <c r="AJ93" s="238" t="s">
        <v>230</v>
      </c>
      <c r="AK93" s="238"/>
      <c r="AL93" s="238"/>
      <c r="AN93" s="238" t="s">
        <v>226</v>
      </c>
      <c r="AO93" s="238"/>
      <c r="AP93" s="238"/>
    </row>
    <row r="94" spans="35:42" x14ac:dyDescent="0.3">
      <c r="AI94" s="81" t="s">
        <v>224</v>
      </c>
      <c r="AJ94" s="79" t="s">
        <v>227</v>
      </c>
      <c r="AK94" s="79" t="s">
        <v>228</v>
      </c>
      <c r="AL94" s="79" t="s">
        <v>1</v>
      </c>
      <c r="AM94" s="82" t="s">
        <v>229</v>
      </c>
      <c r="AN94" s="79" t="s">
        <v>227</v>
      </c>
      <c r="AO94" s="79" t="s">
        <v>228</v>
      </c>
      <c r="AP94" s="79" t="s">
        <v>1</v>
      </c>
    </row>
    <row r="95" spans="35:42" x14ac:dyDescent="0.3">
      <c r="AI95" t="s">
        <v>262</v>
      </c>
      <c r="AJ95">
        <v>75</v>
      </c>
      <c r="AK95">
        <v>36</v>
      </c>
      <c r="AL95">
        <f>SUM(AJ95:AK95)</f>
        <v>111</v>
      </c>
      <c r="AM95">
        <v>15072</v>
      </c>
      <c r="AN95" s="80">
        <f t="shared" ref="AN95" si="2">AJ95/AM95</f>
        <v>4.9761146496815284E-3</v>
      </c>
      <c r="AO95" s="80">
        <f t="shared" ref="AO95" si="3">AK95/AM95</f>
        <v>2.3885350318471337E-3</v>
      </c>
      <c r="AP95" s="80">
        <f t="shared" ref="AP95" si="4">AL95/AM95</f>
        <v>7.3646496815286625E-3</v>
      </c>
    </row>
    <row r="96" spans="35:42" x14ac:dyDescent="0.3">
      <c r="AI96" t="s">
        <v>225</v>
      </c>
      <c r="AJ96">
        <v>9</v>
      </c>
      <c r="AK96">
        <v>20</v>
      </c>
      <c r="AL96">
        <f>SUM(AJ96:AK96)</f>
        <v>29</v>
      </c>
      <c r="AM96" s="33">
        <v>13943</v>
      </c>
      <c r="AN96" s="80">
        <f t="shared" ref="AN96:AN105" si="5">AJ96/AM96</f>
        <v>6.4548518970092522E-4</v>
      </c>
      <c r="AO96" s="80">
        <f t="shared" ref="AO96:AO105" si="6">AK96/AM96</f>
        <v>1.4344115326687227E-3</v>
      </c>
      <c r="AP96" s="80">
        <f>AL96/AM96</f>
        <v>2.079896722369648E-3</v>
      </c>
    </row>
    <row r="97" spans="33:44" x14ac:dyDescent="0.3">
      <c r="AI97" t="s">
        <v>199</v>
      </c>
      <c r="AJ97">
        <v>4</v>
      </c>
      <c r="AK97">
        <v>22</v>
      </c>
      <c r="AL97">
        <f t="shared" ref="AL97:AL105" si="7">SUM(AJ97:AK97)</f>
        <v>26</v>
      </c>
      <c r="AM97" s="33">
        <v>11575</v>
      </c>
      <c r="AN97" s="80">
        <f t="shared" si="5"/>
        <v>3.4557235421166308E-4</v>
      </c>
      <c r="AO97" s="80">
        <f t="shared" si="6"/>
        <v>1.9006479481641469E-3</v>
      </c>
      <c r="AP97" s="80">
        <f t="shared" ref="AP97:AP105" si="8">AL97/AM97</f>
        <v>2.2462203023758099E-3</v>
      </c>
    </row>
    <row r="98" spans="33:44" x14ac:dyDescent="0.3">
      <c r="AI98" t="s">
        <v>198</v>
      </c>
      <c r="AJ98">
        <v>89</v>
      </c>
      <c r="AK98">
        <v>44</v>
      </c>
      <c r="AL98">
        <f t="shared" si="7"/>
        <v>133</v>
      </c>
      <c r="AM98" s="33">
        <v>20035</v>
      </c>
      <c r="AN98" s="80">
        <f t="shared" si="5"/>
        <v>4.4422261043174441E-3</v>
      </c>
      <c r="AO98" s="80">
        <f t="shared" si="6"/>
        <v>2.1961567257299725E-3</v>
      </c>
      <c r="AP98" s="80">
        <f t="shared" si="8"/>
        <v>6.638382830047417E-3</v>
      </c>
    </row>
    <row r="99" spans="33:44" x14ac:dyDescent="0.3">
      <c r="AI99" t="s">
        <v>197</v>
      </c>
      <c r="AJ99">
        <v>23</v>
      </c>
      <c r="AK99">
        <v>81</v>
      </c>
      <c r="AL99">
        <f t="shared" si="7"/>
        <v>104</v>
      </c>
      <c r="AM99" s="33">
        <v>16752</v>
      </c>
      <c r="AN99" s="80">
        <f t="shared" si="5"/>
        <v>1.3729703915950334E-3</v>
      </c>
      <c r="AO99" s="80">
        <f t="shared" si="6"/>
        <v>4.8352435530085959E-3</v>
      </c>
      <c r="AP99" s="80">
        <f t="shared" si="8"/>
        <v>6.2082139446036294E-3</v>
      </c>
    </row>
    <row r="100" spans="33:44" x14ac:dyDescent="0.3">
      <c r="AI100" t="s">
        <v>190</v>
      </c>
      <c r="AJ100">
        <v>70</v>
      </c>
      <c r="AK100">
        <v>59</v>
      </c>
      <c r="AL100">
        <f t="shared" si="7"/>
        <v>129</v>
      </c>
      <c r="AM100" s="33">
        <v>17332</v>
      </c>
      <c r="AN100" s="80">
        <f t="shared" si="5"/>
        <v>4.0387722132471729E-3</v>
      </c>
      <c r="AO100" s="80">
        <f t="shared" si="6"/>
        <v>3.4041080083083313E-3</v>
      </c>
      <c r="AP100" s="80">
        <f t="shared" si="8"/>
        <v>7.4428802215555047E-3</v>
      </c>
    </row>
    <row r="101" spans="33:44" x14ac:dyDescent="0.3">
      <c r="AI101" t="s">
        <v>191</v>
      </c>
      <c r="AJ101">
        <v>27</v>
      </c>
      <c r="AK101">
        <v>22</v>
      </c>
      <c r="AL101">
        <f t="shared" si="7"/>
        <v>49</v>
      </c>
      <c r="AM101" s="33">
        <v>15655</v>
      </c>
      <c r="AN101" s="80">
        <f t="shared" si="5"/>
        <v>1.7246885978920473E-3</v>
      </c>
      <c r="AO101" s="80">
        <f t="shared" si="6"/>
        <v>1.4053018205046311E-3</v>
      </c>
      <c r="AP101" s="80">
        <f t="shared" si="8"/>
        <v>3.1299904183966784E-3</v>
      </c>
    </row>
    <row r="102" spans="33:44" x14ac:dyDescent="0.3">
      <c r="AI102" t="s">
        <v>192</v>
      </c>
      <c r="AJ102">
        <v>58</v>
      </c>
      <c r="AK102">
        <v>39</v>
      </c>
      <c r="AL102">
        <f t="shared" si="7"/>
        <v>97</v>
      </c>
      <c r="AM102" s="33">
        <v>14928</v>
      </c>
      <c r="AN102" s="80">
        <f t="shared" si="5"/>
        <v>3.8853161843515542E-3</v>
      </c>
      <c r="AO102" s="80">
        <f t="shared" si="6"/>
        <v>2.6125401929260449E-3</v>
      </c>
      <c r="AP102" s="80">
        <f t="shared" si="8"/>
        <v>6.4978563772775996E-3</v>
      </c>
    </row>
    <row r="103" spans="33:44" x14ac:dyDescent="0.3">
      <c r="AI103" t="s">
        <v>193</v>
      </c>
      <c r="AJ103">
        <v>52</v>
      </c>
      <c r="AK103">
        <v>77</v>
      </c>
      <c r="AL103">
        <f t="shared" si="7"/>
        <v>129</v>
      </c>
      <c r="AM103" s="33">
        <v>20117</v>
      </c>
      <c r="AN103" s="80">
        <f t="shared" si="5"/>
        <v>2.5848784610031316E-3</v>
      </c>
      <c r="AO103" s="80">
        <f t="shared" si="6"/>
        <v>3.8276084903315602E-3</v>
      </c>
      <c r="AP103" s="80">
        <f t="shared" si="8"/>
        <v>6.4124869513346918E-3</v>
      </c>
    </row>
    <row r="104" spans="33:44" x14ac:dyDescent="0.3">
      <c r="AI104" t="s">
        <v>194</v>
      </c>
      <c r="AJ104">
        <v>48</v>
      </c>
      <c r="AK104">
        <v>56</v>
      </c>
      <c r="AL104">
        <f t="shared" si="7"/>
        <v>104</v>
      </c>
      <c r="AM104" s="33">
        <v>22379</v>
      </c>
      <c r="AN104" s="80">
        <f t="shared" si="5"/>
        <v>2.1448679565664237E-3</v>
      </c>
      <c r="AO104" s="80">
        <f t="shared" si="6"/>
        <v>2.5023459493274947E-3</v>
      </c>
      <c r="AP104" s="80">
        <f t="shared" si="8"/>
        <v>4.6472139058939188E-3</v>
      </c>
    </row>
    <row r="105" spans="33:44" x14ac:dyDescent="0.3">
      <c r="AI105" t="s">
        <v>195</v>
      </c>
      <c r="AJ105">
        <v>0</v>
      </c>
      <c r="AK105">
        <v>26</v>
      </c>
      <c r="AL105">
        <f t="shared" si="7"/>
        <v>26</v>
      </c>
      <c r="AM105" s="33">
        <v>9448</v>
      </c>
      <c r="AN105" s="80">
        <f t="shared" si="5"/>
        <v>0</v>
      </c>
      <c r="AO105" s="80">
        <f t="shared" si="6"/>
        <v>2.75190516511431E-3</v>
      </c>
      <c r="AP105" s="80">
        <f t="shared" si="8"/>
        <v>2.75190516511431E-3</v>
      </c>
    </row>
    <row r="107" spans="33:44" x14ac:dyDescent="0.3">
      <c r="AG107" t="s">
        <v>297</v>
      </c>
      <c r="AI107" t="s">
        <v>231</v>
      </c>
      <c r="AJ107" s="107">
        <f>AVERAGE(AJ95:AJ104)</f>
        <v>45.5</v>
      </c>
      <c r="AK107" s="107">
        <f>AVERAGE(AK95:AK104)</f>
        <v>45.6</v>
      </c>
      <c r="AL107" s="107">
        <f>AVERAGE(AL95:AL104)</f>
        <v>91.1</v>
      </c>
      <c r="AN107" s="80">
        <f t="shared" ref="AN107:AP107" si="9">AVERAGE(AN95:AN104)</f>
        <v>2.6160892102566921E-3</v>
      </c>
      <c r="AO107" s="80">
        <f t="shared" si="9"/>
        <v>2.6506899252816633E-3</v>
      </c>
      <c r="AP107" s="80">
        <f t="shared" si="9"/>
        <v>5.2667791355383558E-3</v>
      </c>
      <c r="AR107" s="69"/>
    </row>
    <row r="108" spans="33:44" x14ac:dyDescent="0.3">
      <c r="AR108" s="69"/>
    </row>
    <row r="109" spans="33:44" x14ac:dyDescent="0.3">
      <c r="AR109" s="69"/>
    </row>
  </sheetData>
  <sortState xmlns:xlrd2="http://schemas.microsoft.com/office/spreadsheetml/2017/richdata2" ref="AN107:AP107">
    <sortCondition ref="AN107"/>
  </sortState>
  <mergeCells count="2">
    <mergeCell ref="AJ93:AL93"/>
    <mergeCell ref="AN93:AP93"/>
  </mergeCells>
  <pageMargins left="0.7" right="0.7" top="0.75" bottom="0.75" header="0.3" footer="0.3"/>
  <pageSetup orientation="portrait" horizontalDpi="4294967293" verticalDpi="4294967293"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O1:DE109"/>
  <sheetViews>
    <sheetView workbookViewId="0">
      <selection activeCell="A9" sqref="A9"/>
    </sheetView>
  </sheetViews>
  <sheetFormatPr defaultRowHeight="14.4" x14ac:dyDescent="0.3"/>
  <cols>
    <col min="15" max="18" width="9.33203125" bestFit="1" customWidth="1"/>
    <col min="19" max="19" width="10" style="62" customWidth="1"/>
    <col min="54" max="54" width="11.6640625" customWidth="1"/>
    <col min="59" max="59" width="10.5546875" customWidth="1"/>
    <col min="60" max="60" width="9.33203125" customWidth="1"/>
    <col min="61" max="61" width="6.109375" customWidth="1"/>
    <col min="63" max="63" width="10.6640625" customWidth="1"/>
    <col min="64" max="64" width="9.88671875" customWidth="1"/>
    <col min="65" max="65" width="7" customWidth="1"/>
    <col min="71" max="71" width="11.5546875" customWidth="1"/>
    <col min="73" max="73" width="10" customWidth="1"/>
    <col min="76" max="76" width="9.88671875" customWidth="1"/>
    <col min="79" max="79" width="9.88671875" customWidth="1"/>
    <col min="80" max="80" width="7.5546875" customWidth="1"/>
    <col min="81" max="81" width="4.33203125" customWidth="1"/>
    <col min="82" max="83" width="10" customWidth="1"/>
    <col min="84" max="84" width="11" customWidth="1"/>
    <col min="86" max="86" width="7.5546875" customWidth="1"/>
    <col min="87" max="87" width="11.33203125" customWidth="1"/>
    <col min="88" max="88" width="14.5546875" customWidth="1"/>
    <col min="91" max="92" width="7.5546875" customWidth="1"/>
    <col min="93" max="93" width="9.109375" customWidth="1"/>
    <col min="98" max="98" width="7.5546875" customWidth="1"/>
    <col min="99" max="99" width="11.88671875" customWidth="1"/>
  </cols>
  <sheetData>
    <row r="1" spans="15:106" x14ac:dyDescent="0.3">
      <c r="O1" s="43" t="s">
        <v>409</v>
      </c>
    </row>
    <row r="2" spans="15:106" ht="16.5" customHeight="1" x14ac:dyDescent="0.3">
      <c r="O2" s="164" t="s">
        <v>410</v>
      </c>
      <c r="P2" t="s">
        <v>411</v>
      </c>
      <c r="S2" s="165" t="s">
        <v>412</v>
      </c>
      <c r="CB2" s="242" t="s">
        <v>356</v>
      </c>
      <c r="CC2" s="242"/>
      <c r="CD2" s="242"/>
      <c r="CE2" s="242"/>
      <c r="CF2" s="242"/>
    </row>
    <row r="3" spans="15:106" ht="15" customHeight="1" x14ac:dyDescent="0.3">
      <c r="O3" s="164" t="s">
        <v>413</v>
      </c>
      <c r="P3" s="165" t="s">
        <v>414</v>
      </c>
      <c r="Q3" s="165" t="s">
        <v>415</v>
      </c>
      <c r="R3" s="165" t="s">
        <v>416</v>
      </c>
      <c r="S3" s="165" t="s">
        <v>417</v>
      </c>
      <c r="U3" t="s">
        <v>164</v>
      </c>
      <c r="AA3" t="s">
        <v>164</v>
      </c>
      <c r="AG3" t="s">
        <v>294</v>
      </c>
      <c r="CB3" s="242"/>
      <c r="CC3" s="242"/>
      <c r="CD3" s="242"/>
      <c r="CE3" s="242"/>
      <c r="CF3" s="242"/>
      <c r="CM3" s="132"/>
      <c r="CN3" s="132"/>
    </row>
    <row r="4" spans="15:106" ht="15" thickBot="1" x14ac:dyDescent="0.35">
      <c r="O4" s="166">
        <v>1946</v>
      </c>
      <c r="P4" s="167">
        <v>0</v>
      </c>
      <c r="Q4" s="167">
        <v>0</v>
      </c>
      <c r="R4" s="167">
        <v>0</v>
      </c>
      <c r="S4" s="167">
        <v>0</v>
      </c>
      <c r="CB4" s="243"/>
      <c r="CC4" s="243"/>
      <c r="CD4" s="243"/>
      <c r="CE4" s="243"/>
      <c r="CF4" s="243"/>
    </row>
    <row r="5" spans="15:106" ht="17.399999999999999" thickBot="1" x14ac:dyDescent="0.35">
      <c r="O5" s="166">
        <v>1947</v>
      </c>
      <c r="P5" s="167">
        <v>0</v>
      </c>
      <c r="Q5" s="167">
        <v>0</v>
      </c>
      <c r="R5" s="167">
        <v>0</v>
      </c>
      <c r="S5" s="167">
        <v>0</v>
      </c>
      <c r="V5" s="237" t="s">
        <v>263</v>
      </c>
      <c r="W5" s="237"/>
      <c r="X5" s="237"/>
      <c r="Y5" s="237"/>
      <c r="Z5" s="32"/>
      <c r="AB5" s="237" t="s">
        <v>165</v>
      </c>
      <c r="AC5" s="237"/>
      <c r="AD5" s="237"/>
      <c r="AE5" s="237"/>
      <c r="AF5" s="32"/>
      <c r="AG5" s="86" t="s">
        <v>283</v>
      </c>
      <c r="AH5" s="86"/>
      <c r="AI5" s="105"/>
      <c r="AJ5" s="87"/>
      <c r="AK5" s="88"/>
      <c r="AL5" s="89"/>
      <c r="AM5" s="89"/>
      <c r="AN5" s="87"/>
      <c r="AO5" s="87"/>
      <c r="AP5" s="87"/>
      <c r="AQ5" s="88"/>
      <c r="AR5" s="89"/>
      <c r="AS5" s="89"/>
      <c r="AT5" s="87"/>
      <c r="AU5" s="87"/>
      <c r="AV5" s="87"/>
      <c r="AW5" s="87"/>
      <c r="AX5" s="89"/>
      <c r="AY5" s="106"/>
      <c r="AZ5" s="33"/>
      <c r="CB5" s="239" t="s">
        <v>355</v>
      </c>
      <c r="CC5" s="240"/>
      <c r="CD5" s="240"/>
      <c r="CE5" s="240"/>
      <c r="CF5" s="241"/>
    </row>
    <row r="6" spans="15:106" ht="15.75" customHeight="1" thickBot="1" x14ac:dyDescent="0.35">
      <c r="O6" s="166">
        <v>1948</v>
      </c>
      <c r="P6" s="167">
        <v>0</v>
      </c>
      <c r="Q6" s="167">
        <v>0</v>
      </c>
      <c r="R6" s="167">
        <v>0</v>
      </c>
      <c r="S6" s="167">
        <v>0</v>
      </c>
      <c r="U6" t="s">
        <v>166</v>
      </c>
      <c r="V6" s="62" t="s">
        <v>167</v>
      </c>
      <c r="W6" s="62" t="s">
        <v>168</v>
      </c>
      <c r="X6" s="62" t="s">
        <v>1</v>
      </c>
      <c r="Y6" s="62" t="s">
        <v>169</v>
      </c>
      <c r="Z6" s="62"/>
      <c r="AA6" t="s">
        <v>166</v>
      </c>
      <c r="AB6" s="62" t="s">
        <v>167</v>
      </c>
      <c r="AC6" s="62" t="s">
        <v>168</v>
      </c>
      <c r="AD6" s="62" t="s">
        <v>1</v>
      </c>
      <c r="AE6" s="62" t="s">
        <v>169</v>
      </c>
      <c r="AF6" s="62"/>
      <c r="AG6" s="86" t="s">
        <v>284</v>
      </c>
      <c r="AH6" s="86"/>
      <c r="AI6" s="87"/>
      <c r="AJ6" s="87"/>
      <c r="AK6" s="88"/>
      <c r="AL6" s="89"/>
      <c r="AM6" s="89"/>
      <c r="AN6" s="87"/>
      <c r="AO6" s="87"/>
      <c r="AP6" s="87"/>
      <c r="AQ6" s="88"/>
      <c r="AR6" s="89"/>
      <c r="AS6" s="89"/>
      <c r="AT6" s="87"/>
      <c r="AU6" s="87"/>
      <c r="AV6" s="87"/>
      <c r="AW6" s="87"/>
      <c r="AX6" s="89"/>
      <c r="AY6" s="89"/>
      <c r="AZ6" s="33"/>
      <c r="CB6" s="82" t="s">
        <v>188</v>
      </c>
      <c r="CC6" s="131"/>
      <c r="CD6" s="79" t="s">
        <v>260</v>
      </c>
      <c r="CE6" s="79" t="s">
        <v>167</v>
      </c>
      <c r="CF6" s="79" t="s">
        <v>374</v>
      </c>
      <c r="CH6" s="246" t="s">
        <v>383</v>
      </c>
      <c r="CI6" s="246"/>
      <c r="CJ6" s="246"/>
      <c r="CK6" s="246"/>
      <c r="CO6" s="79"/>
      <c r="CW6" s="242" t="s">
        <v>376</v>
      </c>
      <c r="CX6" s="242"/>
      <c r="CY6" s="242"/>
      <c r="CZ6" s="242"/>
      <c r="DA6" s="242"/>
      <c r="DB6" s="242"/>
    </row>
    <row r="7" spans="15:106" ht="15.75" customHeight="1" thickBot="1" x14ac:dyDescent="0.35">
      <c r="O7" s="166">
        <v>1949</v>
      </c>
      <c r="P7" s="167">
        <v>0</v>
      </c>
      <c r="Q7" s="167">
        <v>0</v>
      </c>
      <c r="R7" s="167">
        <v>0</v>
      </c>
      <c r="S7" s="167">
        <v>0</v>
      </c>
      <c r="AG7" s="87"/>
      <c r="AH7" s="87"/>
      <c r="AI7" s="90" t="s">
        <v>285</v>
      </c>
      <c r="AJ7" s="90"/>
      <c r="AK7" s="91"/>
      <c r="AL7" s="92"/>
      <c r="AM7" s="93"/>
      <c r="AN7" s="94"/>
      <c r="AO7" s="90" t="s">
        <v>286</v>
      </c>
      <c r="AP7" s="90"/>
      <c r="AQ7" s="91"/>
      <c r="AR7" s="92"/>
      <c r="AS7" s="93"/>
      <c r="AT7" s="94"/>
      <c r="AU7" s="90" t="s">
        <v>1</v>
      </c>
      <c r="AV7" s="90"/>
      <c r="AW7" s="90"/>
      <c r="AX7" s="92"/>
      <c r="AY7" s="93"/>
      <c r="AZ7" s="88"/>
      <c r="BT7" s="245" t="s">
        <v>354</v>
      </c>
      <c r="BU7" s="245"/>
      <c r="BV7" s="245"/>
      <c r="BW7" s="245"/>
      <c r="BX7" s="245"/>
      <c r="BY7" s="245"/>
      <c r="BZ7" s="245"/>
      <c r="CB7" s="32">
        <v>2003</v>
      </c>
      <c r="CC7" s="132" t="s">
        <v>361</v>
      </c>
      <c r="CD7">
        <f>ROUND(33/0.62,0)</f>
        <v>53</v>
      </c>
      <c r="CH7" s="239" t="s">
        <v>382</v>
      </c>
      <c r="CI7" s="240"/>
      <c r="CJ7" s="240"/>
      <c r="CK7" s="241"/>
      <c r="CM7" s="246" t="s">
        <v>367</v>
      </c>
      <c r="CN7" s="246"/>
      <c r="CO7" s="246"/>
      <c r="CP7" s="246"/>
      <c r="CQ7" s="246"/>
      <c r="CR7" s="246"/>
      <c r="CU7" s="62"/>
      <c r="CW7" s="243"/>
      <c r="CX7" s="243"/>
      <c r="CY7" s="243"/>
      <c r="CZ7" s="243"/>
      <c r="DA7" s="243"/>
      <c r="DB7" s="243"/>
    </row>
    <row r="8" spans="15:106" ht="15" thickBot="1" x14ac:dyDescent="0.35">
      <c r="O8" s="168">
        <v>1950</v>
      </c>
      <c r="P8" s="169">
        <v>2200</v>
      </c>
      <c r="Q8" s="170">
        <v>0</v>
      </c>
      <c r="R8" s="167">
        <f t="shared" ref="R8:R27" si="0">Q8+P8</f>
        <v>2200</v>
      </c>
      <c r="S8" s="170">
        <v>0</v>
      </c>
      <c r="U8" t="s">
        <v>170</v>
      </c>
      <c r="V8" s="69">
        <v>5</v>
      </c>
      <c r="W8" s="69">
        <v>97</v>
      </c>
      <c r="X8">
        <f t="shared" ref="X8:X14" si="1">SUM(V8:W8)</f>
        <v>102</v>
      </c>
      <c r="Y8">
        <f>X8</f>
        <v>102</v>
      </c>
      <c r="AA8" t="s">
        <v>170</v>
      </c>
      <c r="AB8" s="69">
        <v>13</v>
      </c>
      <c r="AC8" s="69">
        <v>304</v>
      </c>
      <c r="AD8">
        <f t="shared" ref="AD8:AD14" si="2">SUM(AB8:AC8)</f>
        <v>317</v>
      </c>
      <c r="AE8">
        <f>AD8</f>
        <v>317</v>
      </c>
      <c r="AG8" s="87"/>
      <c r="AH8" s="87"/>
      <c r="AI8" s="95"/>
      <c r="AJ8" s="95"/>
      <c r="AK8" s="96" t="s">
        <v>287</v>
      </c>
      <c r="AL8" s="97"/>
      <c r="AM8" s="97" t="s">
        <v>1</v>
      </c>
      <c r="AN8" s="95"/>
      <c r="AO8" s="95"/>
      <c r="AP8" s="95"/>
      <c r="AQ8" s="96" t="s">
        <v>287</v>
      </c>
      <c r="AR8" s="97"/>
      <c r="AS8" s="97" t="s">
        <v>1</v>
      </c>
      <c r="AT8" s="95"/>
      <c r="AU8" s="95"/>
      <c r="AV8" s="95"/>
      <c r="AW8" s="95" t="s">
        <v>287</v>
      </c>
      <c r="AX8" s="97"/>
      <c r="AY8" s="97" t="s">
        <v>1</v>
      </c>
      <c r="AZ8" s="88"/>
      <c r="BB8" s="32" t="s">
        <v>298</v>
      </c>
      <c r="BC8" s="32"/>
      <c r="BS8" s="32"/>
      <c r="BT8" s="239" t="s">
        <v>272</v>
      </c>
      <c r="BU8" s="240"/>
      <c r="BV8" s="240"/>
      <c r="BW8" s="240"/>
      <c r="BX8" s="240"/>
      <c r="BY8" s="240"/>
      <c r="BZ8" s="241"/>
      <c r="CB8" s="32">
        <v>2004</v>
      </c>
      <c r="CC8" s="132" t="s">
        <v>362</v>
      </c>
      <c r="CD8">
        <f>ROUND(CD7+66.09,0)</f>
        <v>119</v>
      </c>
      <c r="CJ8" s="79" t="s">
        <v>379</v>
      </c>
      <c r="CM8" s="239" t="s">
        <v>370</v>
      </c>
      <c r="CN8" s="240"/>
      <c r="CO8" s="240"/>
      <c r="CP8" s="240"/>
      <c r="CQ8" s="240"/>
      <c r="CR8" s="241"/>
      <c r="CT8" s="239" t="s">
        <v>373</v>
      </c>
      <c r="CU8" s="241"/>
      <c r="CW8" s="239" t="s">
        <v>371</v>
      </c>
      <c r="CX8" s="240"/>
      <c r="CY8" s="240"/>
      <c r="CZ8" s="240"/>
      <c r="DA8" s="240"/>
      <c r="DB8" s="241"/>
    </row>
    <row r="9" spans="15:106" x14ac:dyDescent="0.3">
      <c r="O9" s="171">
        <v>1951</v>
      </c>
      <c r="P9" s="172">
        <v>1200</v>
      </c>
      <c r="Q9" s="173">
        <v>0</v>
      </c>
      <c r="R9" s="167">
        <f t="shared" si="0"/>
        <v>1200</v>
      </c>
      <c r="S9" s="173">
        <v>0</v>
      </c>
      <c r="U9" t="s">
        <v>171</v>
      </c>
      <c r="V9" s="69">
        <v>14</v>
      </c>
      <c r="W9" s="69">
        <v>283</v>
      </c>
      <c r="X9">
        <f t="shared" si="1"/>
        <v>297</v>
      </c>
      <c r="Y9">
        <f t="shared" ref="Y9:Y14" si="3">Y8+X9</f>
        <v>399</v>
      </c>
      <c r="AA9" t="s">
        <v>171</v>
      </c>
      <c r="AB9" s="69">
        <v>4</v>
      </c>
      <c r="AC9" s="69">
        <v>292</v>
      </c>
      <c r="AD9">
        <f t="shared" si="2"/>
        <v>296</v>
      </c>
      <c r="AE9">
        <f t="shared" ref="AE9:AE14" si="4">AE8+AD9</f>
        <v>613</v>
      </c>
      <c r="AG9" s="98" t="s">
        <v>188</v>
      </c>
      <c r="AH9" s="95"/>
      <c r="AI9" s="98" t="s">
        <v>288</v>
      </c>
      <c r="AJ9" s="98" t="s">
        <v>289</v>
      </c>
      <c r="AK9" s="99" t="s">
        <v>290</v>
      </c>
      <c r="AL9" s="100" t="s">
        <v>291</v>
      </c>
      <c r="AM9" s="100" t="s">
        <v>292</v>
      </c>
      <c r="AN9" s="95"/>
      <c r="AO9" s="98" t="s">
        <v>288</v>
      </c>
      <c r="AP9" s="98" t="s">
        <v>289</v>
      </c>
      <c r="AQ9" s="99" t="s">
        <v>290</v>
      </c>
      <c r="AR9" s="100" t="s">
        <v>291</v>
      </c>
      <c r="AS9" s="100" t="s">
        <v>292</v>
      </c>
      <c r="AT9" s="95"/>
      <c r="AU9" s="98" t="s">
        <v>288</v>
      </c>
      <c r="AV9" s="98" t="s">
        <v>289</v>
      </c>
      <c r="AW9" s="98" t="s">
        <v>290</v>
      </c>
      <c r="AX9" s="100" t="s">
        <v>291</v>
      </c>
      <c r="AY9" s="100" t="s">
        <v>292</v>
      </c>
      <c r="AZ9" s="88" t="s">
        <v>293</v>
      </c>
      <c r="BB9" s="82" t="s">
        <v>299</v>
      </c>
      <c r="BC9" s="82"/>
      <c r="BS9" s="82"/>
      <c r="BU9" s="238" t="s">
        <v>273</v>
      </c>
      <c r="BV9" s="238"/>
      <c r="BW9" s="238"/>
      <c r="BX9" s="238" t="s">
        <v>274</v>
      </c>
      <c r="BY9" s="238"/>
      <c r="BZ9" s="238"/>
      <c r="CB9" s="32">
        <v>2005</v>
      </c>
      <c r="CC9" s="132" t="s">
        <v>362</v>
      </c>
      <c r="CD9">
        <f>ROUND(CD8+66.09,0)</f>
        <v>185</v>
      </c>
      <c r="CI9" t="s">
        <v>377</v>
      </c>
      <c r="CJ9" s="79" t="s">
        <v>380</v>
      </c>
      <c r="CK9" s="79" t="s">
        <v>375</v>
      </c>
      <c r="CN9" s="62" t="s">
        <v>375</v>
      </c>
      <c r="CO9" s="62" t="s">
        <v>278</v>
      </c>
      <c r="CP9" s="62" t="s">
        <v>364</v>
      </c>
      <c r="CQ9" s="62" t="s">
        <v>364</v>
      </c>
      <c r="CR9" s="62"/>
      <c r="CU9" s="62" t="s">
        <v>368</v>
      </c>
      <c r="CX9" s="62" t="s">
        <v>375</v>
      </c>
      <c r="CY9" s="62" t="s">
        <v>278</v>
      </c>
      <c r="CZ9" s="62" t="s">
        <v>364</v>
      </c>
      <c r="DA9" s="62" t="s">
        <v>364</v>
      </c>
      <c r="DB9" s="62"/>
    </row>
    <row r="10" spans="15:106" x14ac:dyDescent="0.3">
      <c r="O10" s="166">
        <v>1952</v>
      </c>
      <c r="P10" s="174">
        <v>3400</v>
      </c>
      <c r="Q10" s="167">
        <v>0</v>
      </c>
      <c r="R10" s="167">
        <f t="shared" si="0"/>
        <v>3400</v>
      </c>
      <c r="S10" s="167">
        <v>0</v>
      </c>
      <c r="U10" t="s">
        <v>172</v>
      </c>
      <c r="V10">
        <v>44</v>
      </c>
      <c r="W10">
        <v>938</v>
      </c>
      <c r="X10">
        <f t="shared" si="1"/>
        <v>982</v>
      </c>
      <c r="Y10">
        <f t="shared" si="3"/>
        <v>1381</v>
      </c>
      <c r="AA10" t="s">
        <v>172</v>
      </c>
      <c r="AB10">
        <v>4</v>
      </c>
      <c r="AC10">
        <v>678</v>
      </c>
      <c r="AD10">
        <f t="shared" si="2"/>
        <v>682</v>
      </c>
      <c r="AE10">
        <f t="shared" si="4"/>
        <v>1295</v>
      </c>
      <c r="AG10" s="95"/>
      <c r="AH10" s="95"/>
      <c r="AI10" s="95"/>
      <c r="AJ10" s="95"/>
      <c r="AK10" s="96"/>
      <c r="AL10" s="97"/>
      <c r="AM10" s="97"/>
      <c r="AN10" s="95"/>
      <c r="AO10" s="95"/>
      <c r="AP10" s="95"/>
      <c r="AQ10" s="96"/>
      <c r="AR10" s="97"/>
      <c r="AS10" s="97"/>
      <c r="AT10" s="95"/>
      <c r="AU10" s="96"/>
      <c r="AV10" s="95"/>
      <c r="AW10" s="96"/>
      <c r="AX10" s="97"/>
      <c r="AY10" s="97"/>
      <c r="AZ10" s="88"/>
      <c r="BT10" s="82" t="s">
        <v>188</v>
      </c>
      <c r="BU10" s="79" t="s">
        <v>189</v>
      </c>
      <c r="BV10" s="79" t="s">
        <v>168</v>
      </c>
      <c r="BW10" s="79" t="s">
        <v>1</v>
      </c>
      <c r="BX10" s="79" t="s">
        <v>189</v>
      </c>
      <c r="BY10" s="79" t="s">
        <v>168</v>
      </c>
      <c r="BZ10" s="79" t="s">
        <v>1</v>
      </c>
      <c r="CB10" s="32">
        <v>2006</v>
      </c>
      <c r="CC10" s="132" t="s">
        <v>362</v>
      </c>
      <c r="CD10">
        <f t="shared" ref="CD10:CD17" si="5">ROUND(CD9+66.09,0)</f>
        <v>251</v>
      </c>
      <c r="CH10" s="82" t="s">
        <v>188</v>
      </c>
      <c r="CI10" s="81" t="s">
        <v>378</v>
      </c>
      <c r="CJ10" s="79" t="s">
        <v>381</v>
      </c>
      <c r="CK10" s="79" t="s">
        <v>8</v>
      </c>
      <c r="CM10" s="82" t="s">
        <v>188</v>
      </c>
      <c r="CN10" s="79" t="s">
        <v>363</v>
      </c>
      <c r="CO10" s="79" t="s">
        <v>363</v>
      </c>
      <c r="CP10" s="79" t="s">
        <v>365</v>
      </c>
      <c r="CQ10" s="79" t="s">
        <v>363</v>
      </c>
      <c r="CR10" s="79" t="s">
        <v>1</v>
      </c>
      <c r="CT10" s="82" t="s">
        <v>188</v>
      </c>
      <c r="CU10" s="79" t="s">
        <v>369</v>
      </c>
      <c r="CW10" s="82" t="s">
        <v>188</v>
      </c>
      <c r="CX10" s="79" t="s">
        <v>363</v>
      </c>
      <c r="CY10" s="79" t="s">
        <v>363</v>
      </c>
      <c r="CZ10" s="79" t="s">
        <v>365</v>
      </c>
      <c r="DA10" s="79" t="s">
        <v>363</v>
      </c>
      <c r="DB10" s="79" t="s">
        <v>1</v>
      </c>
    </row>
    <row r="11" spans="15:106" x14ac:dyDescent="0.3">
      <c r="O11" s="166">
        <v>1953</v>
      </c>
      <c r="P11" s="174">
        <v>1200</v>
      </c>
      <c r="Q11" s="167">
        <v>0</v>
      </c>
      <c r="R11" s="167">
        <f t="shared" si="0"/>
        <v>1200</v>
      </c>
      <c r="S11" s="167">
        <v>0</v>
      </c>
      <c r="U11" t="s">
        <v>173</v>
      </c>
      <c r="V11">
        <f>92+5</f>
        <v>97</v>
      </c>
      <c r="W11">
        <f>1688+90</f>
        <v>1778</v>
      </c>
      <c r="X11">
        <f t="shared" si="1"/>
        <v>1875</v>
      </c>
      <c r="Y11">
        <f t="shared" si="3"/>
        <v>3256</v>
      </c>
      <c r="AA11" t="s">
        <v>173</v>
      </c>
      <c r="AB11">
        <v>237</v>
      </c>
      <c r="AC11">
        <v>2244</v>
      </c>
      <c r="AD11">
        <f t="shared" si="2"/>
        <v>2481</v>
      </c>
      <c r="AE11">
        <f t="shared" si="4"/>
        <v>3776</v>
      </c>
      <c r="AG11" s="95">
        <v>2007</v>
      </c>
      <c r="AH11" s="95"/>
      <c r="AI11" s="95">
        <v>477</v>
      </c>
      <c r="AJ11" s="95">
        <v>175</v>
      </c>
      <c r="AK11" s="96">
        <v>67710</v>
      </c>
      <c r="AL11" s="97">
        <v>7.0447496677004872E-3</v>
      </c>
      <c r="AM11" s="97">
        <v>9.6293014325801209E-3</v>
      </c>
      <c r="AN11" s="95"/>
      <c r="AO11" s="95">
        <v>54</v>
      </c>
      <c r="AP11" s="95">
        <v>14</v>
      </c>
      <c r="AQ11" s="96">
        <v>7089</v>
      </c>
      <c r="AR11" s="97">
        <v>7.6174354633939904E-3</v>
      </c>
      <c r="AS11" s="97">
        <v>9.5923261390887284E-3</v>
      </c>
      <c r="AT11" s="95"/>
      <c r="AU11" s="96">
        <v>531</v>
      </c>
      <c r="AV11" s="95">
        <v>189</v>
      </c>
      <c r="AW11" s="96">
        <v>74799</v>
      </c>
      <c r="AX11" s="97">
        <v>7.0990253880399467E-3</v>
      </c>
      <c r="AY11" s="97">
        <v>9.6257971363253522E-3</v>
      </c>
      <c r="AZ11" s="88">
        <v>747.99</v>
      </c>
      <c r="BB11" s="107">
        <f>AV11*0.1</f>
        <v>18.900000000000002</v>
      </c>
      <c r="BC11" s="69"/>
      <c r="BS11" s="80"/>
      <c r="BT11" s="32" t="s">
        <v>262</v>
      </c>
      <c r="BU11" s="33">
        <f>V15</f>
        <v>167</v>
      </c>
      <c r="BV11" s="33">
        <f>W15</f>
        <v>5307</v>
      </c>
      <c r="BW11" s="33">
        <f>Spawners!DK8</f>
        <v>5474</v>
      </c>
      <c r="BX11" s="85">
        <f>BU11/BW11</f>
        <v>3.0507855316039459E-2</v>
      </c>
      <c r="BY11" s="85">
        <f>BV11/BW11</f>
        <v>0.9694921446839605</v>
      </c>
      <c r="BZ11" s="85">
        <f>SUM(BX11:BY11)</f>
        <v>1</v>
      </c>
      <c r="CB11" s="32">
        <v>2007</v>
      </c>
      <c r="CC11" s="132" t="s">
        <v>362</v>
      </c>
      <c r="CD11">
        <f t="shared" si="5"/>
        <v>317</v>
      </c>
      <c r="CE11" s="69">
        <f t="shared" ref="CE11:CE20" si="6">CD11*BX11</f>
        <v>9.6709901351845087</v>
      </c>
      <c r="CF11" s="69">
        <f t="shared" ref="CF11:CF20" si="7">CD11*BY11</f>
        <v>307.32900986481548</v>
      </c>
      <c r="CG11" s="69"/>
      <c r="CH11" s="32">
        <v>2007</v>
      </c>
      <c r="CI11" s="33">
        <f>BV11</f>
        <v>5307</v>
      </c>
      <c r="CJ11" s="85">
        <v>1.2E-2</v>
      </c>
      <c r="CK11" s="69">
        <f>CJ11*CI11</f>
        <v>63.684000000000005</v>
      </c>
      <c r="CL11" s="69"/>
      <c r="CM11" s="32">
        <v>2007</v>
      </c>
      <c r="CN11" s="69">
        <f>CK11</f>
        <v>63.684000000000005</v>
      </c>
      <c r="CO11" s="69">
        <f t="shared" ref="CO11:CO20" si="8">BB11</f>
        <v>18.900000000000002</v>
      </c>
      <c r="CP11">
        <v>75</v>
      </c>
      <c r="CQ11">
        <v>36</v>
      </c>
      <c r="CR11" s="69">
        <f>SUM(CN11:CQ11)</f>
        <v>193.584</v>
      </c>
      <c r="CT11" s="32">
        <v>2007</v>
      </c>
      <c r="CU11" s="33">
        <f t="shared" ref="CU11:CU20" si="9">CR11+CF11+BV11</f>
        <v>5807.9130098648156</v>
      </c>
      <c r="CW11" s="32">
        <v>2007</v>
      </c>
      <c r="CX11" s="85">
        <f>CN11/CU11</f>
        <v>1.0965040263487401E-2</v>
      </c>
      <c r="CY11" s="80">
        <f t="shared" ref="CY11:CY20" si="10">CO11/CU11</f>
        <v>3.2541809713571997E-3</v>
      </c>
      <c r="CZ11" s="80">
        <f t="shared" ref="CZ11:CZ20" si="11">CP11/CU11</f>
        <v>1.2913416553004759E-2</v>
      </c>
      <c r="DA11" s="80">
        <f t="shared" ref="DA11:DA20" si="12">CQ11/CU11</f>
        <v>6.1984399454422844E-3</v>
      </c>
      <c r="DB11" s="80">
        <f t="shared" ref="DB11:DB20" si="13">CR11/CU11</f>
        <v>3.3331077733291643E-2</v>
      </c>
    </row>
    <row r="12" spans="15:106" x14ac:dyDescent="0.3">
      <c r="O12" s="166">
        <v>1954</v>
      </c>
      <c r="P12" s="174">
        <v>5200</v>
      </c>
      <c r="Q12" s="167">
        <v>0</v>
      </c>
      <c r="R12" s="167">
        <f t="shared" si="0"/>
        <v>5200</v>
      </c>
      <c r="S12" s="167">
        <v>0</v>
      </c>
      <c r="U12" t="s">
        <v>174</v>
      </c>
      <c r="V12">
        <v>3</v>
      </c>
      <c r="W12">
        <v>1021</v>
      </c>
      <c r="X12">
        <f t="shared" si="1"/>
        <v>1024</v>
      </c>
      <c r="Y12">
        <f t="shared" si="3"/>
        <v>4280</v>
      </c>
      <c r="AA12" t="s">
        <v>174</v>
      </c>
      <c r="AB12">
        <v>0</v>
      </c>
      <c r="AC12">
        <v>1353</v>
      </c>
      <c r="AD12">
        <f t="shared" si="2"/>
        <v>1353</v>
      </c>
      <c r="AE12">
        <f t="shared" si="4"/>
        <v>5129</v>
      </c>
      <c r="AG12" s="95">
        <v>2008</v>
      </c>
      <c r="AH12" s="95"/>
      <c r="AI12" s="95">
        <v>1137</v>
      </c>
      <c r="AJ12" s="95">
        <v>126</v>
      </c>
      <c r="AK12" s="96">
        <v>41177</v>
      </c>
      <c r="AL12" s="97">
        <v>2.7612502124972679E-2</v>
      </c>
      <c r="AM12" s="97">
        <v>3.0672462782621365E-2</v>
      </c>
      <c r="AN12" s="95"/>
      <c r="AO12" s="95">
        <v>134</v>
      </c>
      <c r="AP12" s="95">
        <v>13</v>
      </c>
      <c r="AQ12" s="96">
        <v>6141</v>
      </c>
      <c r="AR12" s="97">
        <v>2.1820550398957826E-2</v>
      </c>
      <c r="AS12" s="97">
        <v>2.3937469467513434E-2</v>
      </c>
      <c r="AT12" s="95"/>
      <c r="AU12" s="96">
        <v>1271</v>
      </c>
      <c r="AV12" s="95">
        <v>139</v>
      </c>
      <c r="AW12" s="96">
        <v>47318</v>
      </c>
      <c r="AX12" s="97">
        <v>2.6860814066528595E-2</v>
      </c>
      <c r="AY12" s="97">
        <v>2.9798385392451075E-2</v>
      </c>
      <c r="AZ12" s="88">
        <v>473.18</v>
      </c>
      <c r="BB12" s="107">
        <f t="shared" ref="BB12:BB20" si="14">AV12*0.1</f>
        <v>13.9</v>
      </c>
      <c r="BC12" s="69"/>
      <c r="BS12" s="80"/>
      <c r="BT12" s="32" t="s">
        <v>225</v>
      </c>
      <c r="BU12" s="33">
        <f>V27</f>
        <v>216</v>
      </c>
      <c r="BV12" s="33">
        <f>W27</f>
        <v>4699</v>
      </c>
      <c r="BW12" s="33">
        <f>Spawners!DK9</f>
        <v>4915</v>
      </c>
      <c r="BX12" s="85">
        <f t="shared" ref="BX12:BX22" si="15">BU12/BW12</f>
        <v>4.3947100712105801E-2</v>
      </c>
      <c r="BY12" s="85">
        <f t="shared" ref="BY12:BY22" si="16">BV12/BW12</f>
        <v>0.95605289928789416</v>
      </c>
      <c r="BZ12" s="85">
        <f t="shared" ref="BZ12:BZ22" si="17">SUM(BX12:BY12)</f>
        <v>1</v>
      </c>
      <c r="CB12" s="32">
        <v>2008</v>
      </c>
      <c r="CC12" s="132" t="s">
        <v>362</v>
      </c>
      <c r="CD12">
        <f t="shared" si="5"/>
        <v>383</v>
      </c>
      <c r="CE12" s="69">
        <f t="shared" si="6"/>
        <v>16.83173957273652</v>
      </c>
      <c r="CF12" s="69">
        <f t="shared" si="7"/>
        <v>366.16826042726348</v>
      </c>
      <c r="CH12" s="32">
        <v>2008</v>
      </c>
      <c r="CI12" s="33">
        <f t="shared" ref="CI12:CI20" si="18">BV12</f>
        <v>4699</v>
      </c>
      <c r="CJ12" s="85">
        <v>1.2E-2</v>
      </c>
      <c r="CK12" s="69">
        <f t="shared" ref="CK12:CK20" si="19">CJ12*CI12</f>
        <v>56.387999999999998</v>
      </c>
      <c r="CL12" s="69"/>
      <c r="CM12" s="32">
        <v>2008</v>
      </c>
      <c r="CN12" s="69">
        <f t="shared" ref="CN12:CN20" si="20">CK12</f>
        <v>56.387999999999998</v>
      </c>
      <c r="CO12" s="69">
        <f t="shared" si="8"/>
        <v>13.9</v>
      </c>
      <c r="CP12">
        <v>9</v>
      </c>
      <c r="CQ12">
        <v>20</v>
      </c>
      <c r="CR12" s="69">
        <f t="shared" ref="CR12:CR20" si="21">SUM(CN12:CQ12)</f>
        <v>99.287999999999997</v>
      </c>
      <c r="CT12" s="32">
        <v>2008</v>
      </c>
      <c r="CU12" s="33">
        <f t="shared" si="9"/>
        <v>5164.4562604272633</v>
      </c>
      <c r="CW12" s="32">
        <v>2008</v>
      </c>
      <c r="CX12" s="85">
        <f t="shared" ref="CX12:CX20" si="22">CN12/CU12</f>
        <v>1.0918477600841359E-2</v>
      </c>
      <c r="CY12" s="80">
        <f t="shared" si="10"/>
        <v>2.6914740485864883E-3</v>
      </c>
      <c r="CZ12" s="80">
        <f t="shared" si="11"/>
        <v>1.7426810386531218E-3</v>
      </c>
      <c r="DA12" s="80">
        <f t="shared" si="12"/>
        <v>3.8726245303402707E-3</v>
      </c>
      <c r="DB12" s="80">
        <f t="shared" si="13"/>
        <v>1.9225257218421238E-2</v>
      </c>
    </row>
    <row r="13" spans="15:106" x14ac:dyDescent="0.3">
      <c r="O13" s="166">
        <v>1955</v>
      </c>
      <c r="P13" s="174">
        <v>2100</v>
      </c>
      <c r="Q13" s="167">
        <v>0</v>
      </c>
      <c r="R13" s="167">
        <f t="shared" si="0"/>
        <v>2100</v>
      </c>
      <c r="S13" s="167">
        <v>0</v>
      </c>
      <c r="U13" t="s">
        <v>175</v>
      </c>
      <c r="V13">
        <v>2</v>
      </c>
      <c r="W13">
        <v>689</v>
      </c>
      <c r="X13">
        <f t="shared" si="1"/>
        <v>691</v>
      </c>
      <c r="Y13">
        <f t="shared" si="3"/>
        <v>4971</v>
      </c>
      <c r="AA13" t="s">
        <v>175</v>
      </c>
      <c r="AB13">
        <v>0</v>
      </c>
      <c r="AC13">
        <v>1643</v>
      </c>
      <c r="AD13">
        <f t="shared" si="2"/>
        <v>1643</v>
      </c>
      <c r="AE13">
        <f t="shared" si="4"/>
        <v>6772</v>
      </c>
      <c r="AG13" s="95">
        <v>2009</v>
      </c>
      <c r="AH13" s="95"/>
      <c r="AI13" s="95">
        <v>424</v>
      </c>
      <c r="AJ13" s="95">
        <v>32</v>
      </c>
      <c r="AK13" s="96">
        <v>29641</v>
      </c>
      <c r="AL13" s="97">
        <v>1.430451064404035E-2</v>
      </c>
      <c r="AM13" s="97">
        <v>1.5384096353024526E-2</v>
      </c>
      <c r="AN13" s="95"/>
      <c r="AO13" s="95">
        <v>72</v>
      </c>
      <c r="AP13" s="95">
        <v>8</v>
      </c>
      <c r="AQ13" s="96">
        <v>2828</v>
      </c>
      <c r="AR13" s="97">
        <v>2.5459688826025461E-2</v>
      </c>
      <c r="AS13" s="97">
        <v>2.8288543140028287E-2</v>
      </c>
      <c r="AT13" s="95"/>
      <c r="AU13" s="96">
        <v>496</v>
      </c>
      <c r="AV13" s="95">
        <v>40</v>
      </c>
      <c r="AW13" s="96">
        <v>32469</v>
      </c>
      <c r="AX13" s="97">
        <v>1.5276109519849703E-2</v>
      </c>
      <c r="AY13" s="97">
        <v>1.6508053835966614E-2</v>
      </c>
      <c r="AZ13" s="88">
        <v>324.69</v>
      </c>
      <c r="BB13" s="107">
        <f t="shared" si="14"/>
        <v>4</v>
      </c>
      <c r="BC13" s="69"/>
      <c r="BS13" s="80"/>
      <c r="BT13" s="32" t="s">
        <v>199</v>
      </c>
      <c r="BU13" s="33">
        <f>V39</f>
        <v>135</v>
      </c>
      <c r="BV13" s="33">
        <f>W39</f>
        <v>2678</v>
      </c>
      <c r="BW13" s="33">
        <f>Spawners!DK10</f>
        <v>2813</v>
      </c>
      <c r="BX13" s="85">
        <f t="shared" si="15"/>
        <v>4.7991468183434055E-2</v>
      </c>
      <c r="BY13" s="85">
        <f t="shared" si="16"/>
        <v>0.95200853181656597</v>
      </c>
      <c r="BZ13" s="85">
        <f t="shared" si="17"/>
        <v>1</v>
      </c>
      <c r="CB13" s="32">
        <v>2009</v>
      </c>
      <c r="CC13" s="132" t="s">
        <v>362</v>
      </c>
      <c r="CD13">
        <f t="shared" si="5"/>
        <v>449</v>
      </c>
      <c r="CE13" s="69">
        <f t="shared" si="6"/>
        <v>21.548169214361891</v>
      </c>
      <c r="CF13" s="69">
        <f t="shared" si="7"/>
        <v>427.45183078563809</v>
      </c>
      <c r="CH13" s="32">
        <v>2009</v>
      </c>
      <c r="CI13" s="33">
        <f t="shared" si="18"/>
        <v>2678</v>
      </c>
      <c r="CJ13" s="85">
        <v>1.2E-2</v>
      </c>
      <c r="CK13" s="69">
        <f t="shared" si="19"/>
        <v>32.136000000000003</v>
      </c>
      <c r="CL13" s="69"/>
      <c r="CM13" s="32">
        <v>2009</v>
      </c>
      <c r="CN13" s="69">
        <f t="shared" si="20"/>
        <v>32.136000000000003</v>
      </c>
      <c r="CO13" s="69">
        <f t="shared" si="8"/>
        <v>4</v>
      </c>
      <c r="CP13">
        <v>4</v>
      </c>
      <c r="CQ13">
        <v>22</v>
      </c>
      <c r="CR13" s="69">
        <f t="shared" si="21"/>
        <v>62.136000000000003</v>
      </c>
      <c r="CT13" s="32">
        <v>2009</v>
      </c>
      <c r="CU13" s="33">
        <f t="shared" si="9"/>
        <v>3167.5878307856383</v>
      </c>
      <c r="CW13" s="32">
        <v>2009</v>
      </c>
      <c r="CX13" s="85">
        <f t="shared" si="22"/>
        <v>1.0145259331934451E-2</v>
      </c>
      <c r="CY13" s="80">
        <f t="shared" si="10"/>
        <v>1.2627905566261451E-3</v>
      </c>
      <c r="CZ13" s="80">
        <f t="shared" si="11"/>
        <v>1.2627905566261451E-3</v>
      </c>
      <c r="DA13" s="80">
        <f t="shared" si="12"/>
        <v>6.9453480614437985E-3</v>
      </c>
      <c r="DB13" s="80">
        <f t="shared" si="13"/>
        <v>1.9616188506630539E-2</v>
      </c>
    </row>
    <row r="14" spans="15:106" x14ac:dyDescent="0.3">
      <c r="O14" s="166">
        <v>1956</v>
      </c>
      <c r="P14" s="174">
        <v>3800</v>
      </c>
      <c r="Q14" s="167">
        <v>0</v>
      </c>
      <c r="R14" s="167">
        <f t="shared" si="0"/>
        <v>3800</v>
      </c>
      <c r="S14" s="167">
        <v>0</v>
      </c>
      <c r="U14" t="s">
        <v>176</v>
      </c>
      <c r="V14">
        <v>2</v>
      </c>
      <c r="W14">
        <v>501</v>
      </c>
      <c r="X14">
        <f t="shared" si="1"/>
        <v>503</v>
      </c>
      <c r="Y14">
        <f t="shared" si="3"/>
        <v>5474</v>
      </c>
      <c r="AA14" t="s">
        <v>176</v>
      </c>
      <c r="AB14">
        <v>0</v>
      </c>
      <c r="AC14">
        <v>844</v>
      </c>
      <c r="AD14">
        <f t="shared" si="2"/>
        <v>844</v>
      </c>
      <c r="AE14">
        <f t="shared" si="4"/>
        <v>7616</v>
      </c>
      <c r="AG14" s="95">
        <v>2010</v>
      </c>
      <c r="AH14" s="95"/>
      <c r="AI14" s="95">
        <v>1055</v>
      </c>
      <c r="AJ14" s="95">
        <v>248</v>
      </c>
      <c r="AK14" s="96">
        <v>97188</v>
      </c>
      <c r="AL14" s="97">
        <v>1.0855249619294563E-2</v>
      </c>
      <c r="AM14" s="97">
        <v>1.3407004980038687E-2</v>
      </c>
      <c r="AN14" s="95"/>
      <c r="AO14" s="95">
        <v>154</v>
      </c>
      <c r="AP14" s="95">
        <v>50</v>
      </c>
      <c r="AQ14" s="96">
        <v>10836</v>
      </c>
      <c r="AR14" s="97">
        <v>1.4211886304909561E-2</v>
      </c>
      <c r="AS14" s="97">
        <v>1.8826135105204873E-2</v>
      </c>
      <c r="AT14" s="95"/>
      <c r="AU14" s="96">
        <v>1209</v>
      </c>
      <c r="AV14" s="95">
        <v>298</v>
      </c>
      <c r="AW14" s="96">
        <v>108024</v>
      </c>
      <c r="AX14" s="97">
        <v>1.1191957342812708E-2</v>
      </c>
      <c r="AY14" s="97">
        <v>1.3950603569577131E-2</v>
      </c>
      <c r="AZ14" s="88">
        <v>1080.24</v>
      </c>
      <c r="BB14" s="107">
        <f t="shared" si="14"/>
        <v>29.8</v>
      </c>
      <c r="BC14" s="69"/>
      <c r="BS14" s="80"/>
      <c r="BT14" s="32" t="s">
        <v>198</v>
      </c>
      <c r="BU14" s="33">
        <f>V51</f>
        <v>92</v>
      </c>
      <c r="BV14" s="33">
        <f>W51</f>
        <v>7245</v>
      </c>
      <c r="BW14" s="33">
        <f>Spawners!DK11</f>
        <v>7337</v>
      </c>
      <c r="BX14" s="85">
        <f t="shared" si="15"/>
        <v>1.2539184952978056E-2</v>
      </c>
      <c r="BY14" s="85">
        <f t="shared" si="16"/>
        <v>0.98746081504702199</v>
      </c>
      <c r="BZ14" s="85">
        <f t="shared" si="17"/>
        <v>1</v>
      </c>
      <c r="CB14" s="32">
        <v>2010</v>
      </c>
      <c r="CC14" s="132" t="s">
        <v>362</v>
      </c>
      <c r="CD14">
        <f t="shared" si="5"/>
        <v>515</v>
      </c>
      <c r="CE14" s="69">
        <f t="shared" si="6"/>
        <v>6.4576802507836986</v>
      </c>
      <c r="CF14" s="69">
        <f t="shared" si="7"/>
        <v>508.54231974921635</v>
      </c>
      <c r="CH14" s="32">
        <v>2010</v>
      </c>
      <c r="CI14" s="33">
        <f t="shared" si="18"/>
        <v>7245</v>
      </c>
      <c r="CJ14" s="85">
        <v>1.2E-2</v>
      </c>
      <c r="CK14" s="69">
        <f t="shared" si="19"/>
        <v>86.94</v>
      </c>
      <c r="CL14" s="69"/>
      <c r="CM14" s="32">
        <v>2010</v>
      </c>
      <c r="CN14" s="69">
        <f t="shared" si="20"/>
        <v>86.94</v>
      </c>
      <c r="CO14" s="69">
        <f t="shared" si="8"/>
        <v>29.8</v>
      </c>
      <c r="CP14">
        <v>89</v>
      </c>
      <c r="CQ14">
        <v>44</v>
      </c>
      <c r="CR14" s="69">
        <f t="shared" si="21"/>
        <v>249.74</v>
      </c>
      <c r="CT14" s="32">
        <v>2010</v>
      </c>
      <c r="CU14" s="33">
        <f t="shared" si="9"/>
        <v>8003.2823197492162</v>
      </c>
      <c r="CW14" s="32">
        <v>2010</v>
      </c>
      <c r="CX14" s="85">
        <f t="shared" si="22"/>
        <v>1.0863043002427068E-2</v>
      </c>
      <c r="CY14" s="80">
        <f t="shared" si="10"/>
        <v>3.7234722966681235E-3</v>
      </c>
      <c r="CZ14" s="80">
        <f t="shared" si="11"/>
        <v>1.1120437396089361E-2</v>
      </c>
      <c r="DA14" s="80">
        <f t="shared" si="12"/>
        <v>5.4977443306509204E-3</v>
      </c>
      <c r="DB14" s="80">
        <f t="shared" si="13"/>
        <v>3.1204697025835476E-2</v>
      </c>
    </row>
    <row r="15" spans="15:106" x14ac:dyDescent="0.3">
      <c r="O15" s="166">
        <v>1957</v>
      </c>
      <c r="P15" s="174">
        <v>7500</v>
      </c>
      <c r="Q15" s="167">
        <v>0</v>
      </c>
      <c r="R15" s="167">
        <f t="shared" si="0"/>
        <v>7500</v>
      </c>
      <c r="S15" s="167">
        <v>0</v>
      </c>
      <c r="U15" s="43" t="s">
        <v>1</v>
      </c>
      <c r="V15" s="43">
        <f>SUM(V8:V14)</f>
        <v>167</v>
      </c>
      <c r="W15" s="43">
        <f>SUM(W8:W14)</f>
        <v>5307</v>
      </c>
      <c r="X15" s="43">
        <f>SUM(X8:X14)</f>
        <v>5474</v>
      </c>
      <c r="AA15" s="43" t="s">
        <v>1</v>
      </c>
      <c r="AB15" s="43">
        <f>SUM(AB8:AB14)</f>
        <v>258</v>
      </c>
      <c r="AC15" s="43">
        <f>SUM(AC8:AC14)</f>
        <v>7358</v>
      </c>
      <c r="AD15" s="43" t="s">
        <v>366</v>
      </c>
      <c r="AG15" s="95">
        <v>2011</v>
      </c>
      <c r="AH15" s="95"/>
      <c r="AI15" s="95">
        <v>752</v>
      </c>
      <c r="AJ15" s="95">
        <v>107</v>
      </c>
      <c r="AK15" s="96">
        <v>115051</v>
      </c>
      <c r="AL15" s="97">
        <v>6.5362317580898903E-3</v>
      </c>
      <c r="AM15" s="97">
        <v>7.4662540960095955E-3</v>
      </c>
      <c r="AN15" s="95"/>
      <c r="AO15" s="95">
        <v>103</v>
      </c>
      <c r="AP15" s="95">
        <v>38</v>
      </c>
      <c r="AQ15" s="96">
        <v>8468</v>
      </c>
      <c r="AR15" s="97">
        <v>1.216343882853094E-2</v>
      </c>
      <c r="AS15" s="97">
        <v>1.6650921114785073E-2</v>
      </c>
      <c r="AT15" s="95"/>
      <c r="AU15" s="96">
        <v>855</v>
      </c>
      <c r="AV15" s="95">
        <v>145</v>
      </c>
      <c r="AW15" s="96">
        <v>123519</v>
      </c>
      <c r="AX15" s="97">
        <v>6.9220119981541301E-3</v>
      </c>
      <c r="AY15" s="97">
        <v>8.0959204656773451E-3</v>
      </c>
      <c r="AZ15" s="88">
        <v>1235.19</v>
      </c>
      <c r="BB15" s="107">
        <f t="shared" si="14"/>
        <v>14.5</v>
      </c>
      <c r="BC15" s="69"/>
      <c r="BS15" s="80"/>
      <c r="BT15" s="32" t="s">
        <v>197</v>
      </c>
      <c r="BU15" s="33">
        <f>V63</f>
        <v>118</v>
      </c>
      <c r="BV15" s="33">
        <f>W63</f>
        <v>7323</v>
      </c>
      <c r="BW15" s="33">
        <f>Spawners!DK12</f>
        <v>7441</v>
      </c>
      <c r="BX15" s="85">
        <f>BU15/BW15</f>
        <v>1.5858083590915201E-2</v>
      </c>
      <c r="BY15" s="85">
        <f>BV15/BW15</f>
        <v>0.98414191640908477</v>
      </c>
      <c r="BZ15" s="85">
        <f t="shared" si="17"/>
        <v>1</v>
      </c>
      <c r="CB15" s="32">
        <v>2011</v>
      </c>
      <c r="CC15" s="132" t="s">
        <v>362</v>
      </c>
      <c r="CD15">
        <f t="shared" si="5"/>
        <v>581</v>
      </c>
      <c r="CE15" s="69">
        <f t="shared" si="6"/>
        <v>9.2135465663217317</v>
      </c>
      <c r="CF15" s="69">
        <f t="shared" si="7"/>
        <v>571.78645343367828</v>
      </c>
      <c r="CH15" s="32">
        <v>2011</v>
      </c>
      <c r="CI15" s="33">
        <f t="shared" si="18"/>
        <v>7323</v>
      </c>
      <c r="CJ15" s="85">
        <v>1.2E-2</v>
      </c>
      <c r="CK15" s="69">
        <f t="shared" si="19"/>
        <v>87.876000000000005</v>
      </c>
      <c r="CL15" s="69"/>
      <c r="CM15" s="32">
        <v>2011</v>
      </c>
      <c r="CN15" s="69">
        <f t="shared" si="20"/>
        <v>87.876000000000005</v>
      </c>
      <c r="CO15" s="69">
        <f t="shared" si="8"/>
        <v>14.5</v>
      </c>
      <c r="CP15">
        <v>23</v>
      </c>
      <c r="CQ15">
        <v>81</v>
      </c>
      <c r="CR15" s="69">
        <f t="shared" si="21"/>
        <v>206.376</v>
      </c>
      <c r="CT15" s="32">
        <v>2011</v>
      </c>
      <c r="CU15" s="33">
        <f t="shared" si="9"/>
        <v>8101.1624534336779</v>
      </c>
      <c r="CW15" s="32">
        <v>2011</v>
      </c>
      <c r="CX15" s="85">
        <f t="shared" si="22"/>
        <v>1.0847332158208203E-2</v>
      </c>
      <c r="CY15" s="80">
        <f t="shared" si="10"/>
        <v>1.7898665880788718E-3</v>
      </c>
      <c r="CZ15" s="80">
        <f t="shared" si="11"/>
        <v>2.8390987259182105E-3</v>
      </c>
      <c r="DA15" s="80">
        <f t="shared" si="12"/>
        <v>9.9985650782336982E-3</v>
      </c>
      <c r="DB15" s="80">
        <f t="shared" si="13"/>
        <v>2.5474862550438983E-2</v>
      </c>
    </row>
    <row r="16" spans="15:106" x14ac:dyDescent="0.3">
      <c r="O16" s="166">
        <v>1958</v>
      </c>
      <c r="P16" s="174">
        <v>5500</v>
      </c>
      <c r="Q16" s="167">
        <v>0</v>
      </c>
      <c r="R16" s="167">
        <f t="shared" si="0"/>
        <v>5500</v>
      </c>
      <c r="S16" s="167">
        <v>0</v>
      </c>
      <c r="AG16" s="95">
        <v>2012</v>
      </c>
      <c r="AH16" s="95"/>
      <c r="AI16" s="95">
        <v>967</v>
      </c>
      <c r="AJ16" s="95">
        <v>166</v>
      </c>
      <c r="AK16" s="96">
        <v>102059</v>
      </c>
      <c r="AL16" s="97">
        <v>9.4749115707580909E-3</v>
      </c>
      <c r="AM16" s="97">
        <v>1.1101421726648311E-2</v>
      </c>
      <c r="AN16" s="95"/>
      <c r="AO16" s="95">
        <v>147</v>
      </c>
      <c r="AP16" s="95">
        <v>29</v>
      </c>
      <c r="AQ16" s="96">
        <v>6196</v>
      </c>
      <c r="AR16" s="97">
        <v>2.3724983860555198E-2</v>
      </c>
      <c r="AS16" s="97">
        <v>2.8405422853453842E-2</v>
      </c>
      <c r="AT16" s="95"/>
      <c r="AU16" s="96">
        <v>1114</v>
      </c>
      <c r="AV16" s="95">
        <v>195</v>
      </c>
      <c r="AW16" s="96">
        <v>108255</v>
      </c>
      <c r="AX16" s="97">
        <v>1.0290517758994965E-2</v>
      </c>
      <c r="AY16" s="97">
        <v>1.209182023924992E-2</v>
      </c>
      <c r="AZ16" s="88">
        <v>1082.55</v>
      </c>
      <c r="BB16" s="107">
        <f t="shared" si="14"/>
        <v>19.5</v>
      </c>
      <c r="BC16" s="69"/>
      <c r="BS16" s="80"/>
      <c r="BT16" s="32" t="s">
        <v>190</v>
      </c>
      <c r="BU16" s="33">
        <f>AB15</f>
        <v>258</v>
      </c>
      <c r="BV16" s="33">
        <f>AC15</f>
        <v>7358</v>
      </c>
      <c r="BW16" s="33">
        <f>Spawners!DK13</f>
        <v>7616</v>
      </c>
      <c r="BX16" s="85">
        <f>BU16/BW16</f>
        <v>3.3876050420168065E-2</v>
      </c>
      <c r="BY16" s="85">
        <f>BV16/BW16</f>
        <v>0.96612394957983194</v>
      </c>
      <c r="BZ16" s="85">
        <f t="shared" si="17"/>
        <v>1</v>
      </c>
      <c r="CB16" s="32">
        <v>2012</v>
      </c>
      <c r="CC16" s="132" t="s">
        <v>362</v>
      </c>
      <c r="CD16">
        <f t="shared" si="5"/>
        <v>647</v>
      </c>
      <c r="CE16" s="69">
        <f t="shared" si="6"/>
        <v>21.917804621848738</v>
      </c>
      <c r="CF16" s="69">
        <f t="shared" si="7"/>
        <v>625.08219537815125</v>
      </c>
      <c r="CH16" s="32">
        <v>2012</v>
      </c>
      <c r="CI16" s="33">
        <f t="shared" si="18"/>
        <v>7358</v>
      </c>
      <c r="CJ16" s="85">
        <v>1.2E-2</v>
      </c>
      <c r="CK16" s="69">
        <f t="shared" si="19"/>
        <v>88.296000000000006</v>
      </c>
      <c r="CL16" s="69"/>
      <c r="CM16" s="32">
        <v>2012</v>
      </c>
      <c r="CN16" s="69">
        <f t="shared" si="20"/>
        <v>88.296000000000006</v>
      </c>
      <c r="CO16" s="69">
        <f t="shared" si="8"/>
        <v>19.5</v>
      </c>
      <c r="CP16">
        <v>70</v>
      </c>
      <c r="CQ16">
        <v>59</v>
      </c>
      <c r="CR16" s="69">
        <f t="shared" si="21"/>
        <v>236.79599999999999</v>
      </c>
      <c r="CT16" s="32">
        <v>2012</v>
      </c>
      <c r="CU16" s="33">
        <f t="shared" si="9"/>
        <v>8219.8781953781508</v>
      </c>
      <c r="CW16" s="32">
        <v>2012</v>
      </c>
      <c r="CX16" s="85">
        <f t="shared" si="22"/>
        <v>1.0741765011754898E-2</v>
      </c>
      <c r="CY16" s="80">
        <f t="shared" si="10"/>
        <v>2.3722979266243148E-3</v>
      </c>
      <c r="CZ16" s="80">
        <f t="shared" si="11"/>
        <v>8.5159412750616427E-3</v>
      </c>
      <c r="DA16" s="80">
        <f t="shared" si="12"/>
        <v>7.1777219318376701E-3</v>
      </c>
      <c r="DB16" s="80">
        <f t="shared" si="13"/>
        <v>2.8807726145278521E-2</v>
      </c>
    </row>
    <row r="17" spans="15:109" x14ac:dyDescent="0.3">
      <c r="O17" s="166">
        <v>1959</v>
      </c>
      <c r="P17" s="174">
        <v>3700</v>
      </c>
      <c r="Q17" s="167">
        <v>0</v>
      </c>
      <c r="R17" s="167">
        <f t="shared" si="0"/>
        <v>3700</v>
      </c>
      <c r="S17" s="167">
        <v>0</v>
      </c>
      <c r="V17" s="237" t="s">
        <v>264</v>
      </c>
      <c r="W17" s="237"/>
      <c r="X17" s="237"/>
      <c r="Y17" s="237"/>
      <c r="Z17" s="32"/>
      <c r="AB17" s="237" t="s">
        <v>177</v>
      </c>
      <c r="AC17" s="237"/>
      <c r="AD17" s="237"/>
      <c r="AE17" s="237"/>
      <c r="AF17" s="32"/>
      <c r="AG17" s="95">
        <v>2013</v>
      </c>
      <c r="AH17" s="95"/>
      <c r="AI17" s="95">
        <v>473</v>
      </c>
      <c r="AJ17" s="95">
        <v>157</v>
      </c>
      <c r="AK17" s="96">
        <v>93353</v>
      </c>
      <c r="AL17" s="97">
        <v>5.0667894979272224E-3</v>
      </c>
      <c r="AM17" s="97">
        <v>6.7485779782117342E-3</v>
      </c>
      <c r="AN17" s="95"/>
      <c r="AO17" s="95">
        <v>14</v>
      </c>
      <c r="AP17" s="95">
        <v>1</v>
      </c>
      <c r="AQ17" s="96">
        <v>5607</v>
      </c>
      <c r="AR17" s="97">
        <v>2.4968789013732834E-3</v>
      </c>
      <c r="AS17" s="97">
        <v>2.6752273943285178E-3</v>
      </c>
      <c r="AT17" s="95"/>
      <c r="AU17" s="96">
        <v>487</v>
      </c>
      <c r="AV17" s="95">
        <v>158</v>
      </c>
      <c r="AW17" s="96">
        <v>98960</v>
      </c>
      <c r="AX17" s="97">
        <v>4.921180274858529E-3</v>
      </c>
      <c r="AY17" s="97">
        <v>6.5177849636216655E-3</v>
      </c>
      <c r="AZ17" s="88">
        <v>989.6</v>
      </c>
      <c r="BB17" s="107">
        <f t="shared" si="14"/>
        <v>15.8</v>
      </c>
      <c r="BC17" s="69"/>
      <c r="BS17" s="80"/>
      <c r="BT17" s="32" t="s">
        <v>191</v>
      </c>
      <c r="BU17" s="33">
        <f>AB27</f>
        <v>146</v>
      </c>
      <c r="BV17" s="33">
        <f>AC27</f>
        <v>4798</v>
      </c>
      <c r="BW17" s="33">
        <f>Spawners!DK14</f>
        <v>4944</v>
      </c>
      <c r="BX17" s="85">
        <f>BU17/BW17</f>
        <v>2.9530744336569579E-2</v>
      </c>
      <c r="BY17" s="85">
        <f>BV17/BW17</f>
        <v>0.97046925566343045</v>
      </c>
      <c r="BZ17" s="85">
        <f t="shared" si="17"/>
        <v>1</v>
      </c>
      <c r="CB17" s="32">
        <v>2013</v>
      </c>
      <c r="CC17" s="132" t="s">
        <v>362</v>
      </c>
      <c r="CD17">
        <f t="shared" si="5"/>
        <v>713</v>
      </c>
      <c r="CE17" s="69">
        <f t="shared" si="6"/>
        <v>21.055420711974111</v>
      </c>
      <c r="CF17" s="69">
        <f t="shared" si="7"/>
        <v>691.94457928802592</v>
      </c>
      <c r="CH17" s="32">
        <v>2013</v>
      </c>
      <c r="CI17" s="33">
        <f t="shared" si="18"/>
        <v>4798</v>
      </c>
      <c r="CJ17" s="85">
        <v>1.2E-2</v>
      </c>
      <c r="CK17" s="69">
        <f t="shared" si="19"/>
        <v>57.576000000000001</v>
      </c>
      <c r="CL17" s="69"/>
      <c r="CM17" s="32">
        <v>2013</v>
      </c>
      <c r="CN17" s="69">
        <f t="shared" si="20"/>
        <v>57.576000000000001</v>
      </c>
      <c r="CO17" s="69">
        <f t="shared" si="8"/>
        <v>15.8</v>
      </c>
      <c r="CP17">
        <v>27</v>
      </c>
      <c r="CQ17">
        <v>22</v>
      </c>
      <c r="CR17" s="69">
        <f t="shared" si="21"/>
        <v>122.376</v>
      </c>
      <c r="CT17" s="32">
        <v>2013</v>
      </c>
      <c r="CU17" s="33">
        <f t="shared" si="9"/>
        <v>5612.3205792880262</v>
      </c>
      <c r="CW17" s="32">
        <v>2013</v>
      </c>
      <c r="CX17" s="85">
        <f t="shared" si="22"/>
        <v>1.0258858022558654E-2</v>
      </c>
      <c r="CY17" s="80">
        <f t="shared" si="10"/>
        <v>2.8152347637284067E-3</v>
      </c>
      <c r="CZ17" s="80">
        <f t="shared" si="11"/>
        <v>4.8108442164979098E-3</v>
      </c>
      <c r="DA17" s="80">
        <f t="shared" si="12"/>
        <v>3.9199471393686677E-3</v>
      </c>
      <c r="DB17" s="80">
        <f t="shared" si="13"/>
        <v>2.180488414215364E-2</v>
      </c>
    </row>
    <row r="18" spans="15:109" x14ac:dyDescent="0.3">
      <c r="O18" s="168">
        <v>1960</v>
      </c>
      <c r="P18" s="169">
        <v>2200</v>
      </c>
      <c r="Q18" s="170">
        <v>0</v>
      </c>
      <c r="R18" s="167">
        <f t="shared" si="0"/>
        <v>2200</v>
      </c>
      <c r="S18" s="170">
        <v>0</v>
      </c>
      <c r="U18" t="s">
        <v>166</v>
      </c>
      <c r="V18" s="62" t="s">
        <v>167</v>
      </c>
      <c r="W18" s="62" t="s">
        <v>168</v>
      </c>
      <c r="X18" s="62" t="s">
        <v>1</v>
      </c>
      <c r="Y18" s="62" t="s">
        <v>169</v>
      </c>
      <c r="Z18" s="62"/>
      <c r="AA18" t="s">
        <v>166</v>
      </c>
      <c r="AB18" s="62" t="s">
        <v>167</v>
      </c>
      <c r="AC18" s="62" t="s">
        <v>168</v>
      </c>
      <c r="AD18" s="62" t="s">
        <v>1</v>
      </c>
      <c r="AE18" s="62" t="s">
        <v>169</v>
      </c>
      <c r="AF18" s="62"/>
      <c r="AG18" s="95">
        <v>2014</v>
      </c>
      <c r="AH18" s="95"/>
      <c r="AI18" s="95">
        <v>319</v>
      </c>
      <c r="AJ18" s="95">
        <v>293</v>
      </c>
      <c r="AK18" s="96">
        <v>71055</v>
      </c>
      <c r="AL18" s="97">
        <v>4.4894799802969532E-3</v>
      </c>
      <c r="AM18" s="97">
        <v>8.6130462317922738E-3</v>
      </c>
      <c r="AN18" s="95"/>
      <c r="AO18" s="95">
        <v>95</v>
      </c>
      <c r="AP18" s="95">
        <v>42</v>
      </c>
      <c r="AQ18" s="96">
        <v>6020</v>
      </c>
      <c r="AR18" s="97">
        <v>1.5780730897009966E-2</v>
      </c>
      <c r="AS18" s="97">
        <v>2.2757475083056478E-2</v>
      </c>
      <c r="AT18" s="95"/>
      <c r="AU18" s="96">
        <v>414</v>
      </c>
      <c r="AV18" s="95">
        <v>335</v>
      </c>
      <c r="AW18" s="96">
        <v>77075</v>
      </c>
      <c r="AX18" s="97">
        <v>5.3713915017839769E-3</v>
      </c>
      <c r="AY18" s="97">
        <v>9.7178073305222192E-3</v>
      </c>
      <c r="AZ18" s="88">
        <v>770.75</v>
      </c>
      <c r="BB18" s="107">
        <f t="shared" si="14"/>
        <v>33.5</v>
      </c>
      <c r="BC18" s="69"/>
      <c r="BS18" s="80"/>
      <c r="BT18" s="32" t="s">
        <v>192</v>
      </c>
      <c r="BU18" s="33">
        <f>AB39</f>
        <v>15</v>
      </c>
      <c r="BV18" s="33">
        <f>AC39</f>
        <v>5334</v>
      </c>
      <c r="BW18" s="33">
        <f>Spawners!DK15</f>
        <v>5349</v>
      </c>
      <c r="BX18" s="85">
        <f>BU18/BW18</f>
        <v>2.8042624789680315E-3</v>
      </c>
      <c r="BY18" s="85">
        <f>BV18/BW18</f>
        <v>0.99719573752103197</v>
      </c>
      <c r="BZ18" s="85">
        <f t="shared" si="17"/>
        <v>1</v>
      </c>
      <c r="CB18" s="32">
        <v>2014</v>
      </c>
      <c r="CC18" s="132" t="s">
        <v>360</v>
      </c>
      <c r="CD18">
        <v>780</v>
      </c>
      <c r="CE18" s="69">
        <f t="shared" si="6"/>
        <v>2.1873247335950645</v>
      </c>
      <c r="CF18" s="69">
        <f t="shared" si="7"/>
        <v>777.81267526640488</v>
      </c>
      <c r="CH18" s="32">
        <v>2014</v>
      </c>
      <c r="CI18" s="33">
        <f t="shared" si="18"/>
        <v>5334</v>
      </c>
      <c r="CJ18" s="85">
        <v>1.2E-2</v>
      </c>
      <c r="CK18" s="69">
        <f t="shared" si="19"/>
        <v>64.007999999999996</v>
      </c>
      <c r="CL18" s="69"/>
      <c r="CM18" s="32">
        <v>2014</v>
      </c>
      <c r="CN18" s="69">
        <f t="shared" si="20"/>
        <v>64.007999999999996</v>
      </c>
      <c r="CO18" s="69">
        <f t="shared" si="8"/>
        <v>33.5</v>
      </c>
      <c r="CP18">
        <v>58</v>
      </c>
      <c r="CQ18">
        <v>39</v>
      </c>
      <c r="CR18" s="69">
        <f t="shared" si="21"/>
        <v>194.50799999999998</v>
      </c>
      <c r="CT18" s="32">
        <v>2014</v>
      </c>
      <c r="CU18" s="33">
        <f t="shared" si="9"/>
        <v>6306.3206752664046</v>
      </c>
      <c r="CW18" s="32">
        <v>2014</v>
      </c>
      <c r="CX18" s="85">
        <f t="shared" si="22"/>
        <v>1.0149816873575976E-2</v>
      </c>
      <c r="CY18" s="80">
        <f t="shared" si="10"/>
        <v>5.3121307534182479E-3</v>
      </c>
      <c r="CZ18" s="80">
        <f t="shared" si="11"/>
        <v>9.197121901440548E-3</v>
      </c>
      <c r="DA18" s="80">
        <f t="shared" si="12"/>
        <v>6.1842716233824375E-3</v>
      </c>
      <c r="DB18" s="80">
        <f t="shared" si="13"/>
        <v>3.0843341151817208E-2</v>
      </c>
    </row>
    <row r="19" spans="15:109" x14ac:dyDescent="0.3">
      <c r="O19" s="171">
        <v>1961</v>
      </c>
      <c r="P19" s="172">
        <v>6500</v>
      </c>
      <c r="Q19" s="173">
        <v>0</v>
      </c>
      <c r="R19" s="167">
        <f t="shared" si="0"/>
        <v>6500</v>
      </c>
      <c r="S19" s="173">
        <v>0</v>
      </c>
      <c r="AG19" s="95">
        <v>2015</v>
      </c>
      <c r="AH19" s="95"/>
      <c r="AI19" s="95">
        <v>100</v>
      </c>
      <c r="AJ19" s="95">
        <v>61</v>
      </c>
      <c r="AK19" s="96">
        <v>88973</v>
      </c>
      <c r="AL19" s="97">
        <v>1.1239364751104268E-3</v>
      </c>
      <c r="AM19" s="97">
        <v>1.809537724927787E-3</v>
      </c>
      <c r="AN19" s="95"/>
      <c r="AO19" s="95">
        <v>38</v>
      </c>
      <c r="AP19" s="95">
        <v>20</v>
      </c>
      <c r="AQ19" s="96">
        <v>5382</v>
      </c>
      <c r="AR19" s="97">
        <v>7.060572277963582E-3</v>
      </c>
      <c r="AS19" s="97">
        <v>1.0776662950575994E-2</v>
      </c>
      <c r="AT19" s="95"/>
      <c r="AU19" s="96">
        <v>138</v>
      </c>
      <c r="AV19" s="95">
        <v>81</v>
      </c>
      <c r="AW19" s="96">
        <v>94355</v>
      </c>
      <c r="AX19" s="97">
        <v>1.4625616024587992E-3</v>
      </c>
      <c r="AY19" s="97">
        <v>2.3210216734672246E-3</v>
      </c>
      <c r="AZ19" s="88">
        <v>943.55</v>
      </c>
      <c r="BB19" s="107">
        <f t="shared" si="14"/>
        <v>8.1</v>
      </c>
      <c r="BC19" s="69"/>
      <c r="BS19" s="80"/>
      <c r="BT19" s="32" t="s">
        <v>193</v>
      </c>
      <c r="BU19" s="33">
        <f>AB51</f>
        <v>21</v>
      </c>
      <c r="BV19" s="33">
        <f>AC51</f>
        <v>4484</v>
      </c>
      <c r="BW19" s="33">
        <f>Spawners!DK16</f>
        <v>4505</v>
      </c>
      <c r="BX19" s="85">
        <f t="shared" si="15"/>
        <v>4.661487236403996E-3</v>
      </c>
      <c r="BY19" s="85">
        <f t="shared" si="16"/>
        <v>0.99533851276359597</v>
      </c>
      <c r="BZ19" s="85">
        <f t="shared" si="17"/>
        <v>1</v>
      </c>
      <c r="CB19" s="32">
        <v>2015</v>
      </c>
      <c r="CC19" s="132" t="s">
        <v>360</v>
      </c>
      <c r="CD19">
        <v>557</v>
      </c>
      <c r="CE19" s="69">
        <f t="shared" si="6"/>
        <v>2.5964483906770259</v>
      </c>
      <c r="CF19" s="69">
        <f t="shared" si="7"/>
        <v>554.4035516093229</v>
      </c>
      <c r="CH19" s="32">
        <v>2015</v>
      </c>
      <c r="CI19" s="33">
        <f t="shared" si="18"/>
        <v>4484</v>
      </c>
      <c r="CJ19" s="85">
        <v>1.2E-2</v>
      </c>
      <c r="CK19" s="69">
        <f t="shared" si="19"/>
        <v>53.808</v>
      </c>
      <c r="CL19" s="69"/>
      <c r="CM19" s="32">
        <v>2015</v>
      </c>
      <c r="CN19" s="69">
        <f t="shared" si="20"/>
        <v>53.808</v>
      </c>
      <c r="CO19" s="69">
        <f t="shared" si="8"/>
        <v>8.1</v>
      </c>
      <c r="CP19">
        <v>52</v>
      </c>
      <c r="CQ19">
        <v>77</v>
      </c>
      <c r="CR19" s="69">
        <f t="shared" si="21"/>
        <v>190.90800000000002</v>
      </c>
      <c r="CT19" s="32">
        <v>2015</v>
      </c>
      <c r="CU19" s="33">
        <f t="shared" si="9"/>
        <v>5229.311551609323</v>
      </c>
      <c r="CW19" s="32">
        <v>2015</v>
      </c>
      <c r="CX19" s="85">
        <f t="shared" si="22"/>
        <v>1.0289690998318998E-2</v>
      </c>
      <c r="CY19" s="80">
        <f t="shared" si="10"/>
        <v>1.5489610668745146E-3</v>
      </c>
      <c r="CZ19" s="80">
        <f t="shared" si="11"/>
        <v>9.9439475898116976E-3</v>
      </c>
      <c r="DA19" s="80">
        <f t="shared" si="12"/>
        <v>1.4724691623375015E-2</v>
      </c>
      <c r="DB19" s="80">
        <f t="shared" si="13"/>
        <v>3.6507291278380226E-2</v>
      </c>
    </row>
    <row r="20" spans="15:109" x14ac:dyDescent="0.3">
      <c r="O20" s="166">
        <v>1962</v>
      </c>
      <c r="P20" s="174">
        <v>5900</v>
      </c>
      <c r="Q20" s="167">
        <v>0</v>
      </c>
      <c r="R20" s="167">
        <f t="shared" si="0"/>
        <v>5900</v>
      </c>
      <c r="S20" s="167">
        <v>0</v>
      </c>
      <c r="U20" t="s">
        <v>170</v>
      </c>
      <c r="V20">
        <v>4</v>
      </c>
      <c r="W20">
        <v>131</v>
      </c>
      <c r="X20">
        <f t="shared" ref="X20:X26" si="23">SUM(V20:W20)</f>
        <v>135</v>
      </c>
      <c r="Y20">
        <f>X20</f>
        <v>135</v>
      </c>
      <c r="AA20" t="s">
        <v>170</v>
      </c>
      <c r="AB20">
        <v>1</v>
      </c>
      <c r="AC20">
        <v>139</v>
      </c>
      <c r="AD20">
        <f t="shared" ref="AD20:AD26" si="24">SUM(AB20:AC20)</f>
        <v>140</v>
      </c>
      <c r="AE20">
        <f>AD20</f>
        <v>140</v>
      </c>
      <c r="AG20" s="95">
        <v>2016</v>
      </c>
      <c r="AH20" s="95"/>
      <c r="AI20" s="95">
        <v>344</v>
      </c>
      <c r="AJ20" s="95">
        <v>136</v>
      </c>
      <c r="AK20" s="96">
        <v>64007</v>
      </c>
      <c r="AL20" s="97">
        <v>5.3744121736685052E-3</v>
      </c>
      <c r="AM20" s="97">
        <v>7.4991797772118677E-3</v>
      </c>
      <c r="AN20" s="95"/>
      <c r="AO20" s="95">
        <v>13</v>
      </c>
      <c r="AP20" s="95">
        <v>20</v>
      </c>
      <c r="AQ20" s="96">
        <v>3852</v>
      </c>
      <c r="AR20" s="97">
        <v>3.3748701973001036E-3</v>
      </c>
      <c r="AS20" s="97">
        <v>8.5669781931464167E-3</v>
      </c>
      <c r="AT20" s="95"/>
      <c r="AU20" s="96">
        <v>357</v>
      </c>
      <c r="AV20" s="95">
        <v>156</v>
      </c>
      <c r="AW20" s="96">
        <v>67859</v>
      </c>
      <c r="AX20" s="97">
        <v>5.2609086488159271E-3</v>
      </c>
      <c r="AY20" s="97">
        <v>7.5597931003993576E-3</v>
      </c>
      <c r="AZ20" s="88">
        <v>678.59</v>
      </c>
      <c r="BB20" s="107">
        <f t="shared" si="14"/>
        <v>15.600000000000001</v>
      </c>
      <c r="BC20" s="69"/>
      <c r="BS20" s="80"/>
      <c r="BT20" s="32" t="s">
        <v>194</v>
      </c>
      <c r="BU20" s="33">
        <f>AB63</f>
        <v>242</v>
      </c>
      <c r="BV20" s="33">
        <f>AC63</f>
        <v>5536</v>
      </c>
      <c r="BW20" s="33">
        <f>Spawners!DK17</f>
        <v>5778</v>
      </c>
      <c r="BX20" s="85">
        <f t="shared" si="15"/>
        <v>4.1883004499826931E-2</v>
      </c>
      <c r="BY20" s="85">
        <f t="shared" si="16"/>
        <v>0.95811699550017304</v>
      </c>
      <c r="BZ20" s="85">
        <f t="shared" si="17"/>
        <v>1</v>
      </c>
      <c r="CB20" s="32">
        <v>2016</v>
      </c>
      <c r="CC20" s="132" t="s">
        <v>360</v>
      </c>
      <c r="CD20">
        <v>1488</v>
      </c>
      <c r="CE20" s="69">
        <f t="shared" si="6"/>
        <v>62.321910695742474</v>
      </c>
      <c r="CF20" s="69">
        <f t="shared" si="7"/>
        <v>1425.6780893042576</v>
      </c>
      <c r="CH20" s="32">
        <v>2016</v>
      </c>
      <c r="CI20" s="33">
        <f t="shared" si="18"/>
        <v>5536</v>
      </c>
      <c r="CJ20" s="85">
        <v>1.2E-2</v>
      </c>
      <c r="CK20" s="69">
        <f t="shared" si="19"/>
        <v>66.432000000000002</v>
      </c>
      <c r="CL20" s="69"/>
      <c r="CM20" s="32">
        <v>2016</v>
      </c>
      <c r="CN20" s="69">
        <f t="shared" si="20"/>
        <v>66.432000000000002</v>
      </c>
      <c r="CO20" s="69">
        <f t="shared" si="8"/>
        <v>15.600000000000001</v>
      </c>
      <c r="CP20">
        <v>48</v>
      </c>
      <c r="CQ20">
        <v>68</v>
      </c>
      <c r="CR20" s="69">
        <f t="shared" si="21"/>
        <v>198.03200000000001</v>
      </c>
      <c r="CT20" s="32">
        <v>2016</v>
      </c>
      <c r="CU20" s="33">
        <f t="shared" si="9"/>
        <v>7159.7100893042571</v>
      </c>
      <c r="CW20" s="32">
        <v>2016</v>
      </c>
      <c r="CX20" s="85">
        <f t="shared" si="22"/>
        <v>9.2785879835052803E-3</v>
      </c>
      <c r="CY20" s="80">
        <f t="shared" si="10"/>
        <v>2.1788591724271797E-3</v>
      </c>
      <c r="CZ20" s="80">
        <f t="shared" si="11"/>
        <v>6.7041820690067061E-3</v>
      </c>
      <c r="DA20" s="80">
        <f t="shared" si="12"/>
        <v>9.4975912644261664E-3</v>
      </c>
      <c r="DB20" s="80">
        <f t="shared" si="13"/>
        <v>2.7659220489365335E-2</v>
      </c>
    </row>
    <row r="21" spans="15:109" x14ac:dyDescent="0.3">
      <c r="O21" s="166">
        <v>1963</v>
      </c>
      <c r="P21" s="174">
        <v>1000</v>
      </c>
      <c r="Q21" s="167">
        <v>0</v>
      </c>
      <c r="R21" s="167">
        <f t="shared" si="0"/>
        <v>1000</v>
      </c>
      <c r="S21" s="167">
        <v>0</v>
      </c>
      <c r="U21" t="s">
        <v>171</v>
      </c>
      <c r="V21">
        <v>19</v>
      </c>
      <c r="W21">
        <v>610</v>
      </c>
      <c r="X21">
        <f t="shared" si="23"/>
        <v>629</v>
      </c>
      <c r="Y21">
        <f t="shared" ref="Y21:Y26" si="25">Y20+X21</f>
        <v>764</v>
      </c>
      <c r="AA21" t="s">
        <v>171</v>
      </c>
      <c r="AB21">
        <v>4</v>
      </c>
      <c r="AC21">
        <v>318</v>
      </c>
      <c r="AD21">
        <f t="shared" si="24"/>
        <v>322</v>
      </c>
      <c r="AE21">
        <f t="shared" ref="AE21:AE26" si="26">AE20+AD21</f>
        <v>462</v>
      </c>
      <c r="BT21" s="32" t="s">
        <v>195</v>
      </c>
      <c r="BU21" s="33">
        <f>AB75</f>
        <v>4</v>
      </c>
      <c r="BV21" s="33">
        <f>AC75</f>
        <v>817</v>
      </c>
      <c r="BW21" s="33">
        <f>Spawners!DK18</f>
        <v>821</v>
      </c>
      <c r="BX21" s="85">
        <f t="shared" si="15"/>
        <v>4.8721071863580996E-3</v>
      </c>
      <c r="BY21" s="85">
        <f t="shared" si="16"/>
        <v>0.99512789281364189</v>
      </c>
      <c r="BZ21" s="85">
        <f t="shared" si="17"/>
        <v>1</v>
      </c>
      <c r="CB21" s="32"/>
      <c r="CC21" s="132"/>
      <c r="CE21" s="69"/>
      <c r="CF21" s="69"/>
      <c r="CH21" s="32"/>
      <c r="CM21" s="32"/>
      <c r="CN21" s="32"/>
      <c r="CT21" s="32"/>
    </row>
    <row r="22" spans="15:109" x14ac:dyDescent="0.3">
      <c r="O22" s="166">
        <v>1964</v>
      </c>
      <c r="P22" s="167">
        <v>900</v>
      </c>
      <c r="Q22" s="167">
        <v>0</v>
      </c>
      <c r="R22" s="167">
        <f t="shared" si="0"/>
        <v>900</v>
      </c>
      <c r="S22" s="167">
        <v>0</v>
      </c>
      <c r="U22" t="s">
        <v>172</v>
      </c>
      <c r="V22">
        <v>24</v>
      </c>
      <c r="W22">
        <v>529</v>
      </c>
      <c r="X22">
        <f t="shared" si="23"/>
        <v>553</v>
      </c>
      <c r="Y22">
        <f t="shared" si="25"/>
        <v>1317</v>
      </c>
      <c r="AA22" t="s">
        <v>172</v>
      </c>
      <c r="AB22">
        <v>15</v>
      </c>
      <c r="AC22">
        <v>415</v>
      </c>
      <c r="AD22">
        <f t="shared" si="24"/>
        <v>430</v>
      </c>
      <c r="AE22">
        <f t="shared" si="26"/>
        <v>892</v>
      </c>
      <c r="BB22" s="107">
        <f>AVERAGE(BB11:BB20)</f>
        <v>17.36</v>
      </c>
      <c r="BS22" s="80"/>
      <c r="BT22" s="32" t="s">
        <v>196</v>
      </c>
      <c r="BU22" s="33">
        <f>AB87</f>
        <v>4</v>
      </c>
      <c r="BV22" s="33">
        <f>AC87</f>
        <v>1825</v>
      </c>
      <c r="BW22" s="33">
        <f>Spawners!DK19</f>
        <v>1829</v>
      </c>
      <c r="BX22" s="85">
        <f t="shared" si="15"/>
        <v>2.1869874248223072E-3</v>
      </c>
      <c r="BY22" s="85">
        <f t="shared" si="16"/>
        <v>0.99781301257517774</v>
      </c>
      <c r="BZ22" s="85">
        <f t="shared" si="17"/>
        <v>1</v>
      </c>
      <c r="CB22" s="139" t="s">
        <v>372</v>
      </c>
      <c r="CC22" s="143"/>
      <c r="CD22" s="43">
        <f>AVERAGE(CD11:CD20)</f>
        <v>643</v>
      </c>
      <c r="CE22" s="69"/>
      <c r="CF22" s="69"/>
      <c r="CG22" s="134"/>
      <c r="CH22" s="139" t="s">
        <v>372</v>
      </c>
      <c r="CI22" s="147">
        <f>AVERAGE(CI11:CI20)</f>
        <v>5476.2</v>
      </c>
      <c r="CJ22" s="134"/>
      <c r="CK22" s="134"/>
      <c r="CL22" s="134"/>
      <c r="CM22" s="139" t="s">
        <v>372</v>
      </c>
      <c r="CN22" s="144">
        <f>AVERAGE(CN12:CN20)</f>
        <v>65.94</v>
      </c>
      <c r="CO22" s="140">
        <f>AVERAGE(CO11:CO20)</f>
        <v>17.36</v>
      </c>
      <c r="CP22" s="140">
        <f>AVERAGE(CP11:CP20)</f>
        <v>45.5</v>
      </c>
      <c r="CQ22" s="140">
        <f>AVERAGE(CQ11:CQ20)</f>
        <v>46.8</v>
      </c>
      <c r="CR22" s="148">
        <f>AVERAGE(CR11:CR20)</f>
        <v>175.37439999999998</v>
      </c>
      <c r="CS22" s="130"/>
      <c r="CT22" s="139" t="s">
        <v>372</v>
      </c>
      <c r="CU22" s="142">
        <f>AVERAGE(CU11:CU20)</f>
        <v>6277.1942965106773</v>
      </c>
      <c r="CW22" s="43" t="s">
        <v>372</v>
      </c>
      <c r="CX22" s="145">
        <f>AVERAGE(CX11:CX20)</f>
        <v>1.0445787124661231E-2</v>
      </c>
      <c r="CY22" s="133">
        <f>AVERAGE(CY11:CY20)</f>
        <v>2.6949268144389488E-3</v>
      </c>
      <c r="CZ22" s="133">
        <f>AVERAGE(CZ11:CZ20)</f>
        <v>6.905046132211011E-3</v>
      </c>
      <c r="DA22" s="133">
        <f>AVERAGE(DA11:DA20)</f>
        <v>7.4016945528500924E-3</v>
      </c>
      <c r="DB22" s="133">
        <f>AVERAGE(DB11:DB20)</f>
        <v>2.7447454624161281E-2</v>
      </c>
      <c r="DC22" s="80"/>
      <c r="DD22" s="97"/>
      <c r="DE22" s="88"/>
    </row>
    <row r="23" spans="15:109" x14ac:dyDescent="0.3">
      <c r="O23" s="166">
        <v>1965</v>
      </c>
      <c r="P23" s="174">
        <v>1500</v>
      </c>
      <c r="Q23" s="167">
        <v>0</v>
      </c>
      <c r="R23" s="167">
        <f t="shared" si="0"/>
        <v>1500</v>
      </c>
      <c r="S23" s="167">
        <v>0</v>
      </c>
      <c r="U23" t="s">
        <v>173</v>
      </c>
      <c r="V23">
        <v>169</v>
      </c>
      <c r="W23">
        <v>1111</v>
      </c>
      <c r="X23">
        <f t="shared" si="23"/>
        <v>1280</v>
      </c>
      <c r="Y23">
        <f t="shared" si="25"/>
        <v>2597</v>
      </c>
      <c r="AA23" t="s">
        <v>173</v>
      </c>
      <c r="AB23">
        <v>117</v>
      </c>
      <c r="AC23">
        <v>595</v>
      </c>
      <c r="AD23">
        <f t="shared" si="24"/>
        <v>712</v>
      </c>
      <c r="AE23">
        <f t="shared" si="26"/>
        <v>1604</v>
      </c>
      <c r="BX23" s="70"/>
      <c r="BY23" s="70"/>
      <c r="CD23" s="69"/>
      <c r="CG23" s="53"/>
      <c r="CH23" s="32"/>
      <c r="CI23" s="53"/>
      <c r="CJ23" s="53"/>
      <c r="CK23" s="53"/>
      <c r="CL23" s="53"/>
      <c r="CM23" s="32"/>
      <c r="CN23" s="32"/>
      <c r="CO23" s="53"/>
      <c r="CP23" s="130"/>
      <c r="CQ23" s="130"/>
      <c r="CR23" s="130"/>
      <c r="CS23" s="130"/>
      <c r="CT23" s="32"/>
      <c r="CU23" s="136"/>
      <c r="DD23" s="97"/>
      <c r="DE23" s="88"/>
    </row>
    <row r="24" spans="15:109" x14ac:dyDescent="0.3">
      <c r="O24" s="166">
        <v>1966</v>
      </c>
      <c r="P24" s="174">
        <v>14700</v>
      </c>
      <c r="Q24" s="167">
        <v>0</v>
      </c>
      <c r="R24" s="167">
        <f t="shared" si="0"/>
        <v>14700</v>
      </c>
      <c r="S24" s="167">
        <v>0</v>
      </c>
      <c r="U24" t="s">
        <v>174</v>
      </c>
      <c r="V24">
        <v>0</v>
      </c>
      <c r="W24">
        <v>948</v>
      </c>
      <c r="X24">
        <f t="shared" si="23"/>
        <v>948</v>
      </c>
      <c r="Y24">
        <f t="shared" si="25"/>
        <v>3545</v>
      </c>
      <c r="AA24" t="s">
        <v>174</v>
      </c>
      <c r="AB24">
        <v>1</v>
      </c>
      <c r="AC24">
        <v>2007</v>
      </c>
      <c r="AD24">
        <f t="shared" si="24"/>
        <v>2008</v>
      </c>
      <c r="AE24">
        <f t="shared" si="26"/>
        <v>3612</v>
      </c>
      <c r="CB24" s="244" t="s">
        <v>357</v>
      </c>
      <c r="CC24" s="244"/>
      <c r="CD24" s="244"/>
      <c r="CE24" s="244"/>
      <c r="CF24" s="244"/>
      <c r="CG24" s="53"/>
      <c r="CH24" s="32"/>
      <c r="CI24" s="53"/>
      <c r="CJ24" s="53"/>
      <c r="CK24" s="53"/>
      <c r="CL24" s="53"/>
      <c r="CM24" s="32"/>
      <c r="CN24" s="32"/>
      <c r="CO24" s="53"/>
      <c r="CP24" s="130"/>
      <c r="CQ24" s="130"/>
      <c r="CR24" s="130"/>
      <c r="CS24" s="130"/>
      <c r="CT24" s="32"/>
      <c r="CU24" s="136"/>
      <c r="CV24" s="134"/>
      <c r="CW24" s="134"/>
      <c r="CX24" s="134"/>
      <c r="CY24" s="130"/>
      <c r="CZ24" s="136"/>
      <c r="DA24" s="130"/>
      <c r="DB24" s="136"/>
      <c r="DC24" s="97"/>
      <c r="DD24" s="97"/>
      <c r="DE24" s="88"/>
    </row>
    <row r="25" spans="15:109" x14ac:dyDescent="0.3">
      <c r="O25" s="166">
        <v>1967</v>
      </c>
      <c r="P25" s="174">
        <v>14600</v>
      </c>
      <c r="Q25" s="167">
        <v>0</v>
      </c>
      <c r="R25" s="167">
        <f t="shared" si="0"/>
        <v>14600</v>
      </c>
      <c r="S25" s="167">
        <v>0</v>
      </c>
      <c r="U25" t="s">
        <v>175</v>
      </c>
      <c r="V25">
        <v>0</v>
      </c>
      <c r="W25">
        <v>1066</v>
      </c>
      <c r="X25">
        <f t="shared" si="23"/>
        <v>1066</v>
      </c>
      <c r="Y25">
        <f t="shared" si="25"/>
        <v>4611</v>
      </c>
      <c r="AA25" t="s">
        <v>175</v>
      </c>
      <c r="AB25">
        <v>8</v>
      </c>
      <c r="AC25">
        <v>981</v>
      </c>
      <c r="AD25">
        <f t="shared" si="24"/>
        <v>989</v>
      </c>
      <c r="AE25">
        <f t="shared" si="26"/>
        <v>4601</v>
      </c>
      <c r="CB25" s="244"/>
      <c r="CC25" s="244"/>
      <c r="CD25" s="244"/>
      <c r="CE25" s="244"/>
      <c r="CF25" s="244"/>
      <c r="CG25" s="134"/>
      <c r="CI25" s="134"/>
      <c r="CJ25" s="134"/>
      <c r="CK25" s="134"/>
      <c r="CL25" s="134"/>
      <c r="CO25" s="134"/>
      <c r="CP25" s="130"/>
      <c r="CQ25" s="130"/>
      <c r="CR25" s="130"/>
      <c r="CS25" s="130"/>
      <c r="CU25" s="136"/>
      <c r="CV25" s="134"/>
      <c r="CW25" s="134"/>
      <c r="CX25" s="134"/>
      <c r="CY25" s="130"/>
      <c r="CZ25" s="136"/>
      <c r="DA25" s="130"/>
      <c r="DB25" s="136"/>
      <c r="DC25" s="97"/>
      <c r="DD25" s="97"/>
      <c r="DE25" s="88"/>
    </row>
    <row r="26" spans="15:109" x14ac:dyDescent="0.3">
      <c r="O26" s="166">
        <v>1968</v>
      </c>
      <c r="P26" s="174">
        <v>6400</v>
      </c>
      <c r="Q26" s="167">
        <v>0</v>
      </c>
      <c r="R26" s="167">
        <f t="shared" si="0"/>
        <v>6400</v>
      </c>
      <c r="S26" s="167">
        <v>0</v>
      </c>
      <c r="U26" t="s">
        <v>176</v>
      </c>
      <c r="V26">
        <v>0</v>
      </c>
      <c r="W26">
        <v>304</v>
      </c>
      <c r="X26">
        <f t="shared" si="23"/>
        <v>304</v>
      </c>
      <c r="Y26">
        <f t="shared" si="25"/>
        <v>4915</v>
      </c>
      <c r="AA26" t="s">
        <v>176</v>
      </c>
      <c r="AB26">
        <v>0</v>
      </c>
      <c r="AC26">
        <v>343</v>
      </c>
      <c r="AD26">
        <f t="shared" si="24"/>
        <v>343</v>
      </c>
      <c r="AE26">
        <f t="shared" si="26"/>
        <v>4944</v>
      </c>
      <c r="CB26" s="244" t="s">
        <v>358</v>
      </c>
      <c r="CC26" s="244"/>
      <c r="CD26" s="244"/>
      <c r="CE26" s="244"/>
      <c r="CF26" s="244"/>
      <c r="CG26" s="134"/>
      <c r="CH26" s="134"/>
      <c r="CI26" s="134"/>
      <c r="CJ26" s="134"/>
      <c r="CK26" s="134"/>
      <c r="CL26" s="134"/>
      <c r="CM26" s="134"/>
      <c r="CN26" s="134"/>
      <c r="CO26" s="134"/>
      <c r="CP26" s="130"/>
      <c r="CQ26" s="130"/>
      <c r="CR26" s="130"/>
      <c r="CS26" s="130"/>
      <c r="CT26" s="134"/>
      <c r="CU26" s="136"/>
      <c r="CV26" s="134"/>
      <c r="CW26" s="134"/>
      <c r="CX26" s="134"/>
      <c r="CY26" s="130"/>
      <c r="CZ26" s="136"/>
      <c r="DA26" s="130"/>
      <c r="DB26" s="136"/>
      <c r="DC26" s="97"/>
      <c r="DD26" s="97"/>
      <c r="DE26" s="88"/>
    </row>
    <row r="27" spans="15:109" x14ac:dyDescent="0.3">
      <c r="O27" s="166">
        <v>1969</v>
      </c>
      <c r="P27" s="174">
        <v>8400</v>
      </c>
      <c r="Q27" s="167">
        <v>0</v>
      </c>
      <c r="R27" s="167">
        <f t="shared" si="0"/>
        <v>8400</v>
      </c>
      <c r="S27" s="167">
        <v>0</v>
      </c>
      <c r="U27" s="43" t="s">
        <v>1</v>
      </c>
      <c r="V27" s="43">
        <f>SUM(V20:V26)</f>
        <v>216</v>
      </c>
      <c r="W27" s="43">
        <f>SUM(W20:W26)</f>
        <v>4699</v>
      </c>
      <c r="X27" s="43">
        <f>SUM(X20:X26)</f>
        <v>4915</v>
      </c>
      <c r="AA27" s="43" t="s">
        <v>1</v>
      </c>
      <c r="AB27" s="43">
        <f>SUM(AB20:AB26)</f>
        <v>146</v>
      </c>
      <c r="AC27" s="43">
        <f>SUM(AC20:AC26)</f>
        <v>4798</v>
      </c>
      <c r="AD27" s="43">
        <f>SUM(AD20:AD26)</f>
        <v>4944</v>
      </c>
      <c r="CB27" s="244"/>
      <c r="CC27" s="244"/>
      <c r="CD27" s="244"/>
      <c r="CE27" s="244"/>
      <c r="CF27" s="244"/>
      <c r="CG27" s="134"/>
      <c r="CH27" s="53"/>
      <c r="CI27" s="134"/>
      <c r="CJ27" s="134"/>
      <c r="CK27" s="134"/>
      <c r="CL27" s="134"/>
      <c r="CM27" s="53"/>
      <c r="CN27" s="53"/>
      <c r="CO27" s="134"/>
      <c r="CP27" s="130"/>
      <c r="CQ27" s="130"/>
      <c r="CR27" s="130"/>
      <c r="CS27" s="130"/>
      <c r="CT27" s="53"/>
      <c r="CU27" s="136"/>
      <c r="CV27" s="134"/>
      <c r="CW27" s="134"/>
      <c r="CX27" s="134"/>
      <c r="CY27" s="130"/>
      <c r="CZ27" s="136"/>
      <c r="DA27" s="130"/>
      <c r="DB27" s="136"/>
      <c r="DC27" s="97"/>
      <c r="DD27" s="97"/>
      <c r="DE27" s="88"/>
    </row>
    <row r="28" spans="15:109" x14ac:dyDescent="0.3">
      <c r="O28" s="168">
        <v>1970</v>
      </c>
      <c r="P28" s="169">
        <v>4700</v>
      </c>
      <c r="Q28" s="170">
        <v>0</v>
      </c>
      <c r="R28" s="170">
        <f>Q28+P28</f>
        <v>4700</v>
      </c>
      <c r="S28" s="170">
        <v>146</v>
      </c>
      <c r="CB28" s="244" t="s">
        <v>359</v>
      </c>
      <c r="CC28" s="244"/>
      <c r="CD28" s="244"/>
      <c r="CE28" s="244"/>
      <c r="CF28" s="244"/>
      <c r="CG28" s="134"/>
      <c r="CH28" s="53"/>
      <c r="CI28" s="134"/>
      <c r="CJ28" s="134"/>
      <c r="CK28" s="134"/>
      <c r="CL28" s="134"/>
      <c r="CM28" s="53"/>
      <c r="CN28" s="53"/>
      <c r="CO28" s="134"/>
      <c r="CP28" s="130"/>
      <c r="CQ28" s="130"/>
      <c r="CR28" s="130"/>
      <c r="CS28" s="130"/>
      <c r="CT28" s="53"/>
      <c r="CU28" s="136"/>
      <c r="CV28" s="134"/>
      <c r="CW28" s="134"/>
      <c r="CX28" s="134"/>
      <c r="CY28" s="130"/>
      <c r="CZ28" s="136"/>
      <c r="DA28" s="130"/>
      <c r="DB28" s="136"/>
      <c r="DC28" s="97"/>
      <c r="DD28" s="97"/>
      <c r="DE28" s="88"/>
    </row>
    <row r="29" spans="15:109" x14ac:dyDescent="0.3">
      <c r="O29" s="171">
        <v>1971</v>
      </c>
      <c r="P29" s="172">
        <v>8152</v>
      </c>
      <c r="Q29" s="172">
        <v>18495</v>
      </c>
      <c r="R29" s="172">
        <v>26647</v>
      </c>
      <c r="S29" s="172">
        <v>2310</v>
      </c>
      <c r="V29" s="237" t="s">
        <v>265</v>
      </c>
      <c r="W29" s="237"/>
      <c r="X29" s="237"/>
      <c r="Y29" s="237"/>
      <c r="Z29" s="32"/>
      <c r="AB29" s="237" t="s">
        <v>178</v>
      </c>
      <c r="AC29" s="237"/>
      <c r="AD29" s="237"/>
      <c r="AE29" s="237"/>
      <c r="AF29" s="32"/>
      <c r="CB29" s="244"/>
      <c r="CC29" s="244"/>
      <c r="CD29" s="244"/>
      <c r="CE29" s="244"/>
      <c r="CF29" s="244"/>
      <c r="CG29" s="134"/>
      <c r="CH29" s="134"/>
      <c r="CI29" s="134"/>
      <c r="CJ29" s="134"/>
      <c r="CK29" s="134"/>
      <c r="CL29" s="134"/>
      <c r="CM29" s="134"/>
      <c r="CN29" s="134"/>
      <c r="CO29" s="134"/>
      <c r="CP29" s="130"/>
      <c r="CQ29" s="130"/>
      <c r="CR29" s="130"/>
      <c r="CS29" s="130"/>
      <c r="CT29" s="134"/>
      <c r="CU29" s="136"/>
      <c r="CV29" s="134"/>
      <c r="CW29" s="134"/>
      <c r="CX29" s="134"/>
      <c r="CY29" s="130"/>
      <c r="CZ29" s="136"/>
      <c r="DA29" s="130"/>
      <c r="DB29" s="136"/>
      <c r="DC29" s="97"/>
      <c r="DD29" s="97"/>
      <c r="DE29" s="88"/>
    </row>
    <row r="30" spans="15:109" x14ac:dyDescent="0.3">
      <c r="O30" s="166">
        <v>1972</v>
      </c>
      <c r="P30" s="174">
        <v>6572</v>
      </c>
      <c r="Q30" s="174">
        <v>16685</v>
      </c>
      <c r="R30" s="174">
        <v>23257</v>
      </c>
      <c r="S30" s="167">
        <v>690</v>
      </c>
      <c r="U30" t="s">
        <v>166</v>
      </c>
      <c r="V30" s="62" t="s">
        <v>167</v>
      </c>
      <c r="W30" s="62" t="s">
        <v>168</v>
      </c>
      <c r="X30" s="62" t="s">
        <v>1</v>
      </c>
      <c r="Y30" s="62" t="s">
        <v>169</v>
      </c>
      <c r="Z30" s="62"/>
      <c r="AA30" t="s">
        <v>166</v>
      </c>
      <c r="AB30" s="62" t="s">
        <v>167</v>
      </c>
      <c r="AC30" s="62" t="s">
        <v>168</v>
      </c>
      <c r="AD30" s="62" t="s">
        <v>1</v>
      </c>
      <c r="AE30" s="62" t="s">
        <v>169</v>
      </c>
      <c r="AF30" s="62"/>
      <c r="CB30" s="95"/>
      <c r="CC30" s="95"/>
      <c r="CD30" s="95"/>
      <c r="CE30" s="95"/>
      <c r="CF30" s="95"/>
      <c r="CG30" s="134"/>
      <c r="CH30" s="134"/>
      <c r="CI30" s="134"/>
      <c r="CJ30" s="134"/>
      <c r="CK30" s="134"/>
      <c r="CL30" s="134"/>
      <c r="CM30" s="134"/>
      <c r="CN30" s="134"/>
      <c r="CO30" s="134"/>
      <c r="CP30" s="130"/>
      <c r="CQ30" s="130"/>
      <c r="CR30" s="130"/>
      <c r="CS30" s="130"/>
      <c r="CT30" s="134"/>
      <c r="CU30" s="136"/>
      <c r="CV30" s="134"/>
      <c r="CW30" s="134"/>
      <c r="CX30" s="134"/>
      <c r="CY30" s="130"/>
      <c r="CZ30" s="136"/>
      <c r="DA30" s="130"/>
      <c r="DB30" s="136"/>
      <c r="DC30" s="97"/>
      <c r="DD30" s="97"/>
      <c r="DE30" s="88"/>
    </row>
    <row r="31" spans="15:109" x14ac:dyDescent="0.3">
      <c r="O31" s="166">
        <v>1973</v>
      </c>
      <c r="P31" s="174">
        <v>6389</v>
      </c>
      <c r="Q31" s="174">
        <v>11511</v>
      </c>
      <c r="R31" s="174">
        <v>17900</v>
      </c>
      <c r="S31" s="174">
        <v>1686</v>
      </c>
      <c r="CB31" s="95"/>
      <c r="CC31" s="95"/>
      <c r="CD31" s="95"/>
      <c r="CE31" s="95"/>
      <c r="CF31" s="95"/>
      <c r="CG31" s="134"/>
      <c r="CH31" s="134"/>
      <c r="CI31" s="134"/>
      <c r="CJ31" s="134"/>
      <c r="CK31" s="134"/>
      <c r="CL31" s="134"/>
      <c r="CM31" s="134"/>
      <c r="CN31" s="134"/>
      <c r="CO31" s="134"/>
      <c r="CP31" s="135"/>
      <c r="CQ31" s="136"/>
      <c r="CR31" s="136"/>
      <c r="CS31" s="136"/>
      <c r="CT31" s="134"/>
      <c r="CU31" s="136"/>
      <c r="CV31" s="134"/>
      <c r="CW31" s="134"/>
      <c r="CX31" s="134"/>
      <c r="CY31" s="130"/>
      <c r="CZ31" s="136"/>
      <c r="DA31" s="130"/>
      <c r="DB31" s="136"/>
      <c r="DC31" s="97"/>
      <c r="DD31" s="97"/>
      <c r="DE31" s="88"/>
    </row>
    <row r="32" spans="15:109" x14ac:dyDescent="0.3">
      <c r="O32" s="166">
        <v>1974</v>
      </c>
      <c r="P32" s="174">
        <v>5733</v>
      </c>
      <c r="Q32" s="174">
        <v>9091</v>
      </c>
      <c r="R32" s="174">
        <v>14824</v>
      </c>
      <c r="S32" s="174">
        <v>4858</v>
      </c>
      <c r="U32" t="s">
        <v>170</v>
      </c>
      <c r="V32">
        <v>14</v>
      </c>
      <c r="W32">
        <v>140</v>
      </c>
      <c r="X32">
        <f t="shared" ref="X32:X38" si="27">SUM(V32:W32)</f>
        <v>154</v>
      </c>
      <c r="Y32">
        <f>X32</f>
        <v>154</v>
      </c>
      <c r="AA32" t="s">
        <v>170</v>
      </c>
      <c r="AB32">
        <v>12</v>
      </c>
      <c r="AC32">
        <v>76</v>
      </c>
      <c r="AD32">
        <f t="shared" ref="AD32:AD38" si="28">SUM(AB32:AC32)</f>
        <v>88</v>
      </c>
      <c r="AE32">
        <f>AD32</f>
        <v>88</v>
      </c>
      <c r="CB32" s="95"/>
      <c r="CC32" s="95"/>
      <c r="CD32" s="95"/>
      <c r="CE32" s="95"/>
      <c r="CF32" s="95"/>
      <c r="CG32" s="134"/>
      <c r="CH32" s="130"/>
      <c r="CI32" s="134"/>
      <c r="CJ32" s="134"/>
      <c r="CK32" s="134"/>
      <c r="CL32" s="134"/>
      <c r="CM32" s="130"/>
      <c r="CN32" s="130"/>
      <c r="CO32" s="134"/>
      <c r="CP32" s="135"/>
      <c r="CQ32" s="136"/>
      <c r="CR32" s="136"/>
      <c r="CS32" s="136"/>
      <c r="CT32" s="130"/>
      <c r="CU32" s="136"/>
      <c r="CV32" s="134"/>
      <c r="CW32" s="134"/>
      <c r="CX32" s="134"/>
      <c r="CY32" s="130"/>
      <c r="CZ32" s="136"/>
      <c r="DA32" s="130"/>
      <c r="DB32" s="136"/>
      <c r="DC32" s="97"/>
      <c r="DD32" s="97"/>
      <c r="DE32" s="88"/>
    </row>
    <row r="33" spans="15:109" x14ac:dyDescent="0.3">
      <c r="O33" s="166">
        <v>1975</v>
      </c>
      <c r="P33" s="174">
        <v>3096</v>
      </c>
      <c r="Q33" s="174">
        <v>3034</v>
      </c>
      <c r="R33" s="174">
        <v>6130</v>
      </c>
      <c r="S33" s="174">
        <v>2910</v>
      </c>
      <c r="U33" t="s">
        <v>171</v>
      </c>
      <c r="V33">
        <v>77</v>
      </c>
      <c r="W33">
        <v>0</v>
      </c>
      <c r="X33">
        <f t="shared" si="27"/>
        <v>77</v>
      </c>
      <c r="Y33">
        <f t="shared" ref="Y33:Y38" si="29">Y32+X33</f>
        <v>231</v>
      </c>
      <c r="AA33" t="s">
        <v>171</v>
      </c>
      <c r="AB33">
        <v>1</v>
      </c>
      <c r="AC33">
        <v>117</v>
      </c>
      <c r="AD33">
        <f t="shared" si="28"/>
        <v>118</v>
      </c>
      <c r="AE33">
        <f t="shared" ref="AE33:AE38" si="30">AE32+AD33</f>
        <v>206</v>
      </c>
      <c r="CB33" s="95"/>
      <c r="CC33" s="95"/>
      <c r="CD33" s="95"/>
      <c r="CE33" s="95"/>
      <c r="CF33" s="95"/>
      <c r="CG33" s="134"/>
      <c r="CH33" s="130"/>
      <c r="CI33" s="134"/>
      <c r="CJ33" s="134"/>
      <c r="CK33" s="134"/>
      <c r="CL33" s="134"/>
      <c r="CM33" s="130"/>
      <c r="CN33" s="130"/>
      <c r="CO33" s="134"/>
      <c r="CP33" s="135"/>
      <c r="CQ33" s="136"/>
      <c r="CR33" s="136"/>
      <c r="CS33" s="136"/>
      <c r="CT33" s="130"/>
      <c r="CU33" s="136"/>
      <c r="CV33" s="134"/>
      <c r="CW33" s="134"/>
      <c r="CX33" s="134"/>
      <c r="CY33" s="135"/>
      <c r="CZ33" s="136"/>
      <c r="DA33" s="136"/>
      <c r="DB33" s="136"/>
      <c r="DC33" s="97"/>
      <c r="DD33" s="97"/>
      <c r="DE33" s="88"/>
    </row>
    <row r="34" spans="15:109" x14ac:dyDescent="0.3">
      <c r="O34" s="166">
        <v>1976</v>
      </c>
      <c r="P34" s="174">
        <v>4204</v>
      </c>
      <c r="Q34" s="174">
        <v>5194</v>
      </c>
      <c r="R34" s="174">
        <v>9398</v>
      </c>
      <c r="S34" s="174">
        <v>3876</v>
      </c>
      <c r="U34" t="s">
        <v>172</v>
      </c>
      <c r="V34">
        <v>19</v>
      </c>
      <c r="W34">
        <v>291</v>
      </c>
      <c r="X34">
        <f t="shared" si="27"/>
        <v>310</v>
      </c>
      <c r="Y34">
        <f t="shared" si="29"/>
        <v>541</v>
      </c>
      <c r="AA34" t="s">
        <v>172</v>
      </c>
      <c r="AB34">
        <v>2</v>
      </c>
      <c r="AC34">
        <v>500</v>
      </c>
      <c r="AD34">
        <f t="shared" si="28"/>
        <v>502</v>
      </c>
      <c r="AE34">
        <f t="shared" si="30"/>
        <v>708</v>
      </c>
      <c r="CB34" s="95"/>
      <c r="CC34" s="95"/>
      <c r="CD34" s="87"/>
      <c r="CE34" s="96"/>
      <c r="CF34" s="96"/>
      <c r="CG34" s="134"/>
      <c r="CH34" s="130"/>
      <c r="CI34" s="134"/>
      <c r="CJ34" s="134"/>
      <c r="CK34" s="134"/>
      <c r="CL34" s="134"/>
      <c r="CM34" s="130"/>
      <c r="CN34" s="130"/>
      <c r="CO34" s="134"/>
      <c r="CP34" s="135"/>
      <c r="CQ34" s="136"/>
      <c r="CR34" s="136"/>
      <c r="CS34" s="136"/>
      <c r="CT34" s="130"/>
      <c r="CU34" s="136"/>
      <c r="CV34" s="134"/>
      <c r="CW34" s="134"/>
      <c r="CX34" s="134"/>
      <c r="CY34" s="135"/>
      <c r="CZ34" s="136"/>
      <c r="DA34" s="136"/>
      <c r="DB34" s="136"/>
      <c r="DC34" s="97"/>
      <c r="DD34" s="97"/>
      <c r="DE34" s="88"/>
    </row>
    <row r="35" spans="15:109" x14ac:dyDescent="0.3">
      <c r="O35" s="166">
        <v>1977</v>
      </c>
      <c r="P35" s="174">
        <v>5327</v>
      </c>
      <c r="Q35" s="174">
        <v>8277</v>
      </c>
      <c r="R35" s="174">
        <v>13604</v>
      </c>
      <c r="S35" s="174">
        <v>9244</v>
      </c>
      <c r="U35" t="s">
        <v>173</v>
      </c>
      <c r="V35">
        <v>24</v>
      </c>
      <c r="W35">
        <v>444</v>
      </c>
      <c r="X35">
        <f t="shared" si="27"/>
        <v>468</v>
      </c>
      <c r="Y35">
        <f t="shared" si="29"/>
        <v>1009</v>
      </c>
      <c r="AA35" t="s">
        <v>173</v>
      </c>
      <c r="AB35">
        <v>0</v>
      </c>
      <c r="AC35">
        <v>320</v>
      </c>
      <c r="AD35">
        <f t="shared" si="28"/>
        <v>320</v>
      </c>
      <c r="AE35">
        <f t="shared" si="30"/>
        <v>1028</v>
      </c>
      <c r="CB35" s="95"/>
      <c r="CC35" s="95"/>
      <c r="CD35" s="95"/>
      <c r="CE35" s="96"/>
      <c r="CF35" s="96"/>
      <c r="CG35" s="134"/>
      <c r="CH35" s="130"/>
      <c r="CI35" s="134"/>
      <c r="CJ35" s="134"/>
      <c r="CK35" s="134"/>
      <c r="CL35" s="134"/>
      <c r="CM35" s="130"/>
      <c r="CN35" s="130"/>
      <c r="CO35" s="134"/>
      <c r="CP35" s="135"/>
      <c r="CQ35" s="136"/>
      <c r="CR35" s="136"/>
      <c r="CS35" s="136"/>
      <c r="CT35" s="130"/>
      <c r="CU35" s="136"/>
      <c r="CV35" s="134"/>
      <c r="CW35" s="134"/>
      <c r="CX35" s="134"/>
      <c r="CY35" s="135"/>
      <c r="CZ35" s="136"/>
      <c r="DA35" s="136"/>
      <c r="DB35" s="136"/>
      <c r="DC35" s="97"/>
      <c r="DD35" s="97"/>
      <c r="DE35" s="88"/>
    </row>
    <row r="36" spans="15:109" x14ac:dyDescent="0.3">
      <c r="O36" s="166">
        <v>1978</v>
      </c>
      <c r="P36" s="174">
        <v>8599</v>
      </c>
      <c r="Q36" s="174">
        <v>8270</v>
      </c>
      <c r="R36" s="174">
        <v>16869</v>
      </c>
      <c r="S36" s="174">
        <v>15172</v>
      </c>
      <c r="U36" t="s">
        <v>174</v>
      </c>
      <c r="V36">
        <v>1</v>
      </c>
      <c r="W36">
        <v>940</v>
      </c>
      <c r="X36">
        <f t="shared" si="27"/>
        <v>941</v>
      </c>
      <c r="Y36">
        <f t="shared" si="29"/>
        <v>1950</v>
      </c>
      <c r="AA36" t="s">
        <v>174</v>
      </c>
      <c r="AB36">
        <v>0</v>
      </c>
      <c r="AC36">
        <v>2013</v>
      </c>
      <c r="AD36">
        <f t="shared" si="28"/>
        <v>2013</v>
      </c>
      <c r="AE36">
        <f t="shared" si="30"/>
        <v>3041</v>
      </c>
      <c r="CB36" s="95"/>
      <c r="CC36" s="95"/>
      <c r="CD36" s="95"/>
      <c r="CE36" s="96"/>
      <c r="CF36" s="96"/>
      <c r="CG36" s="134"/>
      <c r="CH36" s="130"/>
      <c r="CI36" s="134"/>
      <c r="CJ36" s="134"/>
      <c r="CK36" s="134"/>
      <c r="CL36" s="134"/>
      <c r="CM36" s="130"/>
      <c r="CN36" s="130"/>
      <c r="CO36" s="134"/>
      <c r="CP36" s="135"/>
      <c r="CQ36" s="136"/>
      <c r="CR36" s="136"/>
      <c r="CS36" s="136"/>
      <c r="CT36" s="130"/>
      <c r="CU36" s="136"/>
      <c r="CV36" s="134"/>
      <c r="CW36" s="134"/>
      <c r="CX36" s="134"/>
      <c r="CY36" s="135"/>
      <c r="CZ36" s="136"/>
      <c r="DA36" s="136"/>
      <c r="DB36" s="136"/>
      <c r="DC36" s="97"/>
      <c r="DD36" s="97"/>
      <c r="DE36" s="88"/>
    </row>
    <row r="37" spans="15:109" x14ac:dyDescent="0.3">
      <c r="O37" s="166">
        <v>1979</v>
      </c>
      <c r="P37" s="174">
        <v>2861</v>
      </c>
      <c r="Q37" s="174">
        <v>5865</v>
      </c>
      <c r="R37" s="174">
        <v>8726</v>
      </c>
      <c r="S37" s="174">
        <v>7638</v>
      </c>
      <c r="U37" t="s">
        <v>175</v>
      </c>
      <c r="V37">
        <v>0</v>
      </c>
      <c r="W37">
        <v>528</v>
      </c>
      <c r="X37">
        <f t="shared" si="27"/>
        <v>528</v>
      </c>
      <c r="Y37">
        <f t="shared" si="29"/>
        <v>2478</v>
      </c>
      <c r="AA37" t="s">
        <v>175</v>
      </c>
      <c r="AB37">
        <v>0</v>
      </c>
      <c r="AC37">
        <v>1625</v>
      </c>
      <c r="AD37">
        <f t="shared" si="28"/>
        <v>1625</v>
      </c>
      <c r="AE37">
        <f t="shared" si="30"/>
        <v>4666</v>
      </c>
      <c r="CB37" s="95"/>
      <c r="CC37" s="95"/>
      <c r="CD37" s="95"/>
      <c r="CE37" s="96"/>
      <c r="CF37" s="96"/>
      <c r="CG37" s="134"/>
      <c r="CH37" s="130"/>
      <c r="CI37" s="134"/>
      <c r="CJ37" s="134"/>
      <c r="CK37" s="134"/>
      <c r="CL37" s="134"/>
      <c r="CM37" s="130"/>
      <c r="CN37" s="130"/>
      <c r="CO37" s="134"/>
      <c r="CP37" s="135"/>
      <c r="CQ37" s="136"/>
      <c r="CR37" s="136"/>
      <c r="CS37" s="136"/>
      <c r="CT37" s="130"/>
      <c r="CU37" s="136"/>
      <c r="CV37" s="134"/>
      <c r="CW37" s="134"/>
      <c r="CX37" s="134"/>
      <c r="CY37" s="135"/>
      <c r="CZ37" s="136"/>
      <c r="DA37" s="136"/>
      <c r="DB37" s="136"/>
      <c r="DC37" s="97"/>
      <c r="DD37" s="97"/>
      <c r="DE37" s="88"/>
    </row>
    <row r="38" spans="15:109" x14ac:dyDescent="0.3">
      <c r="O38" s="168">
        <v>1980</v>
      </c>
      <c r="P38" s="169">
        <v>6258</v>
      </c>
      <c r="Q38" s="169">
        <v>16097</v>
      </c>
      <c r="R38" s="169">
        <v>22356</v>
      </c>
      <c r="S38" s="169">
        <v>11222</v>
      </c>
      <c r="U38" t="s">
        <v>176</v>
      </c>
      <c r="V38">
        <v>0</v>
      </c>
      <c r="W38">
        <v>335</v>
      </c>
      <c r="X38">
        <f t="shared" si="27"/>
        <v>335</v>
      </c>
      <c r="Y38">
        <f t="shared" si="29"/>
        <v>2813</v>
      </c>
      <c r="AA38" t="s">
        <v>176</v>
      </c>
      <c r="AB38">
        <v>0</v>
      </c>
      <c r="AC38">
        <v>683</v>
      </c>
      <c r="AD38">
        <f t="shared" si="28"/>
        <v>683</v>
      </c>
      <c r="AE38">
        <f t="shared" si="30"/>
        <v>5349</v>
      </c>
      <c r="CB38" s="95"/>
      <c r="CC38" s="95"/>
      <c r="CD38" s="95"/>
      <c r="CE38" s="96"/>
      <c r="CF38" s="96"/>
      <c r="CG38" s="134"/>
      <c r="CH38" s="130"/>
      <c r="CI38" s="134"/>
      <c r="CJ38" s="134"/>
      <c r="CK38" s="134"/>
      <c r="CL38" s="134"/>
      <c r="CM38" s="130"/>
      <c r="CN38" s="130"/>
      <c r="CO38" s="134"/>
      <c r="CP38" s="135"/>
      <c r="CQ38" s="136"/>
      <c r="CR38" s="136"/>
      <c r="CS38" s="136"/>
      <c r="CT38" s="130"/>
      <c r="CU38" s="136"/>
      <c r="CV38" s="134"/>
      <c r="CW38" s="134"/>
      <c r="CX38" s="134"/>
      <c r="CY38" s="135"/>
      <c r="CZ38" s="136"/>
      <c r="DA38" s="136"/>
      <c r="DB38" s="136"/>
      <c r="DC38" s="97"/>
      <c r="DD38" s="97"/>
      <c r="DE38" s="88"/>
    </row>
    <row r="39" spans="15:109" x14ac:dyDescent="0.3">
      <c r="O39" s="171">
        <v>1981</v>
      </c>
      <c r="P39" s="172">
        <v>7662</v>
      </c>
      <c r="Q39" s="172">
        <v>9004</v>
      </c>
      <c r="R39" s="172">
        <v>16666</v>
      </c>
      <c r="S39" s="172">
        <v>15224</v>
      </c>
      <c r="U39" s="43" t="s">
        <v>1</v>
      </c>
      <c r="V39" s="43">
        <f>SUM(V32:V38)</f>
        <v>135</v>
      </c>
      <c r="W39" s="43">
        <f>SUM(W32:W38)</f>
        <v>2678</v>
      </c>
      <c r="X39" s="43">
        <f>SUM(X32:X38)</f>
        <v>2813</v>
      </c>
      <c r="Y39" s="43"/>
      <c r="Z39" s="43"/>
      <c r="AA39" s="43" t="s">
        <v>1</v>
      </c>
      <c r="AB39" s="43">
        <f>SUM(AB32:AB38)</f>
        <v>15</v>
      </c>
      <c r="AC39" s="43">
        <f>SUM(AC32:AC38)</f>
        <v>5334</v>
      </c>
      <c r="AD39" s="43">
        <f>SUM(AD32:AD38)</f>
        <v>5349</v>
      </c>
      <c r="AE39" s="43"/>
      <c r="AF39" s="43"/>
      <c r="CB39" s="95"/>
      <c r="CC39" s="95"/>
      <c r="CD39" s="95"/>
      <c r="CE39" s="96"/>
      <c r="CF39" s="96"/>
      <c r="CG39" s="134"/>
      <c r="CH39" s="130"/>
      <c r="CI39" s="134"/>
      <c r="CJ39" s="134"/>
      <c r="CK39" s="134"/>
      <c r="CL39" s="134"/>
      <c r="CM39" s="130"/>
      <c r="CN39" s="130"/>
      <c r="CO39" s="134"/>
      <c r="CP39" s="135"/>
      <c r="CQ39" s="136"/>
      <c r="CR39" s="136"/>
      <c r="CS39" s="136"/>
      <c r="CT39" s="130"/>
      <c r="CU39" s="136"/>
      <c r="CV39" s="134"/>
      <c r="CW39" s="134"/>
      <c r="CX39" s="134"/>
      <c r="CY39" s="135"/>
      <c r="CZ39" s="136"/>
      <c r="DA39" s="136"/>
      <c r="DB39" s="136"/>
      <c r="DC39" s="97"/>
      <c r="DD39" s="97"/>
      <c r="DE39" s="88"/>
    </row>
    <row r="40" spans="15:109" x14ac:dyDescent="0.3">
      <c r="O40" s="166">
        <v>1982</v>
      </c>
      <c r="P40" s="174">
        <v>6117</v>
      </c>
      <c r="Q40" s="174">
        <v>6894</v>
      </c>
      <c r="R40" s="174">
        <v>13011</v>
      </c>
      <c r="S40" s="174">
        <v>12571</v>
      </c>
      <c r="CB40" s="95"/>
      <c r="CC40" s="95"/>
      <c r="CD40" s="95"/>
      <c r="CE40" s="96"/>
      <c r="CF40" s="96"/>
      <c r="CG40" s="134"/>
      <c r="CH40" s="130"/>
      <c r="CI40" s="134"/>
      <c r="CJ40" s="134"/>
      <c r="CK40" s="134"/>
      <c r="CL40" s="134"/>
      <c r="CM40" s="130"/>
      <c r="CN40" s="130"/>
      <c r="CO40" s="134"/>
      <c r="CP40" s="135"/>
      <c r="CQ40" s="136"/>
      <c r="CR40" s="136"/>
      <c r="CS40" s="136"/>
      <c r="CT40" s="130"/>
      <c r="CU40" s="136"/>
      <c r="CV40" s="134"/>
      <c r="CW40" s="134"/>
      <c r="CX40" s="134"/>
      <c r="CY40" s="135"/>
      <c r="CZ40" s="136"/>
      <c r="DA40" s="136"/>
      <c r="DB40" s="136"/>
      <c r="DC40" s="97"/>
      <c r="DD40" s="97"/>
      <c r="DE40" s="88"/>
    </row>
    <row r="41" spans="15:109" x14ac:dyDescent="0.3">
      <c r="O41" s="166">
        <v>1983</v>
      </c>
      <c r="P41" s="174">
        <v>4596</v>
      </c>
      <c r="Q41" s="174">
        <v>4702</v>
      </c>
      <c r="R41" s="174">
        <v>9298</v>
      </c>
      <c r="S41" s="174">
        <v>5301</v>
      </c>
      <c r="V41" s="237" t="s">
        <v>266</v>
      </c>
      <c r="W41" s="237"/>
      <c r="X41" s="237"/>
      <c r="Y41" s="237"/>
      <c r="Z41" s="32"/>
      <c r="AB41" s="237" t="s">
        <v>179</v>
      </c>
      <c r="AC41" s="237"/>
      <c r="AD41" s="237"/>
      <c r="AE41" s="237"/>
      <c r="AF41" s="32"/>
      <c r="CB41" s="95"/>
      <c r="CC41" s="95"/>
      <c r="CD41" s="95"/>
      <c r="CE41" s="96"/>
      <c r="CF41" s="96"/>
      <c r="CG41" s="134"/>
      <c r="CH41" s="130"/>
      <c r="CI41" s="134"/>
      <c r="CJ41" s="134"/>
      <c r="CK41" s="134"/>
      <c r="CL41" s="134"/>
      <c r="CM41" s="130"/>
      <c r="CN41" s="130"/>
      <c r="CO41" s="134"/>
      <c r="CP41" s="135"/>
      <c r="CQ41" s="136"/>
      <c r="CR41" s="136"/>
      <c r="CS41" s="136"/>
      <c r="CT41" s="130"/>
      <c r="CU41" s="136"/>
      <c r="CV41" s="134"/>
      <c r="CW41" s="134"/>
      <c r="CX41" s="134"/>
      <c r="CY41" s="135"/>
      <c r="CZ41" s="136"/>
      <c r="DA41" s="136"/>
      <c r="DB41" s="136"/>
      <c r="DC41" s="97"/>
      <c r="DD41" s="97"/>
      <c r="DE41" s="88"/>
    </row>
    <row r="42" spans="15:109" x14ac:dyDescent="0.3">
      <c r="O42" s="166">
        <v>1984</v>
      </c>
      <c r="P42" s="174">
        <v>6664</v>
      </c>
      <c r="Q42" s="174">
        <v>10720</v>
      </c>
      <c r="R42" s="174">
        <v>17384</v>
      </c>
      <c r="S42" s="174">
        <v>25002</v>
      </c>
      <c r="U42" t="s">
        <v>166</v>
      </c>
      <c r="V42" s="62" t="s">
        <v>167</v>
      </c>
      <c r="W42" s="62" t="s">
        <v>168</v>
      </c>
      <c r="X42" s="62" t="s">
        <v>1</v>
      </c>
      <c r="Y42" s="62" t="s">
        <v>169</v>
      </c>
      <c r="Z42" s="62"/>
      <c r="AA42" t="s">
        <v>166</v>
      </c>
      <c r="AB42" s="62" t="s">
        <v>167</v>
      </c>
      <c r="AC42" s="62" t="s">
        <v>168</v>
      </c>
      <c r="AD42" s="62" t="s">
        <v>1</v>
      </c>
      <c r="AE42" s="62" t="s">
        <v>169</v>
      </c>
      <c r="AF42" s="62"/>
      <c r="BV42" s="69"/>
      <c r="BW42" s="69"/>
      <c r="CB42" s="95"/>
      <c r="CC42" s="95"/>
      <c r="CD42" s="87"/>
      <c r="CE42" s="96"/>
      <c r="CF42" s="96"/>
      <c r="CG42" s="134"/>
      <c r="CH42" s="130"/>
      <c r="CI42" s="134"/>
      <c r="CJ42" s="134"/>
      <c r="CK42" s="134"/>
      <c r="CL42" s="134"/>
      <c r="CM42" s="130"/>
      <c r="CN42" s="130"/>
      <c r="CO42" s="134"/>
      <c r="CP42" s="135"/>
      <c r="CQ42" s="136"/>
      <c r="CR42" s="136"/>
      <c r="CS42" s="136"/>
      <c r="CT42" s="130"/>
      <c r="CU42" s="136"/>
      <c r="CV42" s="134"/>
      <c r="CW42" s="134"/>
      <c r="CX42" s="134"/>
      <c r="CY42" s="135"/>
      <c r="CZ42" s="136"/>
      <c r="DA42" s="136"/>
      <c r="DB42" s="136"/>
      <c r="DC42" s="97"/>
      <c r="DD42" s="97"/>
      <c r="DE42" s="88"/>
    </row>
    <row r="43" spans="15:109" x14ac:dyDescent="0.3">
      <c r="O43" s="166">
        <v>1985</v>
      </c>
      <c r="P43" s="174">
        <v>4549</v>
      </c>
      <c r="Q43" s="174">
        <v>16043</v>
      </c>
      <c r="R43" s="174">
        <v>20592</v>
      </c>
      <c r="S43" s="174">
        <v>22223</v>
      </c>
      <c r="BV43" s="69"/>
      <c r="BW43" s="69"/>
      <c r="CA43" s="32"/>
      <c r="CB43" s="95"/>
      <c r="CC43" s="95"/>
      <c r="CD43" s="95"/>
      <c r="CE43" s="96"/>
      <c r="CF43" s="96"/>
      <c r="CG43" s="134"/>
      <c r="CH43" s="130"/>
      <c r="CI43" s="134"/>
      <c r="CJ43" s="134"/>
      <c r="CK43" s="134"/>
      <c r="CL43" s="134"/>
      <c r="CM43" s="130"/>
      <c r="CN43" s="130"/>
      <c r="CO43" s="134"/>
      <c r="CP43" s="135"/>
      <c r="CQ43" s="136"/>
      <c r="CR43" s="136"/>
      <c r="CS43" s="136"/>
      <c r="CT43" s="130"/>
      <c r="CU43" s="136"/>
      <c r="CV43" s="134"/>
      <c r="CW43" s="134"/>
      <c r="CX43" s="134"/>
      <c r="CY43" s="135"/>
      <c r="CZ43" s="136"/>
      <c r="DA43" s="136"/>
      <c r="DB43" s="136"/>
      <c r="DC43" s="97"/>
      <c r="DD43" s="97"/>
      <c r="DE43" s="88"/>
    </row>
    <row r="44" spans="15:109" x14ac:dyDescent="0.3">
      <c r="O44" s="166">
        <v>1986</v>
      </c>
      <c r="P44" s="174">
        <v>8475</v>
      </c>
      <c r="Q44" s="174">
        <v>12776</v>
      </c>
      <c r="R44" s="174">
        <v>21251</v>
      </c>
      <c r="S44" s="174">
        <v>40719</v>
      </c>
      <c r="U44" t="s">
        <v>170</v>
      </c>
      <c r="V44">
        <v>6</v>
      </c>
      <c r="W44">
        <v>108</v>
      </c>
      <c r="X44">
        <f t="shared" ref="X44:X50" si="31">SUM(V44:W44)</f>
        <v>114</v>
      </c>
      <c r="Y44">
        <f>X44</f>
        <v>114</v>
      </c>
      <c r="AA44" t="s">
        <v>170</v>
      </c>
      <c r="AB44">
        <v>6</v>
      </c>
      <c r="AC44">
        <v>65</v>
      </c>
      <c r="AD44">
        <f t="shared" ref="AD44:AD50" si="32">SUM(AB44:AC44)</f>
        <v>71</v>
      </c>
      <c r="AE44">
        <f>AD44</f>
        <v>71</v>
      </c>
      <c r="BT44" t="s">
        <v>275</v>
      </c>
      <c r="CA44" s="82"/>
      <c r="CB44" s="95"/>
      <c r="CC44" s="95"/>
      <c r="CD44" s="95"/>
      <c r="CE44" s="96"/>
      <c r="CF44" s="96"/>
      <c r="CG44" s="134"/>
      <c r="CH44" s="130"/>
      <c r="CI44" s="134"/>
      <c r="CJ44" s="134"/>
      <c r="CK44" s="134"/>
      <c r="CL44" s="134"/>
      <c r="CM44" s="130"/>
      <c r="CN44" s="130"/>
      <c r="CO44" s="134"/>
      <c r="CP44" s="135"/>
      <c r="CQ44" s="136"/>
      <c r="CR44" s="136"/>
      <c r="CS44" s="136"/>
      <c r="CT44" s="130"/>
      <c r="CU44" s="136"/>
      <c r="CV44" s="134"/>
      <c r="CW44" s="134"/>
      <c r="CX44" s="134"/>
      <c r="CY44" s="135"/>
      <c r="CZ44" s="136"/>
      <c r="DA44" s="136"/>
      <c r="DB44" s="136"/>
      <c r="DC44" s="97"/>
      <c r="DD44" s="97"/>
      <c r="DE44" s="88"/>
    </row>
    <row r="45" spans="15:109" x14ac:dyDescent="0.3">
      <c r="O45" s="166">
        <v>1987</v>
      </c>
      <c r="P45" s="174">
        <v>8543</v>
      </c>
      <c r="Q45" s="174">
        <v>8222</v>
      </c>
      <c r="R45" s="174">
        <v>16765</v>
      </c>
      <c r="S45" s="174">
        <v>23742</v>
      </c>
      <c r="U45" t="s">
        <v>171</v>
      </c>
      <c r="V45">
        <v>23</v>
      </c>
      <c r="W45">
        <v>428</v>
      </c>
      <c r="X45">
        <f t="shared" si="31"/>
        <v>451</v>
      </c>
      <c r="Y45">
        <f t="shared" ref="Y45:Y50" si="33">Y44+X45</f>
        <v>565</v>
      </c>
      <c r="AA45" t="s">
        <v>171</v>
      </c>
      <c r="AB45">
        <v>1</v>
      </c>
      <c r="AC45">
        <v>184</v>
      </c>
      <c r="AD45">
        <f t="shared" si="32"/>
        <v>185</v>
      </c>
      <c r="AE45">
        <f t="shared" ref="AE45:AE50" si="34">AE44+AD45</f>
        <v>256</v>
      </c>
      <c r="CA45" s="85"/>
      <c r="CB45" s="95"/>
      <c r="CC45" s="95"/>
      <c r="CD45" s="95"/>
      <c r="CE45" s="96"/>
      <c r="CF45" s="96"/>
      <c r="CG45" s="134"/>
      <c r="CH45" s="130"/>
      <c r="CI45" s="134"/>
      <c r="CJ45" s="134"/>
      <c r="CK45" s="134"/>
      <c r="CL45" s="134"/>
      <c r="CM45" s="130"/>
      <c r="CN45" s="130"/>
      <c r="CO45" s="134"/>
      <c r="CP45" s="135"/>
      <c r="CQ45" s="136"/>
      <c r="CR45" s="136"/>
      <c r="CS45" s="136"/>
      <c r="CT45" s="130"/>
      <c r="CU45" s="136"/>
      <c r="CV45" s="134"/>
      <c r="CW45" s="134"/>
      <c r="CX45" s="134"/>
      <c r="CY45" s="135"/>
      <c r="CZ45" s="136"/>
      <c r="DA45" s="136"/>
      <c r="DB45" s="136"/>
      <c r="DC45" s="97"/>
      <c r="DD45" s="97"/>
      <c r="DE45" s="88"/>
    </row>
    <row r="46" spans="15:109" x14ac:dyDescent="0.3">
      <c r="O46" s="166">
        <v>1988</v>
      </c>
      <c r="P46" s="174">
        <v>8371</v>
      </c>
      <c r="Q46" s="174">
        <v>15007</v>
      </c>
      <c r="R46" s="174">
        <v>23378</v>
      </c>
      <c r="S46" s="174">
        <v>36940</v>
      </c>
      <c r="U46" t="s">
        <v>172</v>
      </c>
      <c r="V46">
        <v>37</v>
      </c>
      <c r="W46">
        <v>1376</v>
      </c>
      <c r="X46">
        <f t="shared" si="31"/>
        <v>1413</v>
      </c>
      <c r="Y46">
        <f t="shared" si="33"/>
        <v>1978</v>
      </c>
      <c r="AA46" t="s">
        <v>172</v>
      </c>
      <c r="AB46">
        <v>2</v>
      </c>
      <c r="AC46">
        <v>792</v>
      </c>
      <c r="AD46">
        <f t="shared" si="32"/>
        <v>794</v>
      </c>
      <c r="AE46">
        <f t="shared" si="34"/>
        <v>1050</v>
      </c>
      <c r="BU46" s="32" t="s">
        <v>258</v>
      </c>
      <c r="BV46" s="32" t="s">
        <v>261</v>
      </c>
      <c r="BW46" s="32" t="s">
        <v>278</v>
      </c>
      <c r="BX46" s="32" t="s">
        <v>279</v>
      </c>
      <c r="BY46" s="32" t="s">
        <v>280</v>
      </c>
      <c r="BZ46" s="32" t="s">
        <v>280</v>
      </c>
      <c r="CA46" s="85"/>
      <c r="CB46" s="95"/>
      <c r="CC46" s="95"/>
      <c r="CD46" s="95"/>
      <c r="CE46" s="96"/>
      <c r="CF46" s="96"/>
      <c r="CG46" s="134"/>
      <c r="CH46" s="130"/>
      <c r="CI46" s="134"/>
      <c r="CJ46" s="134"/>
      <c r="CK46" s="134"/>
      <c r="CL46" s="134"/>
      <c r="CM46" s="130"/>
      <c r="CN46" s="130"/>
      <c r="CO46" s="134"/>
      <c r="CP46" s="135"/>
      <c r="CQ46" s="136"/>
      <c r="CR46" s="136"/>
      <c r="CS46" s="136"/>
      <c r="CT46" s="130"/>
      <c r="CU46" s="136"/>
      <c r="CV46" s="134"/>
      <c r="CW46" s="134"/>
      <c r="CX46" s="134"/>
      <c r="CY46" s="135"/>
      <c r="CZ46" s="136"/>
      <c r="DA46" s="136"/>
      <c r="DB46" s="136"/>
      <c r="DC46" s="97"/>
      <c r="DD46" s="97"/>
      <c r="DE46" s="88"/>
    </row>
    <row r="47" spans="15:109" x14ac:dyDescent="0.3">
      <c r="O47" s="166">
        <v>1989</v>
      </c>
      <c r="P47" s="174">
        <v>4211</v>
      </c>
      <c r="Q47" s="174">
        <v>5361</v>
      </c>
      <c r="R47" s="174">
        <v>9572</v>
      </c>
      <c r="S47" s="174">
        <v>6841</v>
      </c>
      <c r="U47" t="s">
        <v>173</v>
      </c>
      <c r="V47">
        <v>25</v>
      </c>
      <c r="W47">
        <v>995</v>
      </c>
      <c r="X47">
        <f t="shared" si="31"/>
        <v>1020</v>
      </c>
      <c r="Y47">
        <f t="shared" si="33"/>
        <v>2998</v>
      </c>
      <c r="AA47" t="s">
        <v>173</v>
      </c>
      <c r="AB47">
        <v>12</v>
      </c>
      <c r="AC47">
        <v>1351</v>
      </c>
      <c r="AD47">
        <f t="shared" si="32"/>
        <v>1363</v>
      </c>
      <c r="AE47">
        <f t="shared" si="34"/>
        <v>2413</v>
      </c>
      <c r="BT47" s="82" t="s">
        <v>188</v>
      </c>
      <c r="BU47" s="82" t="s">
        <v>259</v>
      </c>
      <c r="BV47" s="82" t="s">
        <v>276</v>
      </c>
      <c r="BW47" s="82" t="s">
        <v>281</v>
      </c>
      <c r="BX47" s="82" t="s">
        <v>277</v>
      </c>
      <c r="BY47" s="82" t="s">
        <v>281</v>
      </c>
      <c r="BZ47" s="82" t="s">
        <v>277</v>
      </c>
      <c r="CA47" s="85"/>
      <c r="CB47" s="95"/>
      <c r="CC47" s="95"/>
      <c r="CD47" s="95"/>
      <c r="CE47" s="96"/>
      <c r="CF47" s="96"/>
      <c r="CG47" s="134"/>
      <c r="CH47" s="130"/>
      <c r="CI47" s="134"/>
      <c r="CJ47" s="134"/>
      <c r="CK47" s="134"/>
      <c r="CL47" s="134"/>
      <c r="CM47" s="130"/>
      <c r="CN47" s="130"/>
      <c r="CO47" s="134"/>
      <c r="CP47" s="135"/>
      <c r="CQ47" s="136"/>
      <c r="CR47" s="136"/>
      <c r="CS47" s="136"/>
      <c r="CT47" s="130"/>
      <c r="CU47" s="136"/>
      <c r="CV47" s="134"/>
      <c r="CW47" s="134"/>
      <c r="CX47" s="134"/>
      <c r="CY47" s="135"/>
      <c r="CZ47" s="136"/>
      <c r="DA47" s="136"/>
      <c r="DB47" s="136"/>
      <c r="DC47" s="97"/>
      <c r="DD47" s="97"/>
      <c r="DE47" s="88"/>
    </row>
    <row r="48" spans="15:109" x14ac:dyDescent="0.3">
      <c r="O48" s="168">
        <v>1990</v>
      </c>
      <c r="P48" s="169">
        <v>1878</v>
      </c>
      <c r="Q48" s="169">
        <v>9229</v>
      </c>
      <c r="R48" s="169">
        <v>11107</v>
      </c>
      <c r="S48" s="169">
        <v>23428</v>
      </c>
      <c r="U48" t="s">
        <v>174</v>
      </c>
      <c r="V48">
        <v>0</v>
      </c>
      <c r="W48">
        <v>1775</v>
      </c>
      <c r="X48">
        <f t="shared" si="31"/>
        <v>1775</v>
      </c>
      <c r="Y48">
        <f t="shared" si="33"/>
        <v>4773</v>
      </c>
      <c r="AA48" t="s">
        <v>174</v>
      </c>
      <c r="AB48">
        <v>0</v>
      </c>
      <c r="AC48">
        <v>1047</v>
      </c>
      <c r="AD48">
        <f t="shared" si="32"/>
        <v>1047</v>
      </c>
      <c r="AE48">
        <f t="shared" si="34"/>
        <v>3460</v>
      </c>
      <c r="BT48" t="s">
        <v>262</v>
      </c>
      <c r="BU48">
        <f t="shared" ref="BU48:BU57" si="35">BV11</f>
        <v>5307</v>
      </c>
      <c r="BV48" s="69">
        <f t="shared" ref="BV48:BV57" si="36">CF11</f>
        <v>307.32900986481548</v>
      </c>
      <c r="BW48" s="69">
        <f>Fishery!DO11</f>
        <v>18.900000000000002</v>
      </c>
      <c r="BX48" s="69">
        <f>SUM(BU48:BW48)</f>
        <v>5633.2290098648155</v>
      </c>
      <c r="BY48">
        <f>Fishery!AL95</f>
        <v>111</v>
      </c>
      <c r="BZ48" s="69">
        <f>SUM(BX48:BY48)</f>
        <v>5744.2290098648155</v>
      </c>
      <c r="CA48" s="85"/>
      <c r="CB48" s="95"/>
      <c r="CC48" s="95"/>
      <c r="CD48" s="95"/>
      <c r="CE48" s="96"/>
      <c r="CF48" s="96"/>
      <c r="CG48" s="134"/>
      <c r="CH48" s="130"/>
      <c r="CI48" s="134"/>
      <c r="CJ48" s="134"/>
      <c r="CK48" s="134"/>
      <c r="CL48" s="134"/>
      <c r="CM48" s="130"/>
      <c r="CN48" s="130"/>
      <c r="CO48" s="134"/>
      <c r="CP48" s="135"/>
      <c r="CQ48" s="136"/>
      <c r="CR48" s="136"/>
      <c r="CS48" s="136"/>
      <c r="CT48" s="130"/>
      <c r="CU48" s="136"/>
      <c r="CV48" s="134"/>
      <c r="CW48" s="134"/>
      <c r="CX48" s="134"/>
      <c r="CY48" s="135"/>
      <c r="CZ48" s="136"/>
      <c r="DA48" s="136"/>
      <c r="DB48" s="136"/>
      <c r="DC48" s="97"/>
      <c r="DD48" s="97"/>
      <c r="DE48" s="88"/>
    </row>
    <row r="49" spans="15:109" x14ac:dyDescent="0.3">
      <c r="O49" s="171">
        <v>1991</v>
      </c>
      <c r="P49" s="172">
        <v>2221</v>
      </c>
      <c r="Q49" s="172">
        <v>2722</v>
      </c>
      <c r="R49" s="172">
        <v>4943</v>
      </c>
      <c r="S49" s="172">
        <v>6360</v>
      </c>
      <c r="U49" t="s">
        <v>175</v>
      </c>
      <c r="V49">
        <v>1</v>
      </c>
      <c r="W49">
        <v>1984</v>
      </c>
      <c r="X49">
        <f t="shared" si="31"/>
        <v>1985</v>
      </c>
      <c r="Y49">
        <f t="shared" si="33"/>
        <v>6758</v>
      </c>
      <c r="AA49" t="s">
        <v>175</v>
      </c>
      <c r="AB49">
        <v>0</v>
      </c>
      <c r="AC49">
        <v>750</v>
      </c>
      <c r="AD49">
        <f t="shared" si="32"/>
        <v>750</v>
      </c>
      <c r="AE49">
        <f t="shared" si="34"/>
        <v>4210</v>
      </c>
      <c r="BT49" t="s">
        <v>225</v>
      </c>
      <c r="BU49">
        <f t="shared" si="35"/>
        <v>4699</v>
      </c>
      <c r="BV49" s="69">
        <f t="shared" si="36"/>
        <v>366.16826042726348</v>
      </c>
      <c r="BW49" s="69">
        <f>Fishery!DO12</f>
        <v>13.9</v>
      </c>
      <c r="BX49" s="69">
        <f t="shared" ref="BX49:BX57" si="37">SUM(BU49:BW49)</f>
        <v>5079.0682604272633</v>
      </c>
      <c r="BY49">
        <f>Fishery!AL96</f>
        <v>29</v>
      </c>
      <c r="BZ49" s="69">
        <f t="shared" ref="BZ49:BZ57" si="38">SUM(BX49:BY49)</f>
        <v>5108.0682604272633</v>
      </c>
      <c r="CA49" s="85"/>
      <c r="CB49" s="95"/>
      <c r="CC49" s="95"/>
      <c r="CD49" s="95"/>
      <c r="CE49" s="96"/>
      <c r="CF49" s="96"/>
      <c r="CG49" s="134"/>
      <c r="CH49" s="130"/>
      <c r="CI49" s="134"/>
      <c r="CJ49" s="134"/>
      <c r="CK49" s="134"/>
      <c r="CL49" s="134"/>
      <c r="CM49" s="130"/>
      <c r="CN49" s="130"/>
      <c r="CO49" s="134"/>
      <c r="CP49" s="130"/>
      <c r="CQ49" s="136"/>
      <c r="CR49" s="136"/>
      <c r="CS49" s="136"/>
      <c r="CT49" s="130"/>
      <c r="CU49" s="136"/>
      <c r="CV49" s="134"/>
      <c r="CW49" s="134"/>
      <c r="CX49" s="134"/>
      <c r="CY49" s="135"/>
      <c r="CZ49" s="136"/>
      <c r="DA49" s="136"/>
      <c r="DB49" s="136"/>
      <c r="DC49" s="97"/>
      <c r="DD49" s="97"/>
      <c r="DE49" s="101"/>
    </row>
    <row r="50" spans="15:109" x14ac:dyDescent="0.3">
      <c r="O50" s="166">
        <v>1992</v>
      </c>
      <c r="P50" s="174">
        <v>1717</v>
      </c>
      <c r="Q50" s="174">
        <v>3679</v>
      </c>
      <c r="R50" s="174">
        <v>5396</v>
      </c>
      <c r="S50" s="174">
        <v>11697</v>
      </c>
      <c r="U50" t="s">
        <v>176</v>
      </c>
      <c r="V50">
        <v>0</v>
      </c>
      <c r="W50">
        <v>579</v>
      </c>
      <c r="X50">
        <f t="shared" si="31"/>
        <v>579</v>
      </c>
      <c r="Y50">
        <f t="shared" si="33"/>
        <v>7337</v>
      </c>
      <c r="AA50" t="s">
        <v>176</v>
      </c>
      <c r="AB50">
        <v>0</v>
      </c>
      <c r="AC50">
        <v>295</v>
      </c>
      <c r="AD50">
        <f t="shared" si="32"/>
        <v>295</v>
      </c>
      <c r="AE50">
        <f t="shared" si="34"/>
        <v>4505</v>
      </c>
      <c r="BT50" t="s">
        <v>199</v>
      </c>
      <c r="BU50">
        <f t="shared" si="35"/>
        <v>2678</v>
      </c>
      <c r="BV50" s="69">
        <f t="shared" si="36"/>
        <v>427.45183078563809</v>
      </c>
      <c r="BW50" s="69">
        <f>Fishery!DO13</f>
        <v>4</v>
      </c>
      <c r="BX50" s="69">
        <f t="shared" si="37"/>
        <v>3109.4518307856379</v>
      </c>
      <c r="BY50">
        <f>Fishery!AL97</f>
        <v>26</v>
      </c>
      <c r="BZ50" s="69">
        <f t="shared" si="38"/>
        <v>3135.4518307856379</v>
      </c>
      <c r="CA50" s="85"/>
      <c r="CB50" s="95"/>
      <c r="CC50" s="95"/>
      <c r="CD50" s="95"/>
      <c r="CE50" s="96"/>
      <c r="CF50" s="96"/>
      <c r="CG50" s="134"/>
      <c r="CH50" s="130"/>
      <c r="CI50" s="134"/>
      <c r="CJ50" s="134"/>
      <c r="CK50" s="134"/>
      <c r="CL50" s="134"/>
      <c r="CM50" s="130"/>
      <c r="CN50" s="130"/>
      <c r="CO50" s="134"/>
      <c r="CP50" s="135"/>
      <c r="CQ50" s="136"/>
      <c r="CR50" s="136"/>
      <c r="CS50" s="136"/>
      <c r="CT50" s="130"/>
      <c r="CU50" s="136"/>
      <c r="CV50" s="134"/>
      <c r="CW50" s="134"/>
      <c r="CX50" s="134"/>
      <c r="CY50" s="135"/>
      <c r="CZ50" s="136"/>
      <c r="DA50" s="136"/>
      <c r="DB50" s="136"/>
      <c r="DC50" s="97"/>
      <c r="DD50" s="97"/>
      <c r="DE50" s="88"/>
    </row>
    <row r="51" spans="15:109" x14ac:dyDescent="0.3">
      <c r="O51" s="166">
        <v>1993</v>
      </c>
      <c r="P51" s="167">
        <v>843</v>
      </c>
      <c r="Q51" s="174">
        <v>2725</v>
      </c>
      <c r="R51" s="174">
        <v>3568</v>
      </c>
      <c r="S51" s="174">
        <v>12920</v>
      </c>
      <c r="U51" s="43" t="s">
        <v>1</v>
      </c>
      <c r="V51" s="43">
        <f>SUM(V44:V50)</f>
        <v>92</v>
      </c>
      <c r="W51" s="43">
        <f>SUM(W44:W50)</f>
        <v>7245</v>
      </c>
      <c r="X51" s="43">
        <f>SUM(X44:X50)</f>
        <v>7337</v>
      </c>
      <c r="Y51" s="43"/>
      <c r="Z51" s="43"/>
      <c r="AA51" s="43" t="s">
        <v>1</v>
      </c>
      <c r="AB51" s="43">
        <f>SUM(AB44:AB50)</f>
        <v>21</v>
      </c>
      <c r="AC51" s="43">
        <f>SUM(AC44:AC50)</f>
        <v>4484</v>
      </c>
      <c r="AD51" s="43">
        <f>SUM(AD44:AD50)</f>
        <v>4505</v>
      </c>
      <c r="AE51" s="43"/>
      <c r="AF51" s="43"/>
      <c r="BT51" t="s">
        <v>198</v>
      </c>
      <c r="BU51">
        <f t="shared" si="35"/>
        <v>7245</v>
      </c>
      <c r="BV51" s="69">
        <f t="shared" si="36"/>
        <v>508.54231974921635</v>
      </c>
      <c r="BW51" s="69">
        <f>Fishery!DO14</f>
        <v>29.8</v>
      </c>
      <c r="BX51" s="69">
        <f t="shared" si="37"/>
        <v>7783.3423197492166</v>
      </c>
      <c r="BY51">
        <f>Fishery!AL98</f>
        <v>133</v>
      </c>
      <c r="BZ51" s="69">
        <f t="shared" si="38"/>
        <v>7916.3423197492166</v>
      </c>
      <c r="CA51" s="85"/>
      <c r="CB51" s="95"/>
      <c r="CC51" s="95"/>
      <c r="CD51" s="95"/>
      <c r="CE51" s="96"/>
      <c r="CF51" s="96"/>
      <c r="CG51" s="134"/>
      <c r="CH51" s="130"/>
      <c r="CI51" s="134"/>
      <c r="CJ51" s="134"/>
      <c r="CK51" s="134"/>
      <c r="CL51" s="134"/>
      <c r="CM51" s="130"/>
      <c r="CN51" s="130"/>
      <c r="CO51" s="134"/>
      <c r="CP51" s="136"/>
      <c r="CQ51" s="136"/>
      <c r="CR51" s="136"/>
      <c r="CS51" s="136"/>
      <c r="CT51" s="130"/>
      <c r="CU51" s="136"/>
      <c r="CV51" s="134"/>
      <c r="CW51" s="134"/>
      <c r="CX51" s="134"/>
      <c r="CY51" s="130"/>
      <c r="CZ51" s="130"/>
      <c r="DA51" s="130"/>
      <c r="DB51" s="136"/>
      <c r="DC51" s="97"/>
      <c r="DD51" s="97"/>
      <c r="DE51" s="88"/>
    </row>
    <row r="52" spans="15:109" x14ac:dyDescent="0.3">
      <c r="O52" s="166">
        <v>1994</v>
      </c>
      <c r="P52" s="174">
        <v>1025</v>
      </c>
      <c r="Q52" s="174">
        <v>4275</v>
      </c>
      <c r="R52" s="174">
        <v>5300</v>
      </c>
      <c r="S52" s="174">
        <v>11819</v>
      </c>
      <c r="BT52" t="s">
        <v>197</v>
      </c>
      <c r="BU52">
        <f>BV15</f>
        <v>7323</v>
      </c>
      <c r="BV52" s="69">
        <f t="shared" si="36"/>
        <v>571.78645343367828</v>
      </c>
      <c r="BW52" s="69">
        <f>Fishery!DO15</f>
        <v>14.5</v>
      </c>
      <c r="BX52" s="69">
        <f t="shared" si="37"/>
        <v>7909.2864534336786</v>
      </c>
      <c r="BY52">
        <f>Fishery!AL99</f>
        <v>104</v>
      </c>
      <c r="BZ52" s="69">
        <f t="shared" si="38"/>
        <v>8013.2864534336786</v>
      </c>
      <c r="CA52" s="85"/>
      <c r="CB52" s="95"/>
      <c r="CC52" s="95"/>
      <c r="CD52" s="87"/>
      <c r="CE52" s="96"/>
      <c r="CF52" s="96"/>
      <c r="CG52" s="134"/>
      <c r="CH52" s="130"/>
      <c r="CI52" s="134"/>
      <c r="CJ52" s="134"/>
      <c r="CK52" s="134"/>
      <c r="CL52" s="134"/>
      <c r="CM52" s="130"/>
      <c r="CN52" s="130"/>
      <c r="CO52" s="134"/>
      <c r="CP52" s="136"/>
      <c r="CQ52" s="136"/>
      <c r="CR52" s="136"/>
      <c r="CS52" s="136"/>
      <c r="CT52" s="130"/>
      <c r="CU52" s="136"/>
      <c r="CV52" s="134"/>
      <c r="CW52" s="134"/>
      <c r="CX52" s="134"/>
      <c r="CY52" s="135"/>
      <c r="CZ52" s="136"/>
      <c r="DA52" s="136"/>
      <c r="DB52" s="136"/>
      <c r="DC52" s="97"/>
      <c r="DD52" s="97"/>
      <c r="DE52" s="88"/>
    </row>
    <row r="53" spans="15:109" x14ac:dyDescent="0.3">
      <c r="O53" s="166">
        <v>1995</v>
      </c>
      <c r="P53" s="174">
        <v>1991</v>
      </c>
      <c r="Q53" s="174">
        <v>2702</v>
      </c>
      <c r="R53" s="174">
        <v>4693</v>
      </c>
      <c r="S53" s="174">
        <v>12704</v>
      </c>
      <c r="V53" s="237" t="s">
        <v>268</v>
      </c>
      <c r="W53" s="237"/>
      <c r="X53" s="237"/>
      <c r="Y53" s="237"/>
      <c r="Z53" s="32"/>
      <c r="AB53" s="237" t="s">
        <v>180</v>
      </c>
      <c r="AC53" s="237"/>
      <c r="AD53" s="237"/>
      <c r="AE53" s="237"/>
      <c r="AF53" s="32"/>
      <c r="BT53" t="s">
        <v>190</v>
      </c>
      <c r="BU53">
        <f>BV16</f>
        <v>7358</v>
      </c>
      <c r="BV53" s="69">
        <f t="shared" si="36"/>
        <v>625.08219537815125</v>
      </c>
      <c r="BW53" s="69">
        <f>Fishery!DO16</f>
        <v>19.5</v>
      </c>
      <c r="BX53" s="69">
        <f t="shared" si="37"/>
        <v>8002.5821953781515</v>
      </c>
      <c r="BY53">
        <f>Fishery!AL100</f>
        <v>129</v>
      </c>
      <c r="BZ53" s="69">
        <f t="shared" si="38"/>
        <v>8131.5821953781515</v>
      </c>
      <c r="CA53" s="85"/>
      <c r="CB53" s="95"/>
      <c r="CC53" s="95"/>
      <c r="CD53" s="95"/>
      <c r="CE53" s="96"/>
      <c r="CF53" s="96"/>
      <c r="CG53" s="134"/>
      <c r="CH53" s="130"/>
      <c r="CI53" s="134"/>
      <c r="CJ53" s="134"/>
      <c r="CK53" s="134"/>
      <c r="CL53" s="134"/>
      <c r="CM53" s="130"/>
      <c r="CN53" s="130"/>
      <c r="CO53" s="134"/>
      <c r="CP53" s="136"/>
      <c r="CQ53" s="136"/>
      <c r="CR53" s="136"/>
      <c r="CS53" s="136"/>
      <c r="CT53" s="130"/>
      <c r="CU53" s="136"/>
      <c r="CV53" s="134"/>
      <c r="CW53" s="134"/>
      <c r="CX53" s="134"/>
      <c r="CY53" s="136"/>
      <c r="CZ53" s="136"/>
      <c r="DA53" s="136"/>
      <c r="DB53" s="136"/>
      <c r="DC53" s="97"/>
      <c r="DD53" s="97"/>
      <c r="DE53" s="88"/>
    </row>
    <row r="54" spans="15:109" x14ac:dyDescent="0.3">
      <c r="O54" s="166">
        <v>1996</v>
      </c>
      <c r="P54" s="167">
        <v>479</v>
      </c>
      <c r="Q54" s="174">
        <v>1322</v>
      </c>
      <c r="R54" s="174">
        <v>1801</v>
      </c>
      <c r="S54" s="174">
        <v>6346</v>
      </c>
      <c r="U54" t="s">
        <v>166</v>
      </c>
      <c r="V54" s="62" t="s">
        <v>167</v>
      </c>
      <c r="W54" s="62" t="s">
        <v>168</v>
      </c>
      <c r="X54" s="62" t="s">
        <v>1</v>
      </c>
      <c r="Y54" s="62" t="s">
        <v>169</v>
      </c>
      <c r="Z54" s="62"/>
      <c r="AA54" t="s">
        <v>166</v>
      </c>
      <c r="AB54" s="62" t="s">
        <v>167</v>
      </c>
      <c r="AC54" s="62" t="s">
        <v>168</v>
      </c>
      <c r="AD54" s="62" t="s">
        <v>1</v>
      </c>
      <c r="AE54" s="62" t="s">
        <v>169</v>
      </c>
      <c r="AF54" s="62"/>
      <c r="BT54" t="s">
        <v>191</v>
      </c>
      <c r="BU54">
        <f>BV17</f>
        <v>4798</v>
      </c>
      <c r="BV54" s="69">
        <f t="shared" si="36"/>
        <v>691.94457928802592</v>
      </c>
      <c r="BW54" s="69">
        <f>Fishery!DO17</f>
        <v>15.8</v>
      </c>
      <c r="BX54" s="69">
        <f t="shared" si="37"/>
        <v>5505.7445792880262</v>
      </c>
      <c r="BY54">
        <f>Fishery!AL101</f>
        <v>49</v>
      </c>
      <c r="BZ54" s="69">
        <f t="shared" si="38"/>
        <v>5554.7445792880262</v>
      </c>
      <c r="CA54" s="85"/>
      <c r="CB54" s="95"/>
      <c r="CC54" s="95"/>
      <c r="CD54" s="87"/>
      <c r="CE54" s="96"/>
      <c r="CF54" s="96"/>
      <c r="CG54" s="134"/>
      <c r="CH54" s="130"/>
      <c r="CI54" s="134"/>
      <c r="CJ54" s="134"/>
      <c r="CK54" s="134"/>
      <c r="CL54" s="134"/>
      <c r="CM54" s="130"/>
      <c r="CN54" s="130"/>
      <c r="CO54" s="134"/>
      <c r="CP54" s="136"/>
      <c r="CQ54" s="136"/>
      <c r="CR54" s="136"/>
      <c r="CS54" s="136"/>
      <c r="CT54" s="130"/>
      <c r="CU54" s="136"/>
      <c r="CV54" s="134"/>
      <c r="CW54" s="134"/>
      <c r="CX54" s="134"/>
      <c r="CY54" s="136"/>
      <c r="CZ54" s="136"/>
      <c r="DA54" s="136"/>
      <c r="DB54" s="136"/>
      <c r="DC54" s="97"/>
      <c r="DD54" s="97"/>
      <c r="DE54" s="33"/>
    </row>
    <row r="55" spans="15:109" x14ac:dyDescent="0.3">
      <c r="O55" s="166">
        <v>1997</v>
      </c>
      <c r="P55" s="167">
        <v>619</v>
      </c>
      <c r="Q55" s="174">
        <v>3925</v>
      </c>
      <c r="R55" s="174">
        <v>4544</v>
      </c>
      <c r="S55" s="174">
        <v>14907</v>
      </c>
      <c r="BT55" t="s">
        <v>192</v>
      </c>
      <c r="BU55">
        <f>BV18</f>
        <v>5334</v>
      </c>
      <c r="BV55" s="69">
        <f t="shared" si="36"/>
        <v>777.81267526640488</v>
      </c>
      <c r="BW55" s="69">
        <f>Fishery!DO18</f>
        <v>33.5</v>
      </c>
      <c r="BX55" s="69">
        <f t="shared" si="37"/>
        <v>6145.3126752664048</v>
      </c>
      <c r="BY55">
        <f>Fishery!AL102</f>
        <v>97</v>
      </c>
      <c r="BZ55" s="69">
        <f t="shared" si="38"/>
        <v>6242.3126752664048</v>
      </c>
      <c r="CB55" s="87"/>
      <c r="CC55" s="87"/>
      <c r="CD55" s="87"/>
      <c r="CE55" s="96"/>
      <c r="CF55" s="96"/>
      <c r="CG55" s="137"/>
      <c r="CH55" s="130"/>
      <c r="CI55" s="137"/>
      <c r="CJ55" s="137"/>
      <c r="CK55" s="137"/>
      <c r="CL55" s="137"/>
      <c r="CM55" s="130"/>
      <c r="CN55" s="130"/>
      <c r="CO55" s="137"/>
      <c r="CP55" s="53"/>
      <c r="CQ55" s="53"/>
      <c r="CR55" s="53"/>
      <c r="CS55" s="53"/>
      <c r="CT55" s="130"/>
      <c r="CU55" s="141"/>
      <c r="CV55" s="134"/>
      <c r="CW55" s="134"/>
      <c r="CX55" s="134"/>
      <c r="CY55" s="136"/>
      <c r="CZ55" s="136"/>
      <c r="DA55" s="136"/>
      <c r="DB55" s="136"/>
      <c r="DC55" s="97"/>
      <c r="DD55" s="89"/>
      <c r="DE55" s="33"/>
    </row>
    <row r="56" spans="15:109" x14ac:dyDescent="0.3">
      <c r="O56" s="175">
        <v>1998</v>
      </c>
      <c r="P56" s="167">
        <v>757</v>
      </c>
      <c r="Q56" s="174">
        <v>2921</v>
      </c>
      <c r="R56" s="174">
        <v>3678</v>
      </c>
      <c r="S56" s="174">
        <v>12931</v>
      </c>
      <c r="U56" t="s">
        <v>170</v>
      </c>
      <c r="V56">
        <v>38</v>
      </c>
      <c r="W56">
        <v>345</v>
      </c>
      <c r="X56">
        <f t="shared" ref="X56:X62" si="39">SUM(V56:W56)</f>
        <v>383</v>
      </c>
      <c r="Y56">
        <f>X56</f>
        <v>383</v>
      </c>
      <c r="AA56" t="s">
        <v>170</v>
      </c>
      <c r="AB56">
        <v>18</v>
      </c>
      <c r="AC56">
        <v>59</v>
      </c>
      <c r="AD56">
        <f t="shared" ref="AD56:AD62" si="40">SUM(AB56:AC56)</f>
        <v>77</v>
      </c>
      <c r="AE56">
        <f>AD56</f>
        <v>77</v>
      </c>
      <c r="BT56" t="s">
        <v>193</v>
      </c>
      <c r="BU56">
        <f t="shared" si="35"/>
        <v>4484</v>
      </c>
      <c r="BV56" s="69">
        <f t="shared" si="36"/>
        <v>554.4035516093229</v>
      </c>
      <c r="BW56" s="69">
        <f>Fishery!DO19</f>
        <v>8.1</v>
      </c>
      <c r="BX56" s="69">
        <f t="shared" si="37"/>
        <v>5046.503551609323</v>
      </c>
      <c r="BY56">
        <f>Fishery!AL103</f>
        <v>129</v>
      </c>
      <c r="BZ56" s="69">
        <f t="shared" si="38"/>
        <v>5175.503551609323</v>
      </c>
      <c r="CA56" s="85"/>
      <c r="CB56" s="87"/>
      <c r="CC56" s="87"/>
      <c r="CD56" s="87"/>
      <c r="CE56" s="96"/>
      <c r="CF56" s="96"/>
      <c r="CH56" s="130"/>
      <c r="CM56" s="130"/>
      <c r="CN56" s="130"/>
      <c r="CT56" s="130"/>
      <c r="CV56" s="134"/>
      <c r="CW56" s="134"/>
      <c r="CX56" s="134"/>
      <c r="CY56" s="136"/>
      <c r="CZ56" s="136"/>
      <c r="DA56" s="136"/>
      <c r="DB56" s="136"/>
      <c r="DC56" s="97"/>
    </row>
    <row r="57" spans="15:109" x14ac:dyDescent="0.3">
      <c r="O57" s="175">
        <v>1999</v>
      </c>
      <c r="P57" s="174">
        <v>1207</v>
      </c>
      <c r="Q57" s="174">
        <v>5697</v>
      </c>
      <c r="R57" s="174">
        <v>6904</v>
      </c>
      <c r="S57" s="174">
        <v>10935</v>
      </c>
      <c r="U57" t="s">
        <v>171</v>
      </c>
      <c r="V57">
        <v>13</v>
      </c>
      <c r="W57">
        <v>742</v>
      </c>
      <c r="X57">
        <f t="shared" si="39"/>
        <v>755</v>
      </c>
      <c r="Y57">
        <f t="shared" ref="Y57:Y62" si="41">Y56+X57</f>
        <v>1138</v>
      </c>
      <c r="AA57" t="s">
        <v>171</v>
      </c>
      <c r="AB57">
        <v>0</v>
      </c>
      <c r="AC57">
        <v>62</v>
      </c>
      <c r="AD57">
        <f t="shared" si="40"/>
        <v>62</v>
      </c>
      <c r="AE57">
        <f t="shared" ref="AE57:AE62" si="42">AE56+AD57</f>
        <v>139</v>
      </c>
      <c r="BT57" t="s">
        <v>194</v>
      </c>
      <c r="BU57">
        <f t="shared" si="35"/>
        <v>5536</v>
      </c>
      <c r="BV57" s="69">
        <f t="shared" si="36"/>
        <v>1425.6780893042576</v>
      </c>
      <c r="BW57" s="69">
        <f>Fishery!DO20</f>
        <v>15.600000000000001</v>
      </c>
      <c r="BX57" s="69">
        <f t="shared" si="37"/>
        <v>6977.2780893042582</v>
      </c>
      <c r="BY57">
        <f>Fishery!AL104</f>
        <v>104</v>
      </c>
      <c r="BZ57" s="69">
        <f t="shared" si="38"/>
        <v>7081.2780893042582</v>
      </c>
      <c r="CB57" s="87"/>
      <c r="CC57" s="87"/>
      <c r="CD57" s="87"/>
      <c r="CE57" s="96"/>
      <c r="CF57" s="96"/>
      <c r="CH57" s="53"/>
      <c r="CM57" s="53"/>
      <c r="CN57" s="53"/>
      <c r="CT57" s="53"/>
      <c r="CV57" s="137"/>
      <c r="CW57" s="137"/>
      <c r="CX57" s="137"/>
      <c r="CY57" s="53"/>
      <c r="CZ57" s="53"/>
      <c r="DA57" s="53"/>
      <c r="DB57" s="53"/>
      <c r="DC57" s="89"/>
    </row>
    <row r="58" spans="15:109" x14ac:dyDescent="0.3">
      <c r="O58" s="168">
        <v>2000</v>
      </c>
      <c r="P58" s="169">
        <v>1402</v>
      </c>
      <c r="Q58" s="169">
        <v>3359</v>
      </c>
      <c r="R58" s="169">
        <v>4761</v>
      </c>
      <c r="S58" s="169">
        <v>12518</v>
      </c>
      <c r="U58" t="s">
        <v>172</v>
      </c>
      <c r="V58">
        <v>6</v>
      </c>
      <c r="W58">
        <v>990</v>
      </c>
      <c r="X58">
        <f t="shared" si="39"/>
        <v>996</v>
      </c>
      <c r="Y58">
        <f t="shared" si="41"/>
        <v>2134</v>
      </c>
      <c r="AA58" t="s">
        <v>172</v>
      </c>
      <c r="AB58">
        <v>80</v>
      </c>
      <c r="AC58">
        <v>1029</v>
      </c>
      <c r="AD58">
        <f t="shared" si="40"/>
        <v>1109</v>
      </c>
      <c r="AE58">
        <f t="shared" si="42"/>
        <v>1248</v>
      </c>
      <c r="CB58" s="87"/>
      <c r="CC58" s="87"/>
      <c r="CD58" s="103"/>
      <c r="CE58" s="104"/>
      <c r="CF58" s="104"/>
      <c r="CH58" s="53"/>
      <c r="CM58" s="53"/>
      <c r="CN58" s="53"/>
      <c r="CT58" s="53"/>
    </row>
    <row r="59" spans="15:109" ht="16.2" x14ac:dyDescent="0.3">
      <c r="O59" s="171">
        <v>2001</v>
      </c>
      <c r="P59" s="172">
        <v>1773</v>
      </c>
      <c r="Q59" s="172">
        <v>10752</v>
      </c>
      <c r="R59" s="172">
        <v>12525</v>
      </c>
      <c r="S59" s="172">
        <v>26418</v>
      </c>
      <c r="U59" t="s">
        <v>173</v>
      </c>
      <c r="V59">
        <v>61</v>
      </c>
      <c r="W59">
        <v>951</v>
      </c>
      <c r="X59">
        <f t="shared" si="39"/>
        <v>1012</v>
      </c>
      <c r="Y59">
        <f t="shared" si="41"/>
        <v>3146</v>
      </c>
      <c r="AA59" t="s">
        <v>173</v>
      </c>
      <c r="AB59">
        <v>144</v>
      </c>
      <c r="AC59">
        <v>1526</v>
      </c>
      <c r="AD59">
        <f t="shared" si="40"/>
        <v>1670</v>
      </c>
      <c r="AE59">
        <f t="shared" si="42"/>
        <v>2918</v>
      </c>
      <c r="BT59" t="s">
        <v>231</v>
      </c>
      <c r="BU59" s="69">
        <f>AVERAGE(BU48:BU57)</f>
        <v>5476.2</v>
      </c>
      <c r="BW59" s="69"/>
      <c r="BX59" s="69">
        <f>AVERAGE(BX48:BX57)</f>
        <v>6119.1798965106773</v>
      </c>
      <c r="BZ59" s="69">
        <f>AVERAGE(BZ48:BZ57)</f>
        <v>6210.2798965106767</v>
      </c>
      <c r="CB59" s="102"/>
      <c r="CC59" s="102"/>
      <c r="CH59" s="53"/>
      <c r="CM59" s="53"/>
      <c r="CN59" s="53"/>
      <c r="CT59" s="53"/>
    </row>
    <row r="60" spans="15:109" x14ac:dyDescent="0.3">
      <c r="O60" s="166">
        <v>2002</v>
      </c>
      <c r="P60" s="174">
        <v>5552</v>
      </c>
      <c r="Q60" s="174">
        <v>11106</v>
      </c>
      <c r="R60" s="174">
        <v>16658</v>
      </c>
      <c r="S60" s="174">
        <v>34291</v>
      </c>
      <c r="U60" t="s">
        <v>174</v>
      </c>
      <c r="V60">
        <v>0</v>
      </c>
      <c r="W60">
        <v>2422</v>
      </c>
      <c r="X60">
        <f t="shared" si="39"/>
        <v>2422</v>
      </c>
      <c r="Y60">
        <f t="shared" si="41"/>
        <v>5568</v>
      </c>
      <c r="AA60" t="s">
        <v>174</v>
      </c>
      <c r="AB60">
        <v>0</v>
      </c>
      <c r="AC60">
        <v>1388</v>
      </c>
      <c r="AD60">
        <f t="shared" si="40"/>
        <v>1388</v>
      </c>
      <c r="AE60">
        <f t="shared" si="42"/>
        <v>4306</v>
      </c>
      <c r="CH60" s="53"/>
      <c r="CM60" s="53"/>
      <c r="CN60" s="53"/>
      <c r="CT60" s="53"/>
    </row>
    <row r="61" spans="15:109" ht="16.2" x14ac:dyDescent="0.3">
      <c r="O61" s="166">
        <v>2003</v>
      </c>
      <c r="P61" s="174">
        <v>2430</v>
      </c>
      <c r="Q61" s="174">
        <v>6662</v>
      </c>
      <c r="R61" s="174">
        <v>9092</v>
      </c>
      <c r="S61" s="174">
        <v>15834</v>
      </c>
      <c r="U61" t="s">
        <v>175</v>
      </c>
      <c r="V61">
        <v>0</v>
      </c>
      <c r="W61">
        <v>1084</v>
      </c>
      <c r="X61">
        <f t="shared" si="39"/>
        <v>1084</v>
      </c>
      <c r="Y61">
        <f t="shared" si="41"/>
        <v>6652</v>
      </c>
      <c r="AA61" t="s">
        <v>175</v>
      </c>
      <c r="AB61">
        <v>0</v>
      </c>
      <c r="AC61">
        <v>895</v>
      </c>
      <c r="AD61">
        <f t="shared" si="40"/>
        <v>895</v>
      </c>
      <c r="AE61">
        <f t="shared" si="42"/>
        <v>5201</v>
      </c>
      <c r="CH61" s="138"/>
      <c r="CM61" s="138"/>
      <c r="CN61" s="138"/>
      <c r="CT61" s="138"/>
    </row>
    <row r="62" spans="15:109" x14ac:dyDescent="0.3">
      <c r="O62" s="166">
        <v>2004</v>
      </c>
      <c r="P62" s="174">
        <v>3755</v>
      </c>
      <c r="Q62" s="174">
        <v>8087</v>
      </c>
      <c r="R62" s="174">
        <v>11842</v>
      </c>
      <c r="S62" s="174">
        <v>33440</v>
      </c>
      <c r="U62" t="s">
        <v>176</v>
      </c>
      <c r="V62">
        <v>0</v>
      </c>
      <c r="W62">
        <v>789</v>
      </c>
      <c r="X62">
        <f t="shared" si="39"/>
        <v>789</v>
      </c>
      <c r="Y62">
        <f t="shared" si="41"/>
        <v>7441</v>
      </c>
      <c r="AA62" t="s">
        <v>176</v>
      </c>
      <c r="AB62">
        <v>0</v>
      </c>
      <c r="AC62">
        <v>577</v>
      </c>
      <c r="AD62">
        <f t="shared" si="40"/>
        <v>577</v>
      </c>
      <c r="AE62">
        <f t="shared" si="42"/>
        <v>5778</v>
      </c>
    </row>
    <row r="63" spans="15:109" x14ac:dyDescent="0.3">
      <c r="O63" s="166">
        <v>2005</v>
      </c>
      <c r="P63" s="174">
        <v>1340</v>
      </c>
      <c r="Q63" s="174">
        <v>4623</v>
      </c>
      <c r="R63" s="174">
        <v>5963</v>
      </c>
      <c r="S63" s="174">
        <v>14063</v>
      </c>
      <c r="U63" s="43" t="s">
        <v>1</v>
      </c>
      <c r="V63" s="43">
        <f>SUM(V56:V62)</f>
        <v>118</v>
      </c>
      <c r="W63" s="43">
        <f>SUM(W56:W62)</f>
        <v>7323</v>
      </c>
      <c r="X63" s="43">
        <f>SUM(X56:X62)</f>
        <v>7441</v>
      </c>
      <c r="Y63" s="43"/>
      <c r="Z63" s="43"/>
      <c r="AA63" s="43" t="s">
        <v>1</v>
      </c>
      <c r="AB63" s="43">
        <f>SUM(AB56:AB62)</f>
        <v>242</v>
      </c>
      <c r="AC63" s="43">
        <f>SUM(AC56:AC62)</f>
        <v>5536</v>
      </c>
      <c r="AD63" s="43">
        <f>SUM(AD56:AD62)</f>
        <v>5778</v>
      </c>
      <c r="AE63" s="43"/>
      <c r="AF63" s="43"/>
    </row>
    <row r="64" spans="15:109" x14ac:dyDescent="0.3">
      <c r="O64" s="166">
        <v>2006</v>
      </c>
      <c r="P64" s="174">
        <v>3153</v>
      </c>
      <c r="Q64" s="174">
        <v>3251</v>
      </c>
      <c r="R64" s="174">
        <v>6404</v>
      </c>
      <c r="S64" s="174">
        <v>19373</v>
      </c>
    </row>
    <row r="65" spans="15:32" x14ac:dyDescent="0.3">
      <c r="O65" s="166">
        <v>2007</v>
      </c>
      <c r="P65" s="174">
        <v>2106</v>
      </c>
      <c r="Q65" s="174">
        <v>3368</v>
      </c>
      <c r="R65" s="174">
        <v>5474</v>
      </c>
      <c r="S65" s="174">
        <v>14915</v>
      </c>
      <c r="V65" s="237"/>
      <c r="W65" s="237"/>
      <c r="X65" s="237"/>
      <c r="Y65" s="237"/>
      <c r="Z65" s="32"/>
      <c r="AB65" s="237" t="s">
        <v>181</v>
      </c>
      <c r="AC65" s="237"/>
      <c r="AD65" s="237"/>
      <c r="AE65" s="237"/>
      <c r="AF65" s="32"/>
    </row>
    <row r="66" spans="15:32" x14ac:dyDescent="0.3">
      <c r="O66" s="166">
        <v>2008</v>
      </c>
      <c r="P66" s="174">
        <v>2327</v>
      </c>
      <c r="Q66" s="174">
        <v>2588</v>
      </c>
      <c r="R66" s="174">
        <v>4915</v>
      </c>
      <c r="S66" s="174">
        <v>14883</v>
      </c>
      <c r="V66" s="62"/>
      <c r="W66" s="62"/>
      <c r="X66" s="62"/>
      <c r="Y66" s="62"/>
      <c r="Z66" s="62"/>
      <c r="AA66" t="s">
        <v>166</v>
      </c>
      <c r="AB66" s="62" t="s">
        <v>167</v>
      </c>
      <c r="AC66" s="62" t="s">
        <v>168</v>
      </c>
      <c r="AD66" s="62" t="s">
        <v>1</v>
      </c>
      <c r="AE66" s="62" t="s">
        <v>169</v>
      </c>
      <c r="AF66" s="62"/>
    </row>
    <row r="67" spans="15:32" x14ac:dyDescent="0.3">
      <c r="O67" s="166">
        <v>2009</v>
      </c>
      <c r="P67" s="167">
        <v>703</v>
      </c>
      <c r="Q67" s="174">
        <v>2110</v>
      </c>
      <c r="R67" s="174">
        <v>2813</v>
      </c>
      <c r="S67" s="174">
        <v>15062</v>
      </c>
    </row>
    <row r="68" spans="15:32" x14ac:dyDescent="0.3">
      <c r="O68" s="168">
        <v>2010</v>
      </c>
      <c r="P68" s="169">
        <v>2481</v>
      </c>
      <c r="Q68" s="169">
        <v>4856</v>
      </c>
      <c r="R68" s="169">
        <v>7337</v>
      </c>
      <c r="S68" s="169">
        <v>25675</v>
      </c>
      <c r="AA68" t="s">
        <v>170</v>
      </c>
      <c r="AB68">
        <v>4</v>
      </c>
      <c r="AC68">
        <v>25</v>
      </c>
      <c r="AD68">
        <f t="shared" ref="AD68:AD74" si="43">SUM(AB68:AC68)</f>
        <v>29</v>
      </c>
      <c r="AE68">
        <f>AD68</f>
        <v>29</v>
      </c>
    </row>
    <row r="69" spans="15:32" x14ac:dyDescent="0.3">
      <c r="O69" s="171">
        <v>2011</v>
      </c>
      <c r="P69" s="172">
        <v>2771</v>
      </c>
      <c r="Q69" s="172">
        <v>4670</v>
      </c>
      <c r="R69" s="172">
        <v>7441</v>
      </c>
      <c r="S69" s="172">
        <v>21477</v>
      </c>
      <c r="AA69" t="s">
        <v>171</v>
      </c>
      <c r="AB69">
        <v>0</v>
      </c>
      <c r="AC69">
        <v>102</v>
      </c>
      <c r="AD69">
        <f t="shared" si="43"/>
        <v>102</v>
      </c>
      <c r="AE69">
        <f t="shared" ref="AE69:AE74" si="44">AE68+AD69</f>
        <v>131</v>
      </c>
    </row>
    <row r="70" spans="15:32" x14ac:dyDescent="0.3">
      <c r="O70" s="166">
        <v>2012</v>
      </c>
      <c r="P70" s="174">
        <v>2917</v>
      </c>
      <c r="Q70" s="174">
        <v>4699</v>
      </c>
      <c r="R70" s="174">
        <v>7616</v>
      </c>
      <c r="S70" s="174">
        <v>24729</v>
      </c>
      <c r="AA70" t="s">
        <v>172</v>
      </c>
      <c r="AB70">
        <v>0</v>
      </c>
      <c r="AC70">
        <v>109</v>
      </c>
      <c r="AD70">
        <f t="shared" si="43"/>
        <v>109</v>
      </c>
      <c r="AE70">
        <f t="shared" si="44"/>
        <v>240</v>
      </c>
    </row>
    <row r="71" spans="15:32" x14ac:dyDescent="0.3">
      <c r="O71" s="166">
        <v>2013</v>
      </c>
      <c r="P71" s="174">
        <v>1322</v>
      </c>
      <c r="Q71" s="174">
        <v>3622</v>
      </c>
      <c r="R71" s="174">
        <v>4944</v>
      </c>
      <c r="S71" s="174">
        <v>13549</v>
      </c>
      <c r="AA71" t="s">
        <v>173</v>
      </c>
      <c r="AB71">
        <v>0</v>
      </c>
      <c r="AC71">
        <v>145</v>
      </c>
      <c r="AD71">
        <f t="shared" si="43"/>
        <v>145</v>
      </c>
      <c r="AE71">
        <f t="shared" si="44"/>
        <v>385</v>
      </c>
    </row>
    <row r="72" spans="15:32" x14ac:dyDescent="0.3">
      <c r="O72" s="166">
        <v>2014</v>
      </c>
      <c r="P72" s="167">
        <v>839</v>
      </c>
      <c r="Q72" s="174">
        <v>4510</v>
      </c>
      <c r="R72" s="174">
        <v>5349</v>
      </c>
      <c r="S72" s="174">
        <v>22941</v>
      </c>
      <c r="AA72" t="s">
        <v>174</v>
      </c>
      <c r="AB72">
        <v>0</v>
      </c>
      <c r="AC72">
        <v>245</v>
      </c>
      <c r="AD72">
        <f t="shared" si="43"/>
        <v>245</v>
      </c>
      <c r="AE72">
        <f t="shared" si="44"/>
        <v>630</v>
      </c>
    </row>
    <row r="73" spans="15:32" x14ac:dyDescent="0.3">
      <c r="O73" s="166">
        <v>2015</v>
      </c>
      <c r="P73" s="174">
        <v>1905</v>
      </c>
      <c r="Q73" s="174">
        <v>2603</v>
      </c>
      <c r="R73" s="174">
        <v>4508</v>
      </c>
      <c r="S73" s="174">
        <v>3894</v>
      </c>
      <c r="AA73" t="s">
        <v>175</v>
      </c>
      <c r="AB73">
        <v>0</v>
      </c>
      <c r="AC73">
        <v>87</v>
      </c>
      <c r="AD73">
        <f t="shared" si="43"/>
        <v>87</v>
      </c>
      <c r="AE73">
        <f t="shared" si="44"/>
        <v>717</v>
      </c>
    </row>
    <row r="74" spans="15:32" x14ac:dyDescent="0.3">
      <c r="O74" s="166">
        <v>2016</v>
      </c>
      <c r="P74" s="174">
        <v>2023</v>
      </c>
      <c r="Q74" s="174">
        <v>3755</v>
      </c>
      <c r="R74" s="174">
        <v>5778</v>
      </c>
      <c r="S74" s="174">
        <v>21732</v>
      </c>
      <c r="AA74" t="s">
        <v>176</v>
      </c>
      <c r="AB74">
        <v>0</v>
      </c>
      <c r="AC74">
        <v>104</v>
      </c>
      <c r="AD74">
        <f t="shared" si="43"/>
        <v>104</v>
      </c>
      <c r="AE74">
        <f t="shared" si="44"/>
        <v>821</v>
      </c>
    </row>
    <row r="75" spans="15:32" x14ac:dyDescent="0.3">
      <c r="O75" s="168">
        <v>2017</v>
      </c>
      <c r="P75" s="170">
        <v>279</v>
      </c>
      <c r="Q75" s="170">
        <v>543</v>
      </c>
      <c r="R75" s="170">
        <v>822</v>
      </c>
      <c r="S75" s="169">
        <v>2182</v>
      </c>
      <c r="U75" s="43"/>
      <c r="V75" s="43"/>
      <c r="W75" s="43"/>
      <c r="X75" s="43"/>
      <c r="Y75" s="43"/>
      <c r="Z75" s="43"/>
      <c r="AA75" s="43" t="s">
        <v>1</v>
      </c>
      <c r="AB75" s="43">
        <f>SUM(AB68:AB74)</f>
        <v>4</v>
      </c>
      <c r="AC75" s="43">
        <f>SUM(AC68:AC74)</f>
        <v>817</v>
      </c>
      <c r="AD75" s="43">
        <f>SUM(AD68:AD74)</f>
        <v>821</v>
      </c>
      <c r="AE75" s="43"/>
      <c r="AF75" s="43"/>
    </row>
    <row r="76" spans="15:32" x14ac:dyDescent="0.3">
      <c r="O76">
        <v>2018</v>
      </c>
      <c r="P76" s="174">
        <v>596</v>
      </c>
      <c r="Q76" s="174">
        <v>1233</v>
      </c>
      <c r="R76" s="33">
        <v>1829</v>
      </c>
      <c r="S76" s="72">
        <v>9277</v>
      </c>
    </row>
    <row r="77" spans="15:32" x14ac:dyDescent="0.3">
      <c r="O77" s="219">
        <v>2019</v>
      </c>
      <c r="P77" s="174">
        <v>495</v>
      </c>
      <c r="Q77" s="174">
        <v>2707</v>
      </c>
      <c r="R77" s="174">
        <v>3202</v>
      </c>
      <c r="S77" s="62">
        <v>5367</v>
      </c>
      <c r="V77" s="237"/>
      <c r="W77" s="237"/>
      <c r="X77" s="237"/>
      <c r="Y77" s="237"/>
      <c r="Z77" s="32"/>
      <c r="AB77" s="237" t="s">
        <v>182</v>
      </c>
      <c r="AC77" s="237"/>
      <c r="AD77" s="237"/>
      <c r="AE77" s="237"/>
      <c r="AF77" s="32"/>
    </row>
    <row r="78" spans="15:32" x14ac:dyDescent="0.3">
      <c r="V78" s="62"/>
      <c r="W78" s="62"/>
      <c r="X78" s="62"/>
      <c r="Y78" s="62"/>
      <c r="Z78" s="62"/>
      <c r="AA78" t="s">
        <v>166</v>
      </c>
      <c r="AB78" s="62" t="s">
        <v>167</v>
      </c>
      <c r="AC78" s="62" t="s">
        <v>168</v>
      </c>
      <c r="AD78" s="62" t="s">
        <v>1</v>
      </c>
      <c r="AE78" s="62" t="s">
        <v>169</v>
      </c>
      <c r="AF78" s="62"/>
    </row>
    <row r="79" spans="15:32" x14ac:dyDescent="0.3">
      <c r="O79" s="176" t="s">
        <v>418</v>
      </c>
      <c r="P79" s="172">
        <f>AVERAGE(P67:P76)</f>
        <v>1583.6</v>
      </c>
      <c r="Q79" s="172">
        <f>AVERAGE(Q67:Q76)</f>
        <v>3260.1</v>
      </c>
      <c r="R79" s="172">
        <f>AVERAGE(R67:R76)</f>
        <v>4843.7</v>
      </c>
      <c r="S79" s="172">
        <f>AVERAGE(S67:S76)</f>
        <v>16051.8</v>
      </c>
    </row>
    <row r="80" spans="15:32" x14ac:dyDescent="0.3">
      <c r="O80" s="177" t="s">
        <v>419</v>
      </c>
      <c r="P80" s="169"/>
      <c r="Q80" s="169"/>
      <c r="R80" s="169"/>
      <c r="S80" s="169"/>
      <c r="AA80" t="s">
        <v>170</v>
      </c>
      <c r="AB80">
        <v>2</v>
      </c>
      <c r="AC80">
        <v>46</v>
      </c>
      <c r="AD80">
        <f t="shared" ref="AD80:AD86" si="45">SUM(AB80:AC80)</f>
        <v>48</v>
      </c>
      <c r="AE80">
        <f>AD80</f>
        <v>48</v>
      </c>
    </row>
    <row r="81" spans="18:65" x14ac:dyDescent="0.3">
      <c r="AA81" t="s">
        <v>171</v>
      </c>
      <c r="AB81">
        <v>0</v>
      </c>
      <c r="AC81">
        <v>79</v>
      </c>
      <c r="AD81">
        <f t="shared" si="45"/>
        <v>79</v>
      </c>
      <c r="AE81">
        <f t="shared" ref="AE81:AE86" si="46">AE80+AD81</f>
        <v>127</v>
      </c>
    </row>
    <row r="82" spans="18:65" x14ac:dyDescent="0.3">
      <c r="R82" s="72">
        <f>AVERAGE(R66:R75)</f>
        <v>5152.3</v>
      </c>
      <c r="S82" s="72">
        <f>AVERAGE(S66:S75)</f>
        <v>16612.400000000001</v>
      </c>
      <c r="AA82" t="s">
        <v>172</v>
      </c>
      <c r="AB82">
        <v>0</v>
      </c>
      <c r="AC82">
        <v>300</v>
      </c>
      <c r="AD82">
        <f t="shared" si="45"/>
        <v>300</v>
      </c>
      <c r="AE82">
        <f t="shared" si="46"/>
        <v>427</v>
      </c>
    </row>
    <row r="83" spans="18:65" x14ac:dyDescent="0.3">
      <c r="AA83" t="s">
        <v>173</v>
      </c>
      <c r="AB83">
        <v>2</v>
      </c>
      <c r="AC83">
        <v>227</v>
      </c>
      <c r="AD83">
        <f t="shared" si="45"/>
        <v>229</v>
      </c>
      <c r="AE83">
        <f t="shared" si="46"/>
        <v>656</v>
      </c>
    </row>
    <row r="84" spans="18:65" x14ac:dyDescent="0.3">
      <c r="AA84" t="s">
        <v>174</v>
      </c>
      <c r="AB84">
        <v>0</v>
      </c>
      <c r="AC84">
        <v>431</v>
      </c>
      <c r="AD84">
        <f t="shared" si="45"/>
        <v>431</v>
      </c>
      <c r="AE84">
        <f t="shared" si="46"/>
        <v>1087</v>
      </c>
    </row>
    <row r="85" spans="18:65" x14ac:dyDescent="0.3">
      <c r="AA85" t="s">
        <v>175</v>
      </c>
      <c r="AB85">
        <v>0</v>
      </c>
      <c r="AC85">
        <v>437</v>
      </c>
      <c r="AD85">
        <f t="shared" si="45"/>
        <v>437</v>
      </c>
      <c r="AE85">
        <f t="shared" si="46"/>
        <v>1524</v>
      </c>
    </row>
    <row r="86" spans="18:65" x14ac:dyDescent="0.3">
      <c r="AA86" t="s">
        <v>176</v>
      </c>
      <c r="AB86">
        <v>0</v>
      </c>
      <c r="AC86">
        <v>305</v>
      </c>
      <c r="AD86">
        <f t="shared" si="45"/>
        <v>305</v>
      </c>
      <c r="AE86">
        <f t="shared" si="46"/>
        <v>1829</v>
      </c>
    </row>
    <row r="87" spans="18:65" x14ac:dyDescent="0.3">
      <c r="U87" s="43"/>
      <c r="V87" s="43"/>
      <c r="W87" s="43"/>
      <c r="X87" s="43"/>
      <c r="Y87" s="43"/>
      <c r="Z87" s="43"/>
      <c r="AA87" s="43" t="s">
        <v>1</v>
      </c>
      <c r="AB87" s="43">
        <f>SUM(AB80:AB86)</f>
        <v>4</v>
      </c>
      <c r="AC87" s="43">
        <f>SUM(AC80:AC86)</f>
        <v>1825</v>
      </c>
      <c r="AD87" s="43">
        <f>SUM(AD80:AD86)</f>
        <v>1829</v>
      </c>
      <c r="AE87" s="43"/>
      <c r="AF87" s="43"/>
    </row>
    <row r="89" spans="18:65" x14ac:dyDescent="0.3">
      <c r="U89" s="43"/>
      <c r="V89" s="43"/>
      <c r="W89" s="43"/>
      <c r="X89" s="43"/>
      <c r="Y89" s="43"/>
      <c r="Z89" s="43"/>
      <c r="AA89" s="43" t="s">
        <v>187</v>
      </c>
      <c r="AB89" s="43"/>
      <c r="AC89" s="43"/>
      <c r="AD89" s="43"/>
      <c r="AE89" s="43"/>
      <c r="AF89" s="43"/>
    </row>
    <row r="93" spans="18:65" x14ac:dyDescent="0.3">
      <c r="BG93" s="238" t="s">
        <v>230</v>
      </c>
      <c r="BH93" s="238"/>
      <c r="BI93" s="238"/>
      <c r="BK93" s="238" t="s">
        <v>226</v>
      </c>
      <c r="BL93" s="238"/>
      <c r="BM93" s="238"/>
    </row>
    <row r="94" spans="18:65" x14ac:dyDescent="0.3">
      <c r="BF94" s="81" t="s">
        <v>224</v>
      </c>
      <c r="BG94" s="79" t="s">
        <v>227</v>
      </c>
      <c r="BH94" s="79" t="s">
        <v>228</v>
      </c>
      <c r="BI94" s="79" t="s">
        <v>1</v>
      </c>
      <c r="BJ94" s="82" t="s">
        <v>229</v>
      </c>
      <c r="BK94" s="79" t="s">
        <v>227</v>
      </c>
      <c r="BL94" s="79" t="s">
        <v>228</v>
      </c>
      <c r="BM94" s="79" t="s">
        <v>1</v>
      </c>
    </row>
    <row r="95" spans="18:65" x14ac:dyDescent="0.3">
      <c r="BF95" t="s">
        <v>262</v>
      </c>
      <c r="BG95">
        <v>75</v>
      </c>
      <c r="BH95">
        <v>36</v>
      </c>
      <c r="BI95">
        <f>SUM(BG95:BH95)</f>
        <v>111</v>
      </c>
      <c r="BJ95">
        <v>15072</v>
      </c>
      <c r="BK95" s="80">
        <f t="shared" ref="BK95:BK105" si="47">BG95/BJ95</f>
        <v>4.9761146496815284E-3</v>
      </c>
      <c r="BL95" s="80">
        <f t="shared" ref="BL95:BL105" si="48">BH95/BJ95</f>
        <v>2.3885350318471337E-3</v>
      </c>
      <c r="BM95" s="80">
        <f t="shared" ref="BM95" si="49">BI95/BJ95</f>
        <v>7.3646496815286625E-3</v>
      </c>
    </row>
    <row r="96" spans="18:65" x14ac:dyDescent="0.3">
      <c r="BF96" t="s">
        <v>225</v>
      </c>
      <c r="BG96">
        <v>9</v>
      </c>
      <c r="BH96">
        <v>20</v>
      </c>
      <c r="BI96">
        <f>SUM(BG96:BH96)</f>
        <v>29</v>
      </c>
      <c r="BJ96" s="33">
        <v>13943</v>
      </c>
      <c r="BK96" s="80">
        <f t="shared" si="47"/>
        <v>6.4548518970092522E-4</v>
      </c>
      <c r="BL96" s="80">
        <f t="shared" si="48"/>
        <v>1.4344115326687227E-3</v>
      </c>
      <c r="BM96" s="80">
        <f>BI96/BJ96</f>
        <v>2.079896722369648E-3</v>
      </c>
    </row>
    <row r="97" spans="56:67" x14ac:dyDescent="0.3">
      <c r="BF97" t="s">
        <v>199</v>
      </c>
      <c r="BG97">
        <v>4</v>
      </c>
      <c r="BH97">
        <v>22</v>
      </c>
      <c r="BI97">
        <f t="shared" ref="BI97:BI105" si="50">SUM(BG97:BH97)</f>
        <v>26</v>
      </c>
      <c r="BJ97" s="33">
        <v>11575</v>
      </c>
      <c r="BK97" s="80">
        <f t="shared" si="47"/>
        <v>3.4557235421166308E-4</v>
      </c>
      <c r="BL97" s="80">
        <f t="shared" si="48"/>
        <v>1.9006479481641469E-3</v>
      </c>
      <c r="BM97" s="80">
        <f t="shared" ref="BM97:BM105" si="51">BI97/BJ97</f>
        <v>2.2462203023758099E-3</v>
      </c>
    </row>
    <row r="98" spans="56:67" x14ac:dyDescent="0.3">
      <c r="BF98" t="s">
        <v>198</v>
      </c>
      <c r="BG98">
        <v>89</v>
      </c>
      <c r="BH98">
        <v>44</v>
      </c>
      <c r="BI98">
        <f t="shared" si="50"/>
        <v>133</v>
      </c>
      <c r="BJ98" s="33">
        <v>20035</v>
      </c>
      <c r="BK98" s="80">
        <f t="shared" si="47"/>
        <v>4.4422261043174441E-3</v>
      </c>
      <c r="BL98" s="80">
        <f t="shared" si="48"/>
        <v>2.1961567257299725E-3</v>
      </c>
      <c r="BM98" s="80">
        <f t="shared" si="51"/>
        <v>6.638382830047417E-3</v>
      </c>
    </row>
    <row r="99" spans="56:67" x14ac:dyDescent="0.3">
      <c r="BF99" t="s">
        <v>197</v>
      </c>
      <c r="BG99">
        <v>23</v>
      </c>
      <c r="BH99">
        <v>81</v>
      </c>
      <c r="BI99">
        <f t="shared" si="50"/>
        <v>104</v>
      </c>
      <c r="BJ99" s="33">
        <v>16752</v>
      </c>
      <c r="BK99" s="80">
        <f t="shared" si="47"/>
        <v>1.3729703915950334E-3</v>
      </c>
      <c r="BL99" s="80">
        <f t="shared" si="48"/>
        <v>4.8352435530085959E-3</v>
      </c>
      <c r="BM99" s="80">
        <f t="shared" si="51"/>
        <v>6.2082139446036294E-3</v>
      </c>
    </row>
    <row r="100" spans="56:67" x14ac:dyDescent="0.3">
      <c r="BF100" t="s">
        <v>190</v>
      </c>
      <c r="BG100">
        <v>70</v>
      </c>
      <c r="BH100">
        <v>59</v>
      </c>
      <c r="BI100">
        <f t="shared" si="50"/>
        <v>129</v>
      </c>
      <c r="BJ100" s="33">
        <v>17332</v>
      </c>
      <c r="BK100" s="80">
        <f t="shared" si="47"/>
        <v>4.0387722132471729E-3</v>
      </c>
      <c r="BL100" s="80">
        <f t="shared" si="48"/>
        <v>3.4041080083083313E-3</v>
      </c>
      <c r="BM100" s="80">
        <f t="shared" si="51"/>
        <v>7.4428802215555047E-3</v>
      </c>
    </row>
    <row r="101" spans="56:67" x14ac:dyDescent="0.3">
      <c r="BF101" t="s">
        <v>191</v>
      </c>
      <c r="BG101">
        <v>27</v>
      </c>
      <c r="BH101">
        <v>22</v>
      </c>
      <c r="BI101">
        <f t="shared" si="50"/>
        <v>49</v>
      </c>
      <c r="BJ101" s="33">
        <v>15655</v>
      </c>
      <c r="BK101" s="80">
        <f t="shared" si="47"/>
        <v>1.7246885978920473E-3</v>
      </c>
      <c r="BL101" s="80">
        <f t="shared" si="48"/>
        <v>1.4053018205046311E-3</v>
      </c>
      <c r="BM101" s="80">
        <f t="shared" si="51"/>
        <v>3.1299904183966784E-3</v>
      </c>
    </row>
    <row r="102" spans="56:67" x14ac:dyDescent="0.3">
      <c r="BF102" t="s">
        <v>192</v>
      </c>
      <c r="BG102">
        <v>58</v>
      </c>
      <c r="BH102">
        <v>39</v>
      </c>
      <c r="BI102">
        <f t="shared" si="50"/>
        <v>97</v>
      </c>
      <c r="BJ102" s="33">
        <v>14928</v>
      </c>
      <c r="BK102" s="80">
        <f t="shared" si="47"/>
        <v>3.8853161843515542E-3</v>
      </c>
      <c r="BL102" s="80">
        <f t="shared" si="48"/>
        <v>2.6125401929260449E-3</v>
      </c>
      <c r="BM102" s="80">
        <f t="shared" si="51"/>
        <v>6.4978563772775996E-3</v>
      </c>
    </row>
    <row r="103" spans="56:67" x14ac:dyDescent="0.3">
      <c r="BF103" t="s">
        <v>193</v>
      </c>
      <c r="BG103">
        <v>52</v>
      </c>
      <c r="BH103">
        <v>77</v>
      </c>
      <c r="BI103">
        <f t="shared" si="50"/>
        <v>129</v>
      </c>
      <c r="BJ103" s="33">
        <v>20117</v>
      </c>
      <c r="BK103" s="80">
        <f t="shared" si="47"/>
        <v>2.5848784610031316E-3</v>
      </c>
      <c r="BL103" s="80">
        <f t="shared" si="48"/>
        <v>3.8276084903315602E-3</v>
      </c>
      <c r="BM103" s="80">
        <f t="shared" si="51"/>
        <v>6.4124869513346918E-3</v>
      </c>
    </row>
    <row r="104" spans="56:67" x14ac:dyDescent="0.3">
      <c r="BF104" t="s">
        <v>194</v>
      </c>
      <c r="BG104">
        <v>48</v>
      </c>
      <c r="BH104">
        <v>56</v>
      </c>
      <c r="BI104">
        <f t="shared" si="50"/>
        <v>104</v>
      </c>
      <c r="BJ104" s="33">
        <v>22379</v>
      </c>
      <c r="BK104" s="80">
        <f t="shared" si="47"/>
        <v>2.1448679565664237E-3</v>
      </c>
      <c r="BL104" s="80">
        <f t="shared" si="48"/>
        <v>2.5023459493274947E-3</v>
      </c>
      <c r="BM104" s="80">
        <f t="shared" si="51"/>
        <v>4.6472139058939188E-3</v>
      </c>
    </row>
    <row r="105" spans="56:67" x14ac:dyDescent="0.3">
      <c r="BF105" t="s">
        <v>195</v>
      </c>
      <c r="BG105">
        <v>0</v>
      </c>
      <c r="BH105">
        <v>26</v>
      </c>
      <c r="BI105">
        <f t="shared" si="50"/>
        <v>26</v>
      </c>
      <c r="BJ105" s="33">
        <v>9448</v>
      </c>
      <c r="BK105" s="80">
        <f t="shared" si="47"/>
        <v>0</v>
      </c>
      <c r="BL105" s="80">
        <f t="shared" si="48"/>
        <v>2.75190516511431E-3</v>
      </c>
      <c r="BM105" s="80">
        <f t="shared" si="51"/>
        <v>2.75190516511431E-3</v>
      </c>
    </row>
    <row r="107" spans="56:67" x14ac:dyDescent="0.3">
      <c r="BD107" t="s">
        <v>297</v>
      </c>
      <c r="BF107" t="s">
        <v>231</v>
      </c>
      <c r="BG107" s="107">
        <f>AVERAGE(BG95:BG104)</f>
        <v>45.5</v>
      </c>
      <c r="BH107" s="107">
        <f>AVERAGE(BH95:BH104)</f>
        <v>45.6</v>
      </c>
      <c r="BI107" s="107">
        <f>AVERAGE(BI95:BI104)</f>
        <v>91.1</v>
      </c>
      <c r="BK107" s="80">
        <f t="shared" ref="BK107:BM107" si="52">AVERAGE(BK95:BK104)</f>
        <v>2.6160892102566921E-3</v>
      </c>
      <c r="BL107" s="80">
        <f t="shared" si="52"/>
        <v>2.6506899252816633E-3</v>
      </c>
      <c r="BM107" s="80">
        <f t="shared" si="52"/>
        <v>5.2667791355383558E-3</v>
      </c>
      <c r="BO107" s="69"/>
    </row>
    <row r="108" spans="56:67" x14ac:dyDescent="0.3">
      <c r="BO108" s="69"/>
    </row>
    <row r="109" spans="56:67" x14ac:dyDescent="0.3">
      <c r="BO109" s="69"/>
    </row>
  </sheetData>
  <mergeCells count="32">
    <mergeCell ref="CH7:CK7"/>
    <mergeCell ref="CH6:CK6"/>
    <mergeCell ref="CM7:CR7"/>
    <mergeCell ref="CW8:DB8"/>
    <mergeCell ref="CT8:CU8"/>
    <mergeCell ref="CW6:DB7"/>
    <mergeCell ref="CM8:CR8"/>
    <mergeCell ref="BG93:BI93"/>
    <mergeCell ref="BK93:BM93"/>
    <mergeCell ref="V77:Y77"/>
    <mergeCell ref="AB65:AE65"/>
    <mergeCell ref="AB77:AE77"/>
    <mergeCell ref="AB5:AE5"/>
    <mergeCell ref="AB17:AE17"/>
    <mergeCell ref="AB29:AE29"/>
    <mergeCell ref="AB41:AE41"/>
    <mergeCell ref="AB53:AE53"/>
    <mergeCell ref="V53:Y53"/>
    <mergeCell ref="V65:Y65"/>
    <mergeCell ref="V5:Y5"/>
    <mergeCell ref="V17:Y17"/>
    <mergeCell ref="V29:Y29"/>
    <mergeCell ref="BU9:BW9"/>
    <mergeCell ref="BX9:BZ9"/>
    <mergeCell ref="BT8:BZ8"/>
    <mergeCell ref="V41:Y41"/>
    <mergeCell ref="BT7:BZ7"/>
    <mergeCell ref="CB5:CF5"/>
    <mergeCell ref="CB2:CF4"/>
    <mergeCell ref="CB26:CF27"/>
    <mergeCell ref="CB28:CF29"/>
    <mergeCell ref="CB24:CF25"/>
  </mergeCells>
  <pageMargins left="0.7" right="0.7" top="0.75" bottom="0.75" header="0.3" footer="0.3"/>
  <pageSetup orientation="portrait" horizontalDpi="4294967293" verticalDpi="4294967293"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AC58C-26A5-4BB5-A27D-08E69B0B2BFF}">
  <dimension ref="A1:S18"/>
  <sheetViews>
    <sheetView workbookViewId="0">
      <selection activeCell="O11" sqref="O11"/>
    </sheetView>
  </sheetViews>
  <sheetFormatPr defaultRowHeight="14.4" x14ac:dyDescent="0.3"/>
  <cols>
    <col min="1" max="1" width="3" customWidth="1"/>
    <col min="3" max="3" width="18.33203125" customWidth="1"/>
    <col min="7" max="7" width="10.5546875" customWidth="1"/>
  </cols>
  <sheetData>
    <row r="1" spans="1:19" x14ac:dyDescent="0.3">
      <c r="C1" t="s">
        <v>387</v>
      </c>
    </row>
    <row r="3" spans="1:19" ht="88.2" x14ac:dyDescent="0.3">
      <c r="A3" s="149"/>
      <c r="B3" s="149"/>
      <c r="C3" s="149"/>
      <c r="D3" s="149" t="s">
        <v>388</v>
      </c>
      <c r="E3" s="149" t="s">
        <v>389</v>
      </c>
      <c r="F3" s="149" t="s">
        <v>390</v>
      </c>
      <c r="G3" s="149" t="s">
        <v>391</v>
      </c>
      <c r="H3" s="149" t="s">
        <v>392</v>
      </c>
      <c r="I3" s="149" t="s">
        <v>393</v>
      </c>
      <c r="J3" s="149" t="s">
        <v>394</v>
      </c>
      <c r="K3" s="149" t="s">
        <v>395</v>
      </c>
      <c r="L3" s="149"/>
      <c r="M3" s="149" t="s">
        <v>396</v>
      </c>
      <c r="N3" s="149" t="s">
        <v>397</v>
      </c>
      <c r="O3" s="149"/>
      <c r="P3" s="149" t="s">
        <v>398</v>
      </c>
      <c r="Q3" s="149" t="s">
        <v>399</v>
      </c>
      <c r="R3" s="149"/>
      <c r="S3" s="149"/>
    </row>
    <row r="4" spans="1:19" x14ac:dyDescent="0.3">
      <c r="B4" t="s">
        <v>351</v>
      </c>
      <c r="C4" t="s">
        <v>400</v>
      </c>
      <c r="D4" s="150">
        <f>Run!CI22</f>
        <v>5476.2</v>
      </c>
      <c r="E4" s="151">
        <f>1-(D4/(H4*(1-G4)))</f>
        <v>0.10298303951749643</v>
      </c>
      <c r="F4" s="152">
        <f>Run!CR22</f>
        <v>175.37439999999998</v>
      </c>
      <c r="G4" s="153">
        <f>Run!DB22</f>
        <v>2.7447454624161281E-2</v>
      </c>
      <c r="H4" s="150">
        <f>Run!CU22</f>
        <v>6277.1942965106773</v>
      </c>
      <c r="I4" s="154">
        <f>0</f>
        <v>0</v>
      </c>
    </row>
    <row r="5" spans="1:19" x14ac:dyDescent="0.3">
      <c r="C5" t="s">
        <v>401</v>
      </c>
      <c r="D5" s="33">
        <f>(H5-F5)*(1-E4)</f>
        <v>5476.2000000000007</v>
      </c>
      <c r="E5" s="151"/>
      <c r="F5" s="18">
        <f>H4*G4</f>
        <v>172.2930056205208</v>
      </c>
      <c r="G5" s="155">
        <f>F4/H4</f>
        <v>2.793834183171387E-2</v>
      </c>
      <c r="H5" s="33">
        <f>K5-J5</f>
        <v>6277.1942965106773</v>
      </c>
      <c r="J5" s="33">
        <f>K5*I4</f>
        <v>0</v>
      </c>
      <c r="K5" s="33">
        <f>H4/(1-I4)</f>
        <v>6277.1942965106773</v>
      </c>
      <c r="M5" s="33">
        <f>F5+J5</f>
        <v>172.2930056205208</v>
      </c>
      <c r="N5" s="155">
        <f>M5/K5</f>
        <v>2.7447454624161281E-2</v>
      </c>
    </row>
    <row r="6" spans="1:19" x14ac:dyDescent="0.3">
      <c r="N6" s="151"/>
    </row>
    <row r="7" spans="1:19" x14ac:dyDescent="0.3">
      <c r="C7" t="s">
        <v>323</v>
      </c>
      <c r="D7" s="33">
        <f>D4*(Summary!W9/Summary!U9)</f>
        <v>31678.727982954548</v>
      </c>
      <c r="E7" s="151">
        <f>$E$4</f>
        <v>0.10298303951749643</v>
      </c>
      <c r="F7" s="33">
        <f>H7*G7</f>
        <v>996.68077470109529</v>
      </c>
      <c r="G7" s="151">
        <f>$G$4</f>
        <v>2.7447454624161281E-2</v>
      </c>
      <c r="H7" s="33">
        <f>D7/(1-E7)/(1-G7)</f>
        <v>36312.320699630305</v>
      </c>
      <c r="I7" s="151">
        <f>$I$4</f>
        <v>0</v>
      </c>
      <c r="J7" s="33">
        <f>K7*I7</f>
        <v>0</v>
      </c>
      <c r="K7" s="33">
        <f>H7/(1-I7)</f>
        <v>36312.320699630305</v>
      </c>
      <c r="M7" s="33">
        <f>F7+J7</f>
        <v>996.68077470109529</v>
      </c>
      <c r="N7" s="155">
        <f>M7/K7</f>
        <v>2.7447454624161281E-2</v>
      </c>
      <c r="P7" s="156">
        <v>0.47</v>
      </c>
      <c r="Q7" s="151">
        <f>(P7-I7)/(1-I7)</f>
        <v>0.47</v>
      </c>
    </row>
    <row r="8" spans="1:19" x14ac:dyDescent="0.3">
      <c r="C8" t="s">
        <v>402</v>
      </c>
      <c r="D8" s="33">
        <f>D4*(Summary!X9/Summary!U9)</f>
        <v>54071.640980113632</v>
      </c>
      <c r="E8" s="151">
        <f t="shared" ref="E8:E9" si="0">$E$4</f>
        <v>0.10298303951749643</v>
      </c>
      <c r="F8" s="33">
        <f t="shared" ref="F8" si="1">H8*G8</f>
        <v>9709.0594741183832</v>
      </c>
      <c r="G8" s="151">
        <f>AVERAGE(G7,G9)</f>
        <v>0.13872372731208063</v>
      </c>
      <c r="H8" s="33">
        <f t="shared" ref="H8" si="2">D8/(1-E8)/(1-G8)</f>
        <v>69988.455920567518</v>
      </c>
      <c r="I8" s="151">
        <f t="shared" ref="I8:I9" si="3">$I$4</f>
        <v>0</v>
      </c>
      <c r="J8" s="33">
        <f t="shared" ref="J8:J9" si="4">K8*I8</f>
        <v>0</v>
      </c>
      <c r="K8" s="33">
        <f t="shared" ref="K8:K9" si="5">H8/(1-I8)</f>
        <v>69988.455920567518</v>
      </c>
      <c r="M8" s="33">
        <f>F8+J8</f>
        <v>9709.0594741183832</v>
      </c>
      <c r="N8" s="155">
        <f>M8/K8</f>
        <v>0.13872372731208063</v>
      </c>
      <c r="P8" s="156">
        <v>0.5</v>
      </c>
      <c r="Q8" s="151">
        <f>(P8-I8)/(1-I8)</f>
        <v>0.5</v>
      </c>
    </row>
    <row r="9" spans="1:19" x14ac:dyDescent="0.3">
      <c r="C9" t="s">
        <v>50</v>
      </c>
      <c r="D9" s="33">
        <f>D4*(Summary!Y9/Summary!U9)</f>
        <v>76464.553977272721</v>
      </c>
      <c r="E9" s="151">
        <f t="shared" si="0"/>
        <v>0.10298303951749643</v>
      </c>
      <c r="F9" s="33">
        <f>H9*G9</f>
        <v>28414.384322656359</v>
      </c>
      <c r="G9" s="162">
        <v>0.25</v>
      </c>
      <c r="H9" s="33">
        <f>D9/(1-E9)/(1-G9)</f>
        <v>113657.53729062543</v>
      </c>
      <c r="I9" s="151">
        <f t="shared" si="3"/>
        <v>0</v>
      </c>
      <c r="J9" s="33">
        <f t="shared" si="4"/>
        <v>0</v>
      </c>
      <c r="K9" s="33">
        <f t="shared" si="5"/>
        <v>113657.53729062543</v>
      </c>
      <c r="M9" s="33">
        <f>F9+J9</f>
        <v>28414.384322656359</v>
      </c>
      <c r="N9" s="155">
        <f>M9/K9</f>
        <v>0.25</v>
      </c>
      <c r="P9" s="156">
        <v>0.53</v>
      </c>
      <c r="Q9" s="151">
        <f>(P9-I9)/(1-I9)</f>
        <v>0.53</v>
      </c>
    </row>
    <row r="10" spans="1:19" x14ac:dyDescent="0.3">
      <c r="G10" s="163" t="s">
        <v>406</v>
      </c>
    </row>
    <row r="11" spans="1:19" x14ac:dyDescent="0.3">
      <c r="F11" s="33"/>
    </row>
    <row r="12" spans="1:19" ht="88.2" x14ac:dyDescent="0.3">
      <c r="A12" s="158"/>
      <c r="B12" s="158"/>
      <c r="C12" s="158"/>
      <c r="D12" s="158" t="s">
        <v>403</v>
      </c>
      <c r="E12" s="149" t="s">
        <v>395</v>
      </c>
      <c r="F12" s="149" t="s">
        <v>393</v>
      </c>
      <c r="G12" s="149" t="s">
        <v>394</v>
      </c>
      <c r="H12" s="158" t="s">
        <v>404</v>
      </c>
      <c r="I12" s="149" t="s">
        <v>392</v>
      </c>
      <c r="J12" s="149" t="s">
        <v>391</v>
      </c>
      <c r="K12" s="149" t="s">
        <v>390</v>
      </c>
      <c r="L12" s="149" t="s">
        <v>389</v>
      </c>
      <c r="M12" s="149" t="s">
        <v>405</v>
      </c>
      <c r="N12" s="158"/>
      <c r="O12" s="149" t="s">
        <v>396</v>
      </c>
      <c r="P12" s="149" t="s">
        <v>397</v>
      </c>
      <c r="Q12" s="149"/>
      <c r="R12" s="149" t="s">
        <v>398</v>
      </c>
      <c r="S12" s="149" t="s">
        <v>399</v>
      </c>
    </row>
    <row r="13" spans="1:19" x14ac:dyDescent="0.3">
      <c r="B13" t="s">
        <v>2</v>
      </c>
      <c r="C13" t="s">
        <v>400</v>
      </c>
      <c r="D13" s="150">
        <v>0</v>
      </c>
      <c r="F13">
        <f>I4</f>
        <v>0</v>
      </c>
      <c r="I13" s="150">
        <v>0</v>
      </c>
      <c r="J13" s="159">
        <f>G4</f>
        <v>2.7447454624161281E-2</v>
      </c>
      <c r="K13" s="154"/>
      <c r="L13" s="159">
        <f>E4</f>
        <v>0.10298303951749643</v>
      </c>
      <c r="M13" s="154"/>
    </row>
    <row r="14" spans="1:19" x14ac:dyDescent="0.3">
      <c r="C14" t="s">
        <v>401</v>
      </c>
      <c r="E14" s="33">
        <f>I13/(1-F13)</f>
        <v>0</v>
      </c>
      <c r="G14" s="33">
        <f>E14*F13</f>
        <v>0</v>
      </c>
      <c r="H14" s="160">
        <f>I13/(D13+0.0000000001)</f>
        <v>0</v>
      </c>
      <c r="I14" s="33">
        <f>D13*H14</f>
        <v>0</v>
      </c>
      <c r="K14" s="33">
        <f>I13*J13</f>
        <v>0</v>
      </c>
      <c r="M14" s="33">
        <f>I13*(1-J13)*(1-L13)</f>
        <v>0</v>
      </c>
      <c r="O14" s="33">
        <f>K14+G14</f>
        <v>0</v>
      </c>
      <c r="P14" s="155">
        <f>O14/(E14+0.0000000001)</f>
        <v>0</v>
      </c>
      <c r="R14" s="157">
        <f>N5</f>
        <v>2.7447454624161281E-2</v>
      </c>
    </row>
    <row r="15" spans="1:19" x14ac:dyDescent="0.3">
      <c r="P15" s="151"/>
    </row>
    <row r="16" spans="1:19" x14ac:dyDescent="0.3">
      <c r="C16" t="s">
        <v>323</v>
      </c>
      <c r="D16" s="150">
        <v>0</v>
      </c>
      <c r="E16" s="33">
        <f>I16/(1-F16)</f>
        <v>0</v>
      </c>
      <c r="F16">
        <f>F$13</f>
        <v>0</v>
      </c>
      <c r="G16" s="33">
        <f>E16*F16</f>
        <v>0</v>
      </c>
      <c r="H16" s="160">
        <f>H$14</f>
        <v>0</v>
      </c>
      <c r="I16" s="33">
        <f>D16*H16</f>
        <v>0</v>
      </c>
      <c r="J16" s="161">
        <f t="shared" ref="J16:J17" si="6">(R16-F16)/(1-F16)</f>
        <v>0.47</v>
      </c>
      <c r="K16" s="33">
        <f>J16*I16</f>
        <v>0</v>
      </c>
      <c r="L16" s="160">
        <f t="shared" ref="L16:L18" si="7">L$13</f>
        <v>0.10298303951749643</v>
      </c>
      <c r="M16" s="33">
        <f>I16*(1-J16)*(1-L16)</f>
        <v>0</v>
      </c>
      <c r="O16" s="33">
        <f t="shared" ref="O16:O18" si="8">K16+G16</f>
        <v>0</v>
      </c>
      <c r="P16" s="155">
        <f t="shared" ref="P16:P18" si="9">O16/(E16+0.0000000001)</f>
        <v>0</v>
      </c>
      <c r="R16" s="157">
        <v>0.47</v>
      </c>
    </row>
    <row r="17" spans="3:18" x14ac:dyDescent="0.3">
      <c r="C17" t="s">
        <v>402</v>
      </c>
      <c r="D17" s="150">
        <v>0</v>
      </c>
      <c r="E17" s="33">
        <f t="shared" ref="E17:E18" si="10">I17/(1-F17)</f>
        <v>0</v>
      </c>
      <c r="F17">
        <f t="shared" ref="F17:F18" si="11">F$13</f>
        <v>0</v>
      </c>
      <c r="G17" s="33">
        <f t="shared" ref="G17:G18" si="12">E17*F17</f>
        <v>0</v>
      </c>
      <c r="H17" s="160">
        <f t="shared" ref="H17:H18" si="13">H$14</f>
        <v>0</v>
      </c>
      <c r="I17" s="33">
        <f t="shared" ref="I17:I18" si="14">D17*H17</f>
        <v>0</v>
      </c>
      <c r="J17" s="161">
        <f t="shared" si="6"/>
        <v>0.5</v>
      </c>
      <c r="K17" s="33">
        <f t="shared" ref="K17:K18" si="15">J17*I17</f>
        <v>0</v>
      </c>
      <c r="L17" s="160">
        <f t="shared" si="7"/>
        <v>0.10298303951749643</v>
      </c>
      <c r="M17" s="33">
        <f t="shared" ref="M17:M18" si="16">I17*(1-J17)*(1-L17)</f>
        <v>0</v>
      </c>
      <c r="O17" s="33">
        <f t="shared" si="8"/>
        <v>0</v>
      </c>
      <c r="P17" s="155">
        <f t="shared" si="9"/>
        <v>0</v>
      </c>
      <c r="R17" s="157">
        <v>0.5</v>
      </c>
    </row>
    <row r="18" spans="3:18" x14ac:dyDescent="0.3">
      <c r="C18" t="s">
        <v>50</v>
      </c>
      <c r="D18" s="150">
        <v>0</v>
      </c>
      <c r="E18" s="33">
        <f t="shared" si="10"/>
        <v>0</v>
      </c>
      <c r="F18">
        <f t="shared" si="11"/>
        <v>0</v>
      </c>
      <c r="G18" s="33">
        <f t="shared" si="12"/>
        <v>0</v>
      </c>
      <c r="H18" s="160">
        <f t="shared" si="13"/>
        <v>0</v>
      </c>
      <c r="I18" s="33">
        <f t="shared" si="14"/>
        <v>0</v>
      </c>
      <c r="J18" s="161">
        <f>(R18-F18)/(1-F18)</f>
        <v>0.53</v>
      </c>
      <c r="K18" s="33">
        <f t="shared" si="15"/>
        <v>0</v>
      </c>
      <c r="L18" s="160">
        <f t="shared" si="7"/>
        <v>0.10298303951749643</v>
      </c>
      <c r="M18" s="33">
        <f t="shared" si="16"/>
        <v>0</v>
      </c>
      <c r="O18" s="33">
        <f t="shared" si="8"/>
        <v>0</v>
      </c>
      <c r="P18" s="155">
        <f t="shared" si="9"/>
        <v>0</v>
      </c>
      <c r="R18" s="157">
        <v>0.53</v>
      </c>
    </row>
  </sheetData>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heetViews>
  <sheetFormatPr defaultRowHeight="14.4" x14ac:dyDescent="0.3"/>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X66"/>
  <sheetViews>
    <sheetView workbookViewId="0">
      <selection activeCell="G4" sqref="G4"/>
    </sheetView>
  </sheetViews>
  <sheetFormatPr defaultRowHeight="14.4" x14ac:dyDescent="0.3"/>
  <cols>
    <col min="1" max="1" width="3.33203125" customWidth="1"/>
    <col min="2" max="2" width="27.5546875" customWidth="1"/>
    <col min="3" max="3" width="25.44140625" customWidth="1"/>
    <col min="4" max="4" width="28.88671875" customWidth="1"/>
    <col min="5" max="5" width="21.5546875" customWidth="1"/>
    <col min="6" max="6" width="11.6640625" customWidth="1"/>
    <col min="7" max="7" width="19.88671875" customWidth="1"/>
    <col min="8" max="8" width="97.109375" customWidth="1"/>
    <col min="9" max="9" width="30.6640625" customWidth="1"/>
    <col min="10" max="10" width="53.44140625" customWidth="1"/>
    <col min="11" max="11" width="107.88671875" customWidth="1"/>
    <col min="12" max="12" width="67" customWidth="1"/>
    <col min="13" max="13" width="197" style="50" customWidth="1"/>
  </cols>
  <sheetData>
    <row r="2" spans="2:14" s="46" customFormat="1" x14ac:dyDescent="0.3">
      <c r="B2" s="46" t="s">
        <v>51</v>
      </c>
      <c r="C2" s="46" t="s">
        <v>52</v>
      </c>
      <c r="D2" s="46" t="s">
        <v>53</v>
      </c>
      <c r="E2" s="46" t="s">
        <v>54</v>
      </c>
      <c r="F2" s="47" t="s">
        <v>55</v>
      </c>
      <c r="G2" s="46" t="s">
        <v>56</v>
      </c>
      <c r="H2" s="46" t="s">
        <v>57</v>
      </c>
      <c r="I2" s="46" t="s">
        <v>58</v>
      </c>
      <c r="J2" s="46" t="s">
        <v>74</v>
      </c>
      <c r="K2" s="46" t="s">
        <v>59</v>
      </c>
      <c r="L2" s="46" t="s">
        <v>60</v>
      </c>
      <c r="M2" s="48" t="s">
        <v>61</v>
      </c>
    </row>
    <row r="3" spans="2:14" ht="15" customHeight="1" x14ac:dyDescent="0.3">
      <c r="B3" t="s">
        <v>63</v>
      </c>
      <c r="C3" t="s">
        <v>64</v>
      </c>
      <c r="D3" s="49" t="s">
        <v>65</v>
      </c>
      <c r="E3" t="s">
        <v>66</v>
      </c>
      <c r="F3" s="33">
        <f>Summary!U5</f>
        <v>1231</v>
      </c>
      <c r="G3" t="s">
        <v>67</v>
      </c>
      <c r="H3" s="50" t="s">
        <v>220</v>
      </c>
      <c r="I3" t="s">
        <v>221</v>
      </c>
      <c r="J3" t="s">
        <v>76</v>
      </c>
      <c r="K3" s="50" t="s">
        <v>223</v>
      </c>
      <c r="L3" s="71" t="s">
        <v>247</v>
      </c>
      <c r="M3" s="50" t="s">
        <v>222</v>
      </c>
    </row>
    <row r="4" spans="2:14" ht="15" customHeight="1" x14ac:dyDescent="0.3">
      <c r="B4" t="s">
        <v>63</v>
      </c>
      <c r="C4" t="s">
        <v>64</v>
      </c>
      <c r="D4" s="49" t="s">
        <v>30</v>
      </c>
      <c r="E4" t="s">
        <v>66</v>
      </c>
      <c r="F4" s="33">
        <f>Summary!U6</f>
        <v>690</v>
      </c>
      <c r="G4" t="s">
        <v>67</v>
      </c>
      <c r="H4" s="50" t="s">
        <v>220</v>
      </c>
      <c r="I4" t="s">
        <v>221</v>
      </c>
      <c r="J4" t="s">
        <v>76</v>
      </c>
      <c r="K4" s="50" t="s">
        <v>223</v>
      </c>
      <c r="L4" s="71" t="s">
        <v>247</v>
      </c>
      <c r="M4" s="50" t="s">
        <v>222</v>
      </c>
    </row>
    <row r="5" spans="2:14" ht="15" customHeight="1" x14ac:dyDescent="0.3">
      <c r="B5" t="s">
        <v>63</v>
      </c>
      <c r="C5" t="s">
        <v>64</v>
      </c>
      <c r="D5" s="49" t="s">
        <v>31</v>
      </c>
      <c r="E5" t="s">
        <v>66</v>
      </c>
      <c r="F5" s="33">
        <f>Summary!U7</f>
        <v>718</v>
      </c>
      <c r="G5" t="s">
        <v>67</v>
      </c>
      <c r="H5" s="50" t="s">
        <v>220</v>
      </c>
      <c r="I5" t="s">
        <v>221</v>
      </c>
      <c r="J5" t="s">
        <v>76</v>
      </c>
      <c r="K5" s="50" t="s">
        <v>223</v>
      </c>
      <c r="L5" s="71" t="s">
        <v>247</v>
      </c>
      <c r="M5" s="50" t="s">
        <v>222</v>
      </c>
    </row>
    <row r="6" spans="2:14" ht="15" customHeight="1" x14ac:dyDescent="0.3">
      <c r="B6" t="s">
        <v>63</v>
      </c>
      <c r="C6" t="s">
        <v>64</v>
      </c>
      <c r="D6" s="49" t="s">
        <v>32</v>
      </c>
      <c r="E6" t="s">
        <v>66</v>
      </c>
      <c r="F6" s="33">
        <f>Summary!U8</f>
        <v>177</v>
      </c>
      <c r="G6" t="s">
        <v>67</v>
      </c>
      <c r="H6" s="50" t="s">
        <v>220</v>
      </c>
      <c r="I6" t="s">
        <v>221</v>
      </c>
      <c r="J6" t="s">
        <v>76</v>
      </c>
      <c r="K6" s="50" t="s">
        <v>223</v>
      </c>
      <c r="L6" s="71" t="s">
        <v>247</v>
      </c>
      <c r="M6" s="50" t="s">
        <v>222</v>
      </c>
    </row>
    <row r="7" spans="2:14" ht="15" customHeight="1" x14ac:dyDescent="0.3">
      <c r="B7" t="s">
        <v>63</v>
      </c>
      <c r="C7" t="s">
        <v>64</v>
      </c>
      <c r="D7" s="49" t="s">
        <v>65</v>
      </c>
      <c r="E7" t="s">
        <v>11</v>
      </c>
      <c r="F7" s="33">
        <f>Summary!V5</f>
        <v>77000</v>
      </c>
      <c r="G7" t="s">
        <v>68</v>
      </c>
      <c r="H7" t="s">
        <v>122</v>
      </c>
      <c r="I7" t="s">
        <v>69</v>
      </c>
      <c r="J7" t="s">
        <v>76</v>
      </c>
      <c r="K7" t="s">
        <v>75</v>
      </c>
      <c r="L7" t="s">
        <v>77</v>
      </c>
      <c r="M7" s="50" t="s">
        <v>124</v>
      </c>
    </row>
    <row r="8" spans="2:14" ht="15" customHeight="1" x14ac:dyDescent="0.3">
      <c r="B8" t="s">
        <v>63</v>
      </c>
      <c r="C8" t="s">
        <v>64</v>
      </c>
      <c r="D8" s="49" t="s">
        <v>30</v>
      </c>
      <c r="E8" t="s">
        <v>11</v>
      </c>
      <c r="F8" s="33">
        <f>Summary!V6</f>
        <v>75200</v>
      </c>
      <c r="G8" t="s">
        <v>68</v>
      </c>
      <c r="H8" t="s">
        <v>122</v>
      </c>
      <c r="I8" t="s">
        <v>69</v>
      </c>
      <c r="J8" t="s">
        <v>76</v>
      </c>
      <c r="K8" t="s">
        <v>75</v>
      </c>
      <c r="L8" t="s">
        <v>77</v>
      </c>
      <c r="M8" s="50" t="s">
        <v>124</v>
      </c>
    </row>
    <row r="9" spans="2:14" ht="15" customHeight="1" x14ac:dyDescent="0.3">
      <c r="B9" t="s">
        <v>63</v>
      </c>
      <c r="C9" t="s">
        <v>64</v>
      </c>
      <c r="D9" s="49" t="s">
        <v>31</v>
      </c>
      <c r="E9" t="s">
        <v>11</v>
      </c>
      <c r="F9" s="33">
        <f>Summary!V7</f>
        <v>50200</v>
      </c>
      <c r="G9" t="s">
        <v>68</v>
      </c>
      <c r="H9" t="s">
        <v>122</v>
      </c>
      <c r="I9" t="s">
        <v>69</v>
      </c>
      <c r="J9" t="s">
        <v>76</v>
      </c>
      <c r="K9" t="s">
        <v>75</v>
      </c>
      <c r="L9" t="s">
        <v>77</v>
      </c>
      <c r="M9" s="50" t="s">
        <v>124</v>
      </c>
    </row>
    <row r="10" spans="2:14" ht="15" customHeight="1" x14ac:dyDescent="0.3">
      <c r="B10" t="s">
        <v>63</v>
      </c>
      <c r="C10" t="s">
        <v>64</v>
      </c>
      <c r="D10" s="49" t="s">
        <v>32</v>
      </c>
      <c r="E10" t="s">
        <v>11</v>
      </c>
      <c r="F10" s="33">
        <f>Summary!V8</f>
        <v>17600</v>
      </c>
      <c r="G10" t="s">
        <v>68</v>
      </c>
      <c r="H10" t="s">
        <v>122</v>
      </c>
      <c r="I10" t="s">
        <v>69</v>
      </c>
      <c r="J10" t="s">
        <v>76</v>
      </c>
      <c r="K10" t="s">
        <v>75</v>
      </c>
      <c r="L10" t="s">
        <v>77</v>
      </c>
      <c r="M10" s="50" t="s">
        <v>124</v>
      </c>
    </row>
    <row r="11" spans="2:14" x14ac:dyDescent="0.3">
      <c r="B11" t="s">
        <v>63</v>
      </c>
      <c r="C11" t="s">
        <v>64</v>
      </c>
      <c r="D11" s="49" t="s">
        <v>65</v>
      </c>
      <c r="E11" t="s">
        <v>70</v>
      </c>
      <c r="F11" s="33">
        <f>Summary!W5</f>
        <v>3230</v>
      </c>
      <c r="G11" t="s">
        <v>68</v>
      </c>
      <c r="H11" t="s">
        <v>329</v>
      </c>
      <c r="I11" t="s">
        <v>73</v>
      </c>
      <c r="J11" t="s">
        <v>163</v>
      </c>
      <c r="K11" t="s">
        <v>159</v>
      </c>
      <c r="L11" t="s">
        <v>77</v>
      </c>
    </row>
    <row r="12" spans="2:14" x14ac:dyDescent="0.3">
      <c r="B12" t="s">
        <v>63</v>
      </c>
      <c r="C12" t="s">
        <v>64</v>
      </c>
      <c r="D12" s="49" t="s">
        <v>30</v>
      </c>
      <c r="E12" t="s">
        <v>70</v>
      </c>
      <c r="F12" s="33">
        <f>Summary!W6</f>
        <v>8630</v>
      </c>
      <c r="G12" t="s">
        <v>68</v>
      </c>
      <c r="H12" t="s">
        <v>329</v>
      </c>
      <c r="I12" t="s">
        <v>73</v>
      </c>
      <c r="J12" t="s">
        <v>163</v>
      </c>
      <c r="K12" t="s">
        <v>160</v>
      </c>
      <c r="L12" t="s">
        <v>77</v>
      </c>
      <c r="M12" s="52"/>
      <c r="N12" s="51"/>
    </row>
    <row r="13" spans="2:14" x14ac:dyDescent="0.3">
      <c r="B13" t="s">
        <v>63</v>
      </c>
      <c r="C13" t="s">
        <v>64</v>
      </c>
      <c r="D13" s="49" t="s">
        <v>31</v>
      </c>
      <c r="E13" t="s">
        <v>70</v>
      </c>
      <c r="F13" s="33">
        <f>Summary!W7</f>
        <v>3910</v>
      </c>
      <c r="G13" t="s">
        <v>68</v>
      </c>
      <c r="H13" t="s">
        <v>329</v>
      </c>
      <c r="I13" t="s">
        <v>73</v>
      </c>
      <c r="J13" t="s">
        <v>163</v>
      </c>
      <c r="K13" t="s">
        <v>161</v>
      </c>
      <c r="L13" t="s">
        <v>77</v>
      </c>
    </row>
    <row r="14" spans="2:14" x14ac:dyDescent="0.3">
      <c r="B14" t="s">
        <v>63</v>
      </c>
      <c r="C14" t="s">
        <v>64</v>
      </c>
      <c r="D14" s="49" t="s">
        <v>32</v>
      </c>
      <c r="E14" t="s">
        <v>70</v>
      </c>
      <c r="F14" s="33">
        <f>Summary!W8</f>
        <v>520</v>
      </c>
      <c r="G14" t="s">
        <v>68</v>
      </c>
      <c r="H14" t="s">
        <v>329</v>
      </c>
      <c r="I14" t="s">
        <v>73</v>
      </c>
      <c r="J14" t="s">
        <v>163</v>
      </c>
      <c r="K14" t="s">
        <v>162</v>
      </c>
      <c r="L14" t="s">
        <v>77</v>
      </c>
    </row>
    <row r="15" spans="2:14" x14ac:dyDescent="0.3">
      <c r="B15" t="s">
        <v>63</v>
      </c>
      <c r="C15" t="s">
        <v>64</v>
      </c>
      <c r="D15" s="49" t="s">
        <v>65</v>
      </c>
      <c r="E15" t="s">
        <v>72</v>
      </c>
      <c r="F15" s="33">
        <f>Summary!X5</f>
        <v>11350</v>
      </c>
      <c r="G15" t="s">
        <v>68</v>
      </c>
      <c r="H15" t="s">
        <v>123</v>
      </c>
      <c r="I15" t="s">
        <v>73</v>
      </c>
      <c r="J15" t="s">
        <v>78</v>
      </c>
      <c r="K15" t="s">
        <v>80</v>
      </c>
      <c r="L15" t="s">
        <v>80</v>
      </c>
    </row>
    <row r="16" spans="2:14" x14ac:dyDescent="0.3">
      <c r="B16" t="s">
        <v>63</v>
      </c>
      <c r="C16" t="s">
        <v>64</v>
      </c>
      <c r="D16" s="49" t="s">
        <v>30</v>
      </c>
      <c r="E16" t="s">
        <v>72</v>
      </c>
      <c r="F16" s="33">
        <f>Summary!X6</f>
        <v>9320</v>
      </c>
      <c r="G16" t="s">
        <v>68</v>
      </c>
      <c r="H16" t="s">
        <v>123</v>
      </c>
      <c r="I16" t="s">
        <v>73</v>
      </c>
      <c r="J16" t="s">
        <v>78</v>
      </c>
      <c r="K16" t="s">
        <v>80</v>
      </c>
      <c r="L16" t="s">
        <v>80</v>
      </c>
    </row>
    <row r="17" spans="2:13" x14ac:dyDescent="0.3">
      <c r="B17" t="s">
        <v>63</v>
      </c>
      <c r="C17" t="s">
        <v>64</v>
      </c>
      <c r="D17" s="49" t="s">
        <v>31</v>
      </c>
      <c r="E17" t="s">
        <v>72</v>
      </c>
      <c r="F17" s="33">
        <f>Summary!X7</f>
        <v>4640</v>
      </c>
      <c r="G17" t="s">
        <v>68</v>
      </c>
      <c r="H17" t="s">
        <v>123</v>
      </c>
      <c r="I17" t="s">
        <v>73</v>
      </c>
      <c r="J17" t="s">
        <v>78</v>
      </c>
      <c r="K17" t="s">
        <v>80</v>
      </c>
      <c r="L17" t="s">
        <v>80</v>
      </c>
    </row>
    <row r="18" spans="2:13" x14ac:dyDescent="0.3">
      <c r="B18" t="s">
        <v>63</v>
      </c>
      <c r="C18" t="s">
        <v>64</v>
      </c>
      <c r="D18" s="49" t="s">
        <v>32</v>
      </c>
      <c r="E18" t="s">
        <v>72</v>
      </c>
      <c r="F18" s="33">
        <f>Summary!X8</f>
        <v>2495</v>
      </c>
      <c r="G18" t="s">
        <v>68</v>
      </c>
      <c r="H18" t="s">
        <v>123</v>
      </c>
      <c r="I18" t="s">
        <v>73</v>
      </c>
      <c r="J18" t="s">
        <v>78</v>
      </c>
      <c r="K18" t="s">
        <v>80</v>
      </c>
      <c r="L18" t="s">
        <v>80</v>
      </c>
    </row>
    <row r="19" spans="2:13" x14ac:dyDescent="0.3">
      <c r="B19" t="s">
        <v>63</v>
      </c>
      <c r="C19" t="s">
        <v>64</v>
      </c>
      <c r="D19" s="49" t="s">
        <v>65</v>
      </c>
      <c r="E19" s="33" t="s">
        <v>71</v>
      </c>
      <c r="F19" s="33">
        <f>Summary!Y5</f>
        <v>19470</v>
      </c>
      <c r="G19" t="s">
        <v>68</v>
      </c>
      <c r="H19" t="s">
        <v>329</v>
      </c>
      <c r="I19" t="s">
        <v>73</v>
      </c>
      <c r="J19" t="s">
        <v>330</v>
      </c>
      <c r="K19" t="s">
        <v>79</v>
      </c>
      <c r="L19" t="s">
        <v>77</v>
      </c>
    </row>
    <row r="20" spans="2:13" x14ac:dyDescent="0.3">
      <c r="B20" t="s">
        <v>63</v>
      </c>
      <c r="C20" t="s">
        <v>64</v>
      </c>
      <c r="D20" s="49" t="s">
        <v>30</v>
      </c>
      <c r="E20" s="33" t="s">
        <v>71</v>
      </c>
      <c r="F20" s="33">
        <f>Summary!Y6</f>
        <v>10010</v>
      </c>
      <c r="G20" t="s">
        <v>68</v>
      </c>
      <c r="H20" t="s">
        <v>329</v>
      </c>
      <c r="I20" t="s">
        <v>73</v>
      </c>
      <c r="J20" t="s">
        <v>330</v>
      </c>
      <c r="K20" t="s">
        <v>79</v>
      </c>
      <c r="L20" t="s">
        <v>77</v>
      </c>
    </row>
    <row r="21" spans="2:13" x14ac:dyDescent="0.3">
      <c r="B21" t="s">
        <v>63</v>
      </c>
      <c r="C21" t="s">
        <v>64</v>
      </c>
      <c r="D21" s="49" t="s">
        <v>31</v>
      </c>
      <c r="E21" s="33" t="s">
        <v>71</v>
      </c>
      <c r="F21" s="33">
        <f>Summary!Y7</f>
        <v>5370</v>
      </c>
      <c r="G21" t="s">
        <v>68</v>
      </c>
      <c r="H21" t="s">
        <v>329</v>
      </c>
      <c r="I21" t="s">
        <v>73</v>
      </c>
      <c r="J21" t="s">
        <v>330</v>
      </c>
      <c r="K21" t="s">
        <v>79</v>
      </c>
      <c r="L21" t="s">
        <v>77</v>
      </c>
    </row>
    <row r="22" spans="2:13" x14ac:dyDescent="0.3">
      <c r="B22" t="s">
        <v>63</v>
      </c>
      <c r="C22" t="s">
        <v>64</v>
      </c>
      <c r="D22" s="49" t="s">
        <v>32</v>
      </c>
      <c r="E22" s="33" t="s">
        <v>71</v>
      </c>
      <c r="F22" s="33">
        <f>Summary!Y8</f>
        <v>4470</v>
      </c>
      <c r="G22" t="s">
        <v>68</v>
      </c>
      <c r="H22" t="s">
        <v>329</v>
      </c>
      <c r="I22" t="s">
        <v>73</v>
      </c>
      <c r="J22" t="s">
        <v>330</v>
      </c>
      <c r="K22" t="s">
        <v>79</v>
      </c>
      <c r="L22" t="s">
        <v>77</v>
      </c>
    </row>
    <row r="23" spans="2:13" x14ac:dyDescent="0.3">
      <c r="B23" t="s">
        <v>63</v>
      </c>
      <c r="C23" t="s">
        <v>2</v>
      </c>
      <c r="D23" s="49" t="s">
        <v>119</v>
      </c>
      <c r="E23" s="33" t="s">
        <v>81</v>
      </c>
      <c r="F23" s="33">
        <f>Summary!V13</f>
        <v>0</v>
      </c>
      <c r="G23" t="s">
        <v>125</v>
      </c>
      <c r="H23" t="s">
        <v>82</v>
      </c>
      <c r="I23" t="s">
        <v>213</v>
      </c>
      <c r="J23" t="s">
        <v>83</v>
      </c>
      <c r="K23" t="s">
        <v>84</v>
      </c>
      <c r="L23" t="s">
        <v>77</v>
      </c>
    </row>
    <row r="24" spans="2:13" x14ac:dyDescent="0.3">
      <c r="B24" t="s">
        <v>63</v>
      </c>
      <c r="C24" t="s">
        <v>2</v>
      </c>
      <c r="D24" s="49" t="s">
        <v>88</v>
      </c>
      <c r="E24" s="33" t="s">
        <v>81</v>
      </c>
      <c r="F24" s="33">
        <f>Summary!V15</f>
        <v>600000</v>
      </c>
      <c r="G24" t="s">
        <v>125</v>
      </c>
      <c r="H24" t="s">
        <v>120</v>
      </c>
      <c r="I24" t="s">
        <v>117</v>
      </c>
      <c r="J24" t="s">
        <v>83</v>
      </c>
      <c r="K24" t="s">
        <v>121</v>
      </c>
      <c r="L24" t="s">
        <v>85</v>
      </c>
    </row>
    <row r="25" spans="2:13" x14ac:dyDescent="0.3">
      <c r="B25" t="s">
        <v>63</v>
      </c>
      <c r="C25" t="s">
        <v>2</v>
      </c>
      <c r="D25" s="49" t="s">
        <v>119</v>
      </c>
      <c r="E25" s="33" t="s">
        <v>336</v>
      </c>
      <c r="F25" s="33">
        <f>Summary!Y13</f>
        <v>0</v>
      </c>
      <c r="G25" t="s">
        <v>125</v>
      </c>
      <c r="H25" t="s">
        <v>331</v>
      </c>
      <c r="I25" t="s">
        <v>345</v>
      </c>
      <c r="J25" t="s">
        <v>335</v>
      </c>
      <c r="K25" s="50" t="s">
        <v>305</v>
      </c>
      <c r="L25" t="s">
        <v>248</v>
      </c>
    </row>
    <row r="26" spans="2:13" ht="15.6" x14ac:dyDescent="0.3">
      <c r="B26" t="s">
        <v>63</v>
      </c>
      <c r="C26" t="s">
        <v>2</v>
      </c>
      <c r="D26" s="49" t="s">
        <v>88</v>
      </c>
      <c r="E26" s="33" t="s">
        <v>336</v>
      </c>
      <c r="F26" s="33">
        <f>Summary!Y14</f>
        <v>550000</v>
      </c>
      <c r="G26" t="s">
        <v>125</v>
      </c>
      <c r="H26" t="s">
        <v>331</v>
      </c>
      <c r="I26" t="s">
        <v>344</v>
      </c>
      <c r="J26" t="s">
        <v>332</v>
      </c>
      <c r="K26" t="s">
        <v>333</v>
      </c>
      <c r="L26" s="71" t="s">
        <v>334</v>
      </c>
    </row>
    <row r="27" spans="2:13" x14ac:dyDescent="0.3">
      <c r="B27" t="s">
        <v>63</v>
      </c>
      <c r="C27" t="s">
        <v>249</v>
      </c>
      <c r="D27" s="49" t="s">
        <v>42</v>
      </c>
      <c r="E27" s="33" t="s">
        <v>232</v>
      </c>
      <c r="F27" s="70">
        <f>Summary!U19</f>
        <v>0</v>
      </c>
      <c r="G27" t="s">
        <v>233</v>
      </c>
      <c r="H27" t="s">
        <v>234</v>
      </c>
      <c r="I27" t="s">
        <v>235</v>
      </c>
      <c r="J27" t="s">
        <v>76</v>
      </c>
      <c r="K27" t="s">
        <v>236</v>
      </c>
      <c r="L27" s="83" t="s">
        <v>77</v>
      </c>
      <c r="M27" s="50" t="s">
        <v>237</v>
      </c>
    </row>
    <row r="28" spans="2:13" x14ac:dyDescent="0.3">
      <c r="B28" t="s">
        <v>63</v>
      </c>
      <c r="C28" t="s">
        <v>249</v>
      </c>
      <c r="D28" s="49" t="s">
        <v>228</v>
      </c>
      <c r="E28" s="33" t="s">
        <v>232</v>
      </c>
      <c r="F28" s="80">
        <f>Summary!U20</f>
        <v>7.0000000000000001E-3</v>
      </c>
      <c r="G28" t="s">
        <v>238</v>
      </c>
      <c r="H28" t="s">
        <v>239</v>
      </c>
      <c r="I28" t="s">
        <v>221</v>
      </c>
      <c r="J28" t="s">
        <v>76</v>
      </c>
      <c r="K28" t="s">
        <v>295</v>
      </c>
      <c r="L28" t="s">
        <v>296</v>
      </c>
    </row>
    <row r="29" spans="2:13" x14ac:dyDescent="0.3">
      <c r="B29" t="s">
        <v>63</v>
      </c>
      <c r="C29" t="s">
        <v>249</v>
      </c>
      <c r="D29" s="49" t="s">
        <v>241</v>
      </c>
      <c r="E29" s="33" t="s">
        <v>232</v>
      </c>
      <c r="F29" s="80">
        <f>Summary!U21</f>
        <v>7.0000000000000001E-3</v>
      </c>
      <c r="G29" t="s">
        <v>238</v>
      </c>
      <c r="H29" t="s">
        <v>346</v>
      </c>
      <c r="I29" t="s">
        <v>221</v>
      </c>
      <c r="J29" t="s">
        <v>76</v>
      </c>
      <c r="K29" t="s">
        <v>295</v>
      </c>
      <c r="L29" t="s">
        <v>296</v>
      </c>
    </row>
    <row r="30" spans="2:13" x14ac:dyDescent="0.3">
      <c r="B30" t="s">
        <v>63</v>
      </c>
      <c r="C30" t="s">
        <v>249</v>
      </c>
      <c r="D30" s="49" t="s">
        <v>242</v>
      </c>
      <c r="E30" s="33" t="s">
        <v>232</v>
      </c>
      <c r="F30" s="80">
        <f>Summary!U22</f>
        <v>3.0000000000000001E-3</v>
      </c>
      <c r="G30" t="s">
        <v>253</v>
      </c>
      <c r="H30" t="s">
        <v>239</v>
      </c>
      <c r="I30" t="s">
        <v>221</v>
      </c>
      <c r="J30" t="s">
        <v>76</v>
      </c>
      <c r="K30" t="s">
        <v>295</v>
      </c>
      <c r="L30" t="s">
        <v>296</v>
      </c>
    </row>
    <row r="31" spans="2:13" x14ac:dyDescent="0.3">
      <c r="B31" t="s">
        <v>63</v>
      </c>
      <c r="C31" t="s">
        <v>249</v>
      </c>
      <c r="D31" s="84" t="s">
        <v>243</v>
      </c>
      <c r="E31" s="33" t="s">
        <v>232</v>
      </c>
      <c r="F31" s="80">
        <f>Summary!U23</f>
        <v>0.01</v>
      </c>
      <c r="G31" t="s">
        <v>244</v>
      </c>
      <c r="H31" t="s">
        <v>245</v>
      </c>
      <c r="I31" t="s">
        <v>246</v>
      </c>
      <c r="J31" t="s">
        <v>76</v>
      </c>
      <c r="K31" t="s">
        <v>84</v>
      </c>
      <c r="L31" t="s">
        <v>77</v>
      </c>
    </row>
    <row r="32" spans="2:13" ht="15" customHeight="1" x14ac:dyDescent="0.3">
      <c r="B32" t="s">
        <v>63</v>
      </c>
      <c r="C32" t="s">
        <v>249</v>
      </c>
      <c r="D32" s="49" t="s">
        <v>250</v>
      </c>
      <c r="E32" s="33" t="s">
        <v>49</v>
      </c>
      <c r="F32" s="62" t="str">
        <f>Summary!W20</f>
        <v>&lt;2.0%</v>
      </c>
      <c r="G32" t="s">
        <v>238</v>
      </c>
      <c r="H32" t="s">
        <v>251</v>
      </c>
      <c r="I32" t="s">
        <v>252</v>
      </c>
      <c r="J32" t="s">
        <v>338</v>
      </c>
      <c r="K32" s="50" t="s">
        <v>347</v>
      </c>
      <c r="L32" s="71" t="s">
        <v>240</v>
      </c>
    </row>
    <row r="33" spans="2:24" x14ac:dyDescent="0.3">
      <c r="B33" t="s">
        <v>63</v>
      </c>
      <c r="C33" t="s">
        <v>249</v>
      </c>
      <c r="D33" s="49" t="s">
        <v>343</v>
      </c>
      <c r="E33" s="33" t="s">
        <v>49</v>
      </c>
      <c r="F33" s="62">
        <f>Summary!W24</f>
        <v>0</v>
      </c>
      <c r="G33" t="s">
        <v>253</v>
      </c>
      <c r="H33" t="s">
        <v>251</v>
      </c>
      <c r="I33" t="s">
        <v>252</v>
      </c>
      <c r="J33" t="s">
        <v>338</v>
      </c>
      <c r="K33" t="s">
        <v>254</v>
      </c>
      <c r="L33" s="83" t="s">
        <v>77</v>
      </c>
    </row>
    <row r="34" spans="2:24" ht="15.6" x14ac:dyDescent="0.3">
      <c r="B34" t="s">
        <v>63</v>
      </c>
      <c r="C34" t="s">
        <v>249</v>
      </c>
      <c r="D34" t="s">
        <v>339</v>
      </c>
      <c r="E34" t="s">
        <v>328</v>
      </c>
      <c r="F34" s="124" t="str">
        <f>Summary!X24</f>
        <v>10-40%</v>
      </c>
      <c r="G34" t="s">
        <v>337</v>
      </c>
      <c r="H34" s="50" t="s">
        <v>349</v>
      </c>
      <c r="I34" t="s">
        <v>252</v>
      </c>
      <c r="J34" t="s">
        <v>340</v>
      </c>
      <c r="K34" t="s">
        <v>342</v>
      </c>
      <c r="L34" s="59" t="s">
        <v>341</v>
      </c>
      <c r="M34" s="50" t="s">
        <v>350</v>
      </c>
    </row>
    <row r="35" spans="2:24" x14ac:dyDescent="0.3">
      <c r="B35" t="s">
        <v>63</v>
      </c>
      <c r="C35" t="s">
        <v>249</v>
      </c>
      <c r="D35" s="49" t="s">
        <v>228</v>
      </c>
      <c r="E35" s="33" t="s">
        <v>8</v>
      </c>
      <c r="F35" s="33">
        <f>Summary!Y20</f>
        <v>50</v>
      </c>
      <c r="G35" t="s">
        <v>255</v>
      </c>
      <c r="H35" t="s">
        <v>256</v>
      </c>
      <c r="I35" t="s">
        <v>221</v>
      </c>
      <c r="J35" t="s">
        <v>76</v>
      </c>
      <c r="K35" t="s">
        <v>295</v>
      </c>
      <c r="L35" t="s">
        <v>296</v>
      </c>
    </row>
    <row r="36" spans="2:24" x14ac:dyDescent="0.3">
      <c r="B36" t="s">
        <v>63</v>
      </c>
      <c r="C36" t="s">
        <v>249</v>
      </c>
      <c r="D36" s="49" t="s">
        <v>241</v>
      </c>
      <c r="E36" s="33" t="s">
        <v>8</v>
      </c>
      <c r="F36">
        <f>Fishery!AJ107</f>
        <v>45.5</v>
      </c>
      <c r="G36" t="s">
        <v>255</v>
      </c>
      <c r="H36" t="s">
        <v>257</v>
      </c>
      <c r="I36" t="s">
        <v>221</v>
      </c>
      <c r="J36" t="s">
        <v>76</v>
      </c>
      <c r="K36" t="s">
        <v>295</v>
      </c>
      <c r="L36" t="s">
        <v>296</v>
      </c>
    </row>
    <row r="37" spans="2:24" x14ac:dyDescent="0.3">
      <c r="B37" t="s">
        <v>63</v>
      </c>
      <c r="C37" t="s">
        <v>249</v>
      </c>
      <c r="D37" s="49" t="s">
        <v>242</v>
      </c>
      <c r="E37" s="33" t="s">
        <v>8</v>
      </c>
      <c r="F37" s="33">
        <f>Summary!Y22</f>
        <v>20</v>
      </c>
      <c r="G37" t="s">
        <v>255</v>
      </c>
      <c r="H37" t="s">
        <v>239</v>
      </c>
      <c r="I37" t="s">
        <v>221</v>
      </c>
      <c r="J37" t="s">
        <v>76</v>
      </c>
      <c r="K37" t="s">
        <v>295</v>
      </c>
      <c r="L37" t="s">
        <v>296</v>
      </c>
    </row>
    <row r="38" spans="2:24" x14ac:dyDescent="0.3">
      <c r="B38" t="s">
        <v>63</v>
      </c>
      <c r="C38" t="s">
        <v>249</v>
      </c>
      <c r="D38" s="49" t="s">
        <v>243</v>
      </c>
      <c r="E38" s="33" t="s">
        <v>8</v>
      </c>
      <c r="F38" s="33">
        <f>Summary!Y23</f>
        <v>70</v>
      </c>
      <c r="G38" t="s">
        <v>255</v>
      </c>
      <c r="H38" t="s">
        <v>269</v>
      </c>
      <c r="I38" t="s">
        <v>221</v>
      </c>
      <c r="J38" t="s">
        <v>76</v>
      </c>
      <c r="K38" t="s">
        <v>295</v>
      </c>
      <c r="L38" t="s">
        <v>296</v>
      </c>
    </row>
    <row r="39" spans="2:24" x14ac:dyDescent="0.3">
      <c r="B39" t="s">
        <v>63</v>
      </c>
      <c r="C39" t="s">
        <v>301</v>
      </c>
      <c r="D39" s="49" t="s">
        <v>302</v>
      </c>
      <c r="E39" s="33" t="s">
        <v>5</v>
      </c>
      <c r="F39" s="33">
        <f>Summary!U29</f>
        <v>6300</v>
      </c>
      <c r="G39" t="s">
        <v>303</v>
      </c>
      <c r="H39" t="s">
        <v>304</v>
      </c>
      <c r="I39" t="s">
        <v>221</v>
      </c>
      <c r="J39" t="s">
        <v>76</v>
      </c>
      <c r="K39" t="s">
        <v>306</v>
      </c>
      <c r="L39" t="s">
        <v>307</v>
      </c>
    </row>
    <row r="40" spans="2:24" x14ac:dyDescent="0.3">
      <c r="B40" t="s">
        <v>63</v>
      </c>
      <c r="C40" t="s">
        <v>308</v>
      </c>
      <c r="D40" s="49" t="s">
        <v>302</v>
      </c>
      <c r="E40" s="33" t="s">
        <v>5</v>
      </c>
      <c r="F40" s="33">
        <f>Summary!U30</f>
        <v>0</v>
      </c>
      <c r="G40" t="s">
        <v>303</v>
      </c>
      <c r="H40" t="s">
        <v>318</v>
      </c>
      <c r="I40" t="s">
        <v>213</v>
      </c>
      <c r="J40" t="s">
        <v>76</v>
      </c>
      <c r="K40" t="s">
        <v>236</v>
      </c>
      <c r="L40" s="83" t="s">
        <v>77</v>
      </c>
      <c r="M40" s="50" t="s">
        <v>321</v>
      </c>
    </row>
    <row r="41" spans="2:24" x14ac:dyDescent="0.3">
      <c r="B41" t="s">
        <v>63</v>
      </c>
      <c r="C41" t="s">
        <v>309</v>
      </c>
      <c r="D41" s="49" t="s">
        <v>302</v>
      </c>
      <c r="E41" s="33" t="s">
        <v>5</v>
      </c>
      <c r="F41" s="70">
        <f>Summary!U31</f>
        <v>0</v>
      </c>
      <c r="G41" t="s">
        <v>303</v>
      </c>
      <c r="H41" t="s">
        <v>318</v>
      </c>
      <c r="I41" t="s">
        <v>213</v>
      </c>
      <c r="J41" t="s">
        <v>76</v>
      </c>
      <c r="K41" t="s">
        <v>236</v>
      </c>
      <c r="L41" s="83" t="s">
        <v>77</v>
      </c>
      <c r="M41" s="50" t="s">
        <v>321</v>
      </c>
    </row>
    <row r="42" spans="2:24" ht="15.6" x14ac:dyDescent="0.3">
      <c r="B42" t="s">
        <v>63</v>
      </c>
      <c r="C42" t="s">
        <v>310</v>
      </c>
      <c r="D42" s="49" t="s">
        <v>311</v>
      </c>
      <c r="E42" s="33" t="s">
        <v>5</v>
      </c>
      <c r="F42" s="33">
        <f>Summary!U33</f>
        <v>5500</v>
      </c>
      <c r="G42" t="s">
        <v>303</v>
      </c>
      <c r="H42" t="s">
        <v>312</v>
      </c>
      <c r="I42" t="s">
        <v>221</v>
      </c>
      <c r="J42" t="s">
        <v>76</v>
      </c>
      <c r="K42" t="s">
        <v>270</v>
      </c>
      <c r="L42" s="71" t="s">
        <v>271</v>
      </c>
      <c r="X42" s="71"/>
    </row>
    <row r="43" spans="2:24" x14ac:dyDescent="0.3">
      <c r="B43" t="s">
        <v>63</v>
      </c>
      <c r="C43" t="s">
        <v>313</v>
      </c>
      <c r="D43" s="49" t="s">
        <v>311</v>
      </c>
      <c r="E43" s="33" t="s">
        <v>5</v>
      </c>
      <c r="F43" s="33">
        <f>Summary!U34</f>
        <v>0</v>
      </c>
      <c r="G43" t="s">
        <v>303</v>
      </c>
      <c r="H43" t="s">
        <v>318</v>
      </c>
      <c r="I43" t="s">
        <v>213</v>
      </c>
      <c r="J43" t="s">
        <v>76</v>
      </c>
      <c r="K43" t="s">
        <v>236</v>
      </c>
      <c r="L43" s="83" t="s">
        <v>77</v>
      </c>
      <c r="M43" s="50" t="s">
        <v>321</v>
      </c>
    </row>
    <row r="44" spans="2:24" x14ac:dyDescent="0.3">
      <c r="B44" t="s">
        <v>63</v>
      </c>
      <c r="C44" t="s">
        <v>314</v>
      </c>
      <c r="D44" s="49" t="s">
        <v>311</v>
      </c>
      <c r="E44" s="33" t="s">
        <v>5</v>
      </c>
      <c r="F44" s="70">
        <f>Summary!U35</f>
        <v>0</v>
      </c>
      <c r="G44" t="s">
        <v>303</v>
      </c>
      <c r="H44" t="s">
        <v>318</v>
      </c>
      <c r="I44" t="s">
        <v>315</v>
      </c>
      <c r="J44" t="s">
        <v>76</v>
      </c>
      <c r="K44" t="s">
        <v>236</v>
      </c>
      <c r="L44" s="83" t="s">
        <v>77</v>
      </c>
      <c r="M44" s="50" t="s">
        <v>321</v>
      </c>
    </row>
    <row r="45" spans="2:24" ht="15.6" x14ac:dyDescent="0.3">
      <c r="B45" t="s">
        <v>63</v>
      </c>
      <c r="C45" t="s">
        <v>316</v>
      </c>
      <c r="D45" s="49" t="s">
        <v>317</v>
      </c>
      <c r="E45" s="33" t="s">
        <v>8</v>
      </c>
      <c r="F45" s="33">
        <f>Summary!U41</f>
        <v>200</v>
      </c>
      <c r="G45" t="s">
        <v>303</v>
      </c>
      <c r="H45" t="s">
        <v>319</v>
      </c>
      <c r="I45" t="s">
        <v>221</v>
      </c>
      <c r="J45" t="s">
        <v>76</v>
      </c>
      <c r="K45" s="50" t="s">
        <v>348</v>
      </c>
      <c r="L45" s="71" t="s">
        <v>240</v>
      </c>
    </row>
    <row r="46" spans="2:24" x14ac:dyDescent="0.3">
      <c r="B46" t="s">
        <v>63</v>
      </c>
      <c r="C46" t="s">
        <v>320</v>
      </c>
      <c r="D46" s="49" t="s">
        <v>317</v>
      </c>
      <c r="E46" s="33" t="s">
        <v>8</v>
      </c>
      <c r="F46" s="33">
        <f>Summary!U42</f>
        <v>0</v>
      </c>
      <c r="G46" t="s">
        <v>303</v>
      </c>
      <c r="H46" t="s">
        <v>318</v>
      </c>
      <c r="I46" t="s">
        <v>221</v>
      </c>
      <c r="J46" t="s">
        <v>76</v>
      </c>
      <c r="K46" t="s">
        <v>236</v>
      </c>
      <c r="L46" s="83" t="s">
        <v>77</v>
      </c>
      <c r="M46" s="50" t="s">
        <v>321</v>
      </c>
    </row>
    <row r="47" spans="2:24" x14ac:dyDescent="0.3">
      <c r="B47" t="s">
        <v>63</v>
      </c>
      <c r="C47" t="s">
        <v>322</v>
      </c>
      <c r="D47" s="49" t="s">
        <v>317</v>
      </c>
      <c r="E47" s="33" t="s">
        <v>8</v>
      </c>
      <c r="F47" s="70">
        <f>Summary!U43</f>
        <v>0</v>
      </c>
      <c r="G47" t="s">
        <v>303</v>
      </c>
      <c r="H47" t="s">
        <v>318</v>
      </c>
      <c r="I47" t="s">
        <v>221</v>
      </c>
      <c r="J47" t="s">
        <v>76</v>
      </c>
      <c r="K47" t="s">
        <v>236</v>
      </c>
      <c r="L47" s="83" t="s">
        <v>77</v>
      </c>
      <c r="M47" s="50" t="s">
        <v>321</v>
      </c>
    </row>
    <row r="53" spans="4:4" x14ac:dyDescent="0.3">
      <c r="D53" s="53"/>
    </row>
    <row r="54" spans="4:4" x14ac:dyDescent="0.3">
      <c r="D54" s="53"/>
    </row>
    <row r="55" spans="4:4" x14ac:dyDescent="0.3">
      <c r="D55" s="53"/>
    </row>
    <row r="58" spans="4:4" x14ac:dyDescent="0.3">
      <c r="D58" s="53"/>
    </row>
    <row r="59" spans="4:4" x14ac:dyDescent="0.3">
      <c r="D59" s="53"/>
    </row>
    <row r="60" spans="4:4" x14ac:dyDescent="0.3">
      <c r="D60" s="53"/>
    </row>
    <row r="61" spans="4:4" x14ac:dyDescent="0.3">
      <c r="D61" s="53"/>
    </row>
    <row r="62" spans="4:4" x14ac:dyDescent="0.3">
      <c r="D62" s="53"/>
    </row>
    <row r="65" spans="4:4" x14ac:dyDescent="0.3">
      <c r="D65" s="53"/>
    </row>
    <row r="66" spans="4:4" x14ac:dyDescent="0.3">
      <c r="D66" s="53"/>
    </row>
  </sheetData>
  <pageMargins left="0.7" right="0.7" top="0.75" bottom="0.75" header="0.3" footer="0.3"/>
  <pageSetup orientation="portrait" horizontalDpi="4294967293" verticalDpi="4294967293"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Summary</vt:lpstr>
      <vt:lpstr>Spawners</vt:lpstr>
      <vt:lpstr>Hatchery</vt:lpstr>
      <vt:lpstr>Fishery</vt:lpstr>
      <vt:lpstr>Run</vt:lpstr>
      <vt:lpstr>Conv</vt:lpstr>
      <vt:lpstr>Background</vt:lpstr>
      <vt:lpstr>Documentation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Ray Beamesderfer</dc:creator>
  <cp:lastModifiedBy>xxx</cp:lastModifiedBy>
  <dcterms:created xsi:type="dcterms:W3CDTF">2018-03-20T01:08:30Z</dcterms:created>
  <dcterms:modified xsi:type="dcterms:W3CDTF">2020-08-13T16:57:33Z</dcterms:modified>
</cp:coreProperties>
</file>